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4" activeTab="16"/>
  </bookViews>
  <sheets>
    <sheet name="FOrmat 1" sheetId="1" r:id="rId1"/>
    <sheet name="Seed producers list " sheetId="2" r:id="rId2"/>
    <sheet name="Growers list" sheetId="9" r:id="rId3"/>
    <sheet name="Seed certification Data" sheetId="4" r:id="rId4"/>
    <sheet name="Rouging " sheetId="5" r:id="rId5"/>
    <sheet name="Mid season Data" sheetId="8" r:id="rId6"/>
    <sheet name="Seed indent " sheetId="7" r:id="rId7"/>
    <sheet name="Seed distbution data" sheetId="6" r:id="rId8"/>
    <sheet name="Invoice Gen" sheetId="10" r:id="rId9"/>
    <sheet name="Invoice SC" sheetId="11" r:id="rId10"/>
    <sheet name="Invoice ST" sheetId="12" r:id="rId11"/>
    <sheet name="UC" sheetId="3" r:id="rId12"/>
    <sheet name="Mandal  wise " sheetId="13" r:id="rId13"/>
    <sheet name="MVK Wise Advance data" sheetId="14" r:id="rId14"/>
    <sheet name="MVK PROCURMENT DATA " sheetId="15" r:id="rId15"/>
    <sheet name="Purchase data " sheetId="16" r:id="rId16"/>
    <sheet name="Sales " sheetId="17" r:id="rId17"/>
    <sheet name="Total Data " sheetId="18" r:id="rId18"/>
    <sheet name="Mandal wise " sheetId="19" r:id="rId19"/>
    <sheet name="incidental Charges " sheetId="20" r:id="rId20"/>
  </sheets>
  <externalReferences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K79" i="20"/>
  <c r="F79"/>
  <c r="H77"/>
  <c r="I77" s="1"/>
  <c r="H76"/>
  <c r="I76" s="1"/>
  <c r="H75"/>
  <c r="I75" s="1"/>
  <c r="H74"/>
  <c r="I74" s="1"/>
  <c r="H73"/>
  <c r="L73" s="1"/>
  <c r="H72"/>
  <c r="L72" s="1"/>
  <c r="H71"/>
  <c r="L71" s="1"/>
  <c r="H70"/>
  <c r="L70" s="1"/>
  <c r="H69"/>
  <c r="I69" s="1"/>
  <c r="G69"/>
  <c r="G78" s="1"/>
  <c r="H78" s="1"/>
  <c r="I78" s="1"/>
  <c r="E69"/>
  <c r="E78" s="1"/>
  <c r="H68"/>
  <c r="I68" s="1"/>
  <c r="H67"/>
  <c r="I67" s="1"/>
  <c r="J66"/>
  <c r="J79" s="1"/>
  <c r="G66"/>
  <c r="H66" s="1"/>
  <c r="I66" s="1"/>
  <c r="E66"/>
  <c r="I65"/>
  <c r="H65"/>
  <c r="L64"/>
  <c r="H64"/>
  <c r="I64" s="1"/>
  <c r="H63"/>
  <c r="I63" s="1"/>
  <c r="H62"/>
  <c r="I62" s="1"/>
  <c r="E61"/>
  <c r="H60"/>
  <c r="I60" s="1"/>
  <c r="H59"/>
  <c r="I59" s="1"/>
  <c r="H58"/>
  <c r="I58" s="1"/>
  <c r="H57"/>
  <c r="I57" s="1"/>
  <c r="G57"/>
  <c r="G61" s="1"/>
  <c r="H61" s="1"/>
  <c r="I61" s="1"/>
  <c r="G56"/>
  <c r="H56" s="1"/>
  <c r="I56" s="1"/>
  <c r="E56"/>
  <c r="I55"/>
  <c r="H55"/>
  <c r="I54"/>
  <c r="H54"/>
  <c r="G53"/>
  <c r="H53" s="1"/>
  <c r="I53" s="1"/>
  <c r="E53"/>
  <c r="L52"/>
  <c r="H52"/>
  <c r="I51"/>
  <c r="H51"/>
  <c r="I50"/>
  <c r="H50"/>
  <c r="L49"/>
  <c r="H49"/>
  <c r="L48"/>
  <c r="H48"/>
  <c r="I47"/>
  <c r="H47"/>
  <c r="I46"/>
  <c r="H45"/>
  <c r="I45" s="1"/>
  <c r="H44"/>
  <c r="L44" s="1"/>
  <c r="H43"/>
  <c r="L43" s="1"/>
  <c r="E42"/>
  <c r="H41"/>
  <c r="I41" s="1"/>
  <c r="G41"/>
  <c r="G42" s="1"/>
  <c r="H42" s="1"/>
  <c r="I42" s="1"/>
  <c r="I40"/>
  <c r="H40"/>
  <c r="I39"/>
  <c r="H39"/>
  <c r="G38"/>
  <c r="H38" s="1"/>
  <c r="I38" s="1"/>
  <c r="E38"/>
  <c r="I37"/>
  <c r="H37"/>
  <c r="I36"/>
  <c r="H36"/>
  <c r="I35"/>
  <c r="H35"/>
  <c r="G34"/>
  <c r="H34" s="1"/>
  <c r="I34" s="1"/>
  <c r="E34"/>
  <c r="I33"/>
  <c r="H33"/>
  <c r="I32"/>
  <c r="H32"/>
  <c r="G31"/>
  <c r="H31" s="1"/>
  <c r="I31" s="1"/>
  <c r="E31"/>
  <c r="I30"/>
  <c r="H30"/>
  <c r="L29"/>
  <c r="H29"/>
  <c r="I28"/>
  <c r="H28"/>
  <c r="G27"/>
  <c r="H27" s="1"/>
  <c r="I27" s="1"/>
  <c r="E27"/>
  <c r="I26"/>
  <c r="H26"/>
  <c r="I25"/>
  <c r="H25"/>
  <c r="I24"/>
  <c r="H24"/>
  <c r="L23"/>
  <c r="H23"/>
  <c r="I22"/>
  <c r="H22"/>
  <c r="H21"/>
  <c r="G20"/>
  <c r="H20" s="1"/>
  <c r="E20"/>
  <c r="I19"/>
  <c r="H19"/>
  <c r="I18"/>
  <c r="H18"/>
  <c r="H17"/>
  <c r="H16"/>
  <c r="I16" s="1"/>
  <c r="H15"/>
  <c r="I15" s="1"/>
  <c r="H14"/>
  <c r="I14" s="1"/>
  <c r="H13"/>
  <c r="I13" s="1"/>
  <c r="E12"/>
  <c r="H11"/>
  <c r="I11" s="1"/>
  <c r="H10"/>
  <c r="I10" s="1"/>
  <c r="H9"/>
  <c r="I9" s="1"/>
  <c r="H8"/>
  <c r="I8" s="1"/>
  <c r="H7"/>
  <c r="I7" s="1"/>
  <c r="G7"/>
  <c r="G6"/>
  <c r="H6" s="1"/>
  <c r="I6" s="1"/>
  <c r="H5"/>
  <c r="G5"/>
  <c r="G12" s="1"/>
  <c r="H12" s="1"/>
  <c r="I12" s="1"/>
  <c r="H79" l="1"/>
  <c r="L79"/>
  <c r="I5"/>
  <c r="I79" s="1"/>
  <c r="F61" i="19" l="1"/>
  <c r="D61"/>
  <c r="E60"/>
  <c r="E59"/>
  <c r="E58"/>
  <c r="E57"/>
  <c r="E56"/>
  <c r="E55"/>
  <c r="E54"/>
  <c r="E53"/>
  <c r="E52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61" s="1"/>
  <c r="E4"/>
  <c r="J54" i="18"/>
  <c r="L53"/>
  <c r="K53"/>
  <c r="I53"/>
  <c r="H53"/>
  <c r="G53"/>
  <c r="M53" s="1"/>
  <c r="P53" s="1"/>
  <c r="E53"/>
  <c r="F53" s="1"/>
  <c r="L52"/>
  <c r="K52"/>
  <c r="I52"/>
  <c r="H52"/>
  <c r="G52"/>
  <c r="M52" s="1"/>
  <c r="P52" s="1"/>
  <c r="E52"/>
  <c r="F52" s="1"/>
  <c r="N51"/>
  <c r="L51"/>
  <c r="K51"/>
  <c r="I51"/>
  <c r="H51"/>
  <c r="G51"/>
  <c r="M51" s="1"/>
  <c r="P51" s="1"/>
  <c r="F51"/>
  <c r="E51"/>
  <c r="L50"/>
  <c r="K50"/>
  <c r="I50"/>
  <c r="H50"/>
  <c r="G50"/>
  <c r="M50" s="1"/>
  <c r="P50" s="1"/>
  <c r="E50"/>
  <c r="F50" s="1"/>
  <c r="M49"/>
  <c r="P49" s="1"/>
  <c r="L49"/>
  <c r="K49"/>
  <c r="I49"/>
  <c r="H49"/>
  <c r="G49"/>
  <c r="E49"/>
  <c r="F49" s="1"/>
  <c r="L48"/>
  <c r="K48"/>
  <c r="I48"/>
  <c r="H48"/>
  <c r="G48"/>
  <c r="M48" s="1"/>
  <c r="P48" s="1"/>
  <c r="E48"/>
  <c r="F48" s="1"/>
  <c r="N47"/>
  <c r="L47"/>
  <c r="K47"/>
  <c r="I47"/>
  <c r="H47"/>
  <c r="G47"/>
  <c r="M47" s="1"/>
  <c r="E47"/>
  <c r="F47" s="1"/>
  <c r="N46"/>
  <c r="L46"/>
  <c r="K46"/>
  <c r="I46"/>
  <c r="H46"/>
  <c r="G46"/>
  <c r="M46" s="1"/>
  <c r="E46"/>
  <c r="F46" s="1"/>
  <c r="M45"/>
  <c r="P45" s="1"/>
  <c r="L45"/>
  <c r="K45"/>
  <c r="I45"/>
  <c r="H45"/>
  <c r="G45"/>
  <c r="E45"/>
  <c r="F45" s="1"/>
  <c r="L44"/>
  <c r="K44"/>
  <c r="I44"/>
  <c r="H44"/>
  <c r="G44"/>
  <c r="M44" s="1"/>
  <c r="P44" s="1"/>
  <c r="E44"/>
  <c r="F44" s="1"/>
  <c r="L43"/>
  <c r="K43"/>
  <c r="I43"/>
  <c r="H43"/>
  <c r="G43"/>
  <c r="M43" s="1"/>
  <c r="P43" s="1"/>
  <c r="F43"/>
  <c r="E43"/>
  <c r="N42"/>
  <c r="L42"/>
  <c r="K42"/>
  <c r="I42"/>
  <c r="H42"/>
  <c r="G42"/>
  <c r="M42" s="1"/>
  <c r="P42" s="1"/>
  <c r="E42"/>
  <c r="F42" s="1"/>
  <c r="L41"/>
  <c r="K41"/>
  <c r="I41"/>
  <c r="H41"/>
  <c r="G41"/>
  <c r="M41" s="1"/>
  <c r="P41" s="1"/>
  <c r="E41"/>
  <c r="F41" s="1"/>
  <c r="L40"/>
  <c r="K40"/>
  <c r="I40"/>
  <c r="H40"/>
  <c r="G40"/>
  <c r="M40" s="1"/>
  <c r="P40" s="1"/>
  <c r="E40"/>
  <c r="F40" s="1"/>
  <c r="L39"/>
  <c r="K39"/>
  <c r="I39"/>
  <c r="H39"/>
  <c r="G39"/>
  <c r="M39" s="1"/>
  <c r="P39" s="1"/>
  <c r="E39"/>
  <c r="F39" s="1"/>
  <c r="L38"/>
  <c r="K38"/>
  <c r="I38"/>
  <c r="H38"/>
  <c r="G38"/>
  <c r="M38" s="1"/>
  <c r="P38" s="1"/>
  <c r="E38"/>
  <c r="F38" s="1"/>
  <c r="L37"/>
  <c r="K37"/>
  <c r="I37"/>
  <c r="H37"/>
  <c r="G37"/>
  <c r="M37" s="1"/>
  <c r="P37" s="1"/>
  <c r="E37"/>
  <c r="F37" s="1"/>
  <c r="L36"/>
  <c r="K36"/>
  <c r="I36"/>
  <c r="H36"/>
  <c r="G36"/>
  <c r="M36" s="1"/>
  <c r="P36" s="1"/>
  <c r="E36"/>
  <c r="F36" s="1"/>
  <c r="L35"/>
  <c r="K35"/>
  <c r="I35"/>
  <c r="H35"/>
  <c r="G35"/>
  <c r="M35" s="1"/>
  <c r="P35" s="1"/>
  <c r="E35"/>
  <c r="F35" s="1"/>
  <c r="L34"/>
  <c r="K34"/>
  <c r="I34"/>
  <c r="H34"/>
  <c r="G34"/>
  <c r="M34" s="1"/>
  <c r="P34" s="1"/>
  <c r="E34"/>
  <c r="F34" s="1"/>
  <c r="L33"/>
  <c r="K33"/>
  <c r="I33"/>
  <c r="H33"/>
  <c r="G33"/>
  <c r="M33" s="1"/>
  <c r="P33" s="1"/>
  <c r="E33"/>
  <c r="F33" s="1"/>
  <c r="L32"/>
  <c r="K32"/>
  <c r="I32"/>
  <c r="H32"/>
  <c r="G32"/>
  <c r="M32" s="1"/>
  <c r="P32" s="1"/>
  <c r="E32"/>
  <c r="F32" s="1"/>
  <c r="L31"/>
  <c r="K31"/>
  <c r="I31"/>
  <c r="H31"/>
  <c r="G31"/>
  <c r="M31" s="1"/>
  <c r="P31" s="1"/>
  <c r="E31"/>
  <c r="F31" s="1"/>
  <c r="L30"/>
  <c r="K30"/>
  <c r="I30"/>
  <c r="H30"/>
  <c r="G30"/>
  <c r="M30" s="1"/>
  <c r="P30" s="1"/>
  <c r="E30"/>
  <c r="F30" s="1"/>
  <c r="L29"/>
  <c r="K29"/>
  <c r="I29"/>
  <c r="H29"/>
  <c r="G29"/>
  <c r="M29" s="1"/>
  <c r="P29" s="1"/>
  <c r="E29"/>
  <c r="F29" s="1"/>
  <c r="L28"/>
  <c r="K28"/>
  <c r="I28"/>
  <c r="H28"/>
  <c r="G28"/>
  <c r="M28" s="1"/>
  <c r="P28" s="1"/>
  <c r="E28"/>
  <c r="F28" s="1"/>
  <c r="L27"/>
  <c r="K27"/>
  <c r="I27"/>
  <c r="H27"/>
  <c r="G27"/>
  <c r="M27" s="1"/>
  <c r="P27" s="1"/>
  <c r="E27"/>
  <c r="F27" s="1"/>
  <c r="L26"/>
  <c r="K26"/>
  <c r="I26"/>
  <c r="H26"/>
  <c r="G26"/>
  <c r="M26" s="1"/>
  <c r="P26" s="1"/>
  <c r="E26"/>
  <c r="F26" s="1"/>
  <c r="N25"/>
  <c r="M25"/>
  <c r="P25" s="1"/>
  <c r="L25"/>
  <c r="K25"/>
  <c r="I25"/>
  <c r="H25"/>
  <c r="G25"/>
  <c r="F25"/>
  <c r="E25"/>
  <c r="N24"/>
  <c r="L24"/>
  <c r="K24"/>
  <c r="I24"/>
  <c r="H24"/>
  <c r="G24"/>
  <c r="M24" s="1"/>
  <c r="P24" s="1"/>
  <c r="E24"/>
  <c r="F24" s="1"/>
  <c r="L23"/>
  <c r="K23"/>
  <c r="I23"/>
  <c r="H23"/>
  <c r="G23"/>
  <c r="M23" s="1"/>
  <c r="P23" s="1"/>
  <c r="E23"/>
  <c r="F23" s="1"/>
  <c r="L22"/>
  <c r="K22"/>
  <c r="I22"/>
  <c r="H22"/>
  <c r="G22"/>
  <c r="M22" s="1"/>
  <c r="P22" s="1"/>
  <c r="E22"/>
  <c r="F22" s="1"/>
  <c r="L21"/>
  <c r="K21"/>
  <c r="I21"/>
  <c r="H21"/>
  <c r="G21"/>
  <c r="M21" s="1"/>
  <c r="P21" s="1"/>
  <c r="E21"/>
  <c r="F21" s="1"/>
  <c r="L20"/>
  <c r="K20"/>
  <c r="I20"/>
  <c r="H20"/>
  <c r="G20"/>
  <c r="M20" s="1"/>
  <c r="P20" s="1"/>
  <c r="E20"/>
  <c r="F20" s="1"/>
  <c r="L19"/>
  <c r="K19"/>
  <c r="I19"/>
  <c r="H19"/>
  <c r="G19"/>
  <c r="M19" s="1"/>
  <c r="P19" s="1"/>
  <c r="E19"/>
  <c r="F19" s="1"/>
  <c r="L18"/>
  <c r="K18"/>
  <c r="I18"/>
  <c r="H18"/>
  <c r="G18"/>
  <c r="M18" s="1"/>
  <c r="P18" s="1"/>
  <c r="E18"/>
  <c r="F18" s="1"/>
  <c r="L17"/>
  <c r="K17"/>
  <c r="I17"/>
  <c r="H17"/>
  <c r="G17"/>
  <c r="M17" s="1"/>
  <c r="P17" s="1"/>
  <c r="E17"/>
  <c r="F17" s="1"/>
  <c r="L16"/>
  <c r="K16"/>
  <c r="I16"/>
  <c r="H16"/>
  <c r="G16"/>
  <c r="M16" s="1"/>
  <c r="P16" s="1"/>
  <c r="E16"/>
  <c r="F16" s="1"/>
  <c r="L15"/>
  <c r="K15"/>
  <c r="I15"/>
  <c r="H15"/>
  <c r="G15"/>
  <c r="M15" s="1"/>
  <c r="P15" s="1"/>
  <c r="E15"/>
  <c r="F15" s="1"/>
  <c r="L14"/>
  <c r="K14"/>
  <c r="I14"/>
  <c r="H14"/>
  <c r="G14"/>
  <c r="M14" s="1"/>
  <c r="P14" s="1"/>
  <c r="E14"/>
  <c r="F14" s="1"/>
  <c r="L13"/>
  <c r="K13"/>
  <c r="I13"/>
  <c r="H13"/>
  <c r="G13"/>
  <c r="M13" s="1"/>
  <c r="P13" s="1"/>
  <c r="E13"/>
  <c r="F13" s="1"/>
  <c r="N12"/>
  <c r="L12"/>
  <c r="K12"/>
  <c r="I12"/>
  <c r="H12"/>
  <c r="G12"/>
  <c r="M12" s="1"/>
  <c r="E12"/>
  <c r="F12" s="1"/>
  <c r="M11"/>
  <c r="P11" s="1"/>
  <c r="L11"/>
  <c r="K11"/>
  <c r="I11"/>
  <c r="H11"/>
  <c r="G11"/>
  <c r="E11"/>
  <c r="F11" s="1"/>
  <c r="L10"/>
  <c r="K10"/>
  <c r="I10"/>
  <c r="H10"/>
  <c r="G10"/>
  <c r="M10" s="1"/>
  <c r="P10" s="1"/>
  <c r="E10"/>
  <c r="F10" s="1"/>
  <c r="L9"/>
  <c r="K9"/>
  <c r="I9"/>
  <c r="H9"/>
  <c r="G9"/>
  <c r="M9" s="1"/>
  <c r="P9" s="1"/>
  <c r="E9"/>
  <c r="F9" s="1"/>
  <c r="L8"/>
  <c r="K8"/>
  <c r="I8"/>
  <c r="H8"/>
  <c r="G8"/>
  <c r="M8" s="1"/>
  <c r="P8" s="1"/>
  <c r="E8"/>
  <c r="F8" s="1"/>
  <c r="L7"/>
  <c r="K7"/>
  <c r="I7"/>
  <c r="H7"/>
  <c r="G7"/>
  <c r="M7" s="1"/>
  <c r="P7" s="1"/>
  <c r="E7"/>
  <c r="F7" s="1"/>
  <c r="L6"/>
  <c r="L54" s="1"/>
  <c r="K6"/>
  <c r="K54" s="1"/>
  <c r="I6"/>
  <c r="I54" s="1"/>
  <c r="H6"/>
  <c r="H54" s="1"/>
  <c r="G6"/>
  <c r="M6" s="1"/>
  <c r="P6" s="1"/>
  <c r="E6"/>
  <c r="E54" s="1"/>
  <c r="J53" i="17"/>
  <c r="K53" s="1"/>
  <c r="L53" s="1"/>
  <c r="F53"/>
  <c r="G53" s="1"/>
  <c r="E53"/>
  <c r="J52"/>
  <c r="K52" s="1"/>
  <c r="L52" s="1"/>
  <c r="E52"/>
  <c r="F52" s="1"/>
  <c r="G52" s="1"/>
  <c r="J51"/>
  <c r="K51" s="1"/>
  <c r="L51" s="1"/>
  <c r="E51"/>
  <c r="F51" s="1"/>
  <c r="G51" s="1"/>
  <c r="J50"/>
  <c r="K50" s="1"/>
  <c r="L50" s="1"/>
  <c r="E50"/>
  <c r="F50" s="1"/>
  <c r="G50" s="1"/>
  <c r="J49"/>
  <c r="K49" s="1"/>
  <c r="L49" s="1"/>
  <c r="E49"/>
  <c r="F49" s="1"/>
  <c r="G49" s="1"/>
  <c r="J48"/>
  <c r="K48" s="1"/>
  <c r="L48" s="1"/>
  <c r="E48"/>
  <c r="F48" s="1"/>
  <c r="G48" s="1"/>
  <c r="J47"/>
  <c r="K47" s="1"/>
  <c r="L47" s="1"/>
  <c r="E47"/>
  <c r="F47" s="1"/>
  <c r="G47" s="1"/>
  <c r="J46"/>
  <c r="K46" s="1"/>
  <c r="L46" s="1"/>
  <c r="E46"/>
  <c r="F46" s="1"/>
  <c r="G46" s="1"/>
  <c r="J45"/>
  <c r="K45" s="1"/>
  <c r="L45" s="1"/>
  <c r="E45"/>
  <c r="F45" s="1"/>
  <c r="G45" s="1"/>
  <c r="J44"/>
  <c r="K44" s="1"/>
  <c r="L44" s="1"/>
  <c r="E44"/>
  <c r="F44" s="1"/>
  <c r="G44" s="1"/>
  <c r="J43"/>
  <c r="K43" s="1"/>
  <c r="L43" s="1"/>
  <c r="E43"/>
  <c r="F43" s="1"/>
  <c r="G43" s="1"/>
  <c r="J42"/>
  <c r="K42" s="1"/>
  <c r="L42" s="1"/>
  <c r="E42"/>
  <c r="F42" s="1"/>
  <c r="G42" s="1"/>
  <c r="J41"/>
  <c r="K41" s="1"/>
  <c r="L41" s="1"/>
  <c r="E41"/>
  <c r="F41" s="1"/>
  <c r="G41" s="1"/>
  <c r="J40"/>
  <c r="K40" s="1"/>
  <c r="L40" s="1"/>
  <c r="E40"/>
  <c r="F40" s="1"/>
  <c r="G40" s="1"/>
  <c r="J39"/>
  <c r="K39" s="1"/>
  <c r="L39" s="1"/>
  <c r="E39"/>
  <c r="F39" s="1"/>
  <c r="G39" s="1"/>
  <c r="J38"/>
  <c r="K38" s="1"/>
  <c r="L38" s="1"/>
  <c r="E38"/>
  <c r="F38" s="1"/>
  <c r="G38" s="1"/>
  <c r="J37"/>
  <c r="K37" s="1"/>
  <c r="L37" s="1"/>
  <c r="E37"/>
  <c r="F37" s="1"/>
  <c r="G37" s="1"/>
  <c r="J36"/>
  <c r="K36" s="1"/>
  <c r="L36" s="1"/>
  <c r="E36"/>
  <c r="F36" s="1"/>
  <c r="G36" s="1"/>
  <c r="J35"/>
  <c r="K35" s="1"/>
  <c r="L35" s="1"/>
  <c r="E35"/>
  <c r="F35" s="1"/>
  <c r="G35" s="1"/>
  <c r="J34"/>
  <c r="K34" s="1"/>
  <c r="L34" s="1"/>
  <c r="E34"/>
  <c r="F34" s="1"/>
  <c r="G34" s="1"/>
  <c r="J33"/>
  <c r="K33" s="1"/>
  <c r="L33" s="1"/>
  <c r="E33"/>
  <c r="F33" s="1"/>
  <c r="G33" s="1"/>
  <c r="J32"/>
  <c r="K32" s="1"/>
  <c r="L32" s="1"/>
  <c r="E32"/>
  <c r="F32" s="1"/>
  <c r="G32" s="1"/>
  <c r="J31"/>
  <c r="K31" s="1"/>
  <c r="L31" s="1"/>
  <c r="E31"/>
  <c r="F31" s="1"/>
  <c r="G31" s="1"/>
  <c r="J30"/>
  <c r="K30" s="1"/>
  <c r="L30" s="1"/>
  <c r="E30"/>
  <c r="F30" s="1"/>
  <c r="G30" s="1"/>
  <c r="J29"/>
  <c r="K29" s="1"/>
  <c r="L29" s="1"/>
  <c r="E29"/>
  <c r="F29" s="1"/>
  <c r="G29" s="1"/>
  <c r="J28"/>
  <c r="K28" s="1"/>
  <c r="L28" s="1"/>
  <c r="E28"/>
  <c r="F28" s="1"/>
  <c r="G28" s="1"/>
  <c r="J27"/>
  <c r="K27" s="1"/>
  <c r="L27" s="1"/>
  <c r="E27"/>
  <c r="F27" s="1"/>
  <c r="G27" s="1"/>
  <c r="J26"/>
  <c r="K26" s="1"/>
  <c r="L26" s="1"/>
  <c r="E26"/>
  <c r="F26" s="1"/>
  <c r="G26" s="1"/>
  <c r="J25"/>
  <c r="K25" s="1"/>
  <c r="L25" s="1"/>
  <c r="E25"/>
  <c r="F25" s="1"/>
  <c r="G25" s="1"/>
  <c r="J24"/>
  <c r="K24" s="1"/>
  <c r="L24" s="1"/>
  <c r="E24"/>
  <c r="F24" s="1"/>
  <c r="G24" s="1"/>
  <c r="J23"/>
  <c r="K23" s="1"/>
  <c r="L23" s="1"/>
  <c r="E23"/>
  <c r="F23" s="1"/>
  <c r="G23" s="1"/>
  <c r="J22"/>
  <c r="K22" s="1"/>
  <c r="L22" s="1"/>
  <c r="E22"/>
  <c r="F22" s="1"/>
  <c r="G22" s="1"/>
  <c r="J21"/>
  <c r="K21" s="1"/>
  <c r="L21" s="1"/>
  <c r="E21"/>
  <c r="F21" s="1"/>
  <c r="G21" s="1"/>
  <c r="J20"/>
  <c r="K20" s="1"/>
  <c r="L20" s="1"/>
  <c r="E20"/>
  <c r="F20" s="1"/>
  <c r="G20" s="1"/>
  <c r="J19"/>
  <c r="K19" s="1"/>
  <c r="L19" s="1"/>
  <c r="E19"/>
  <c r="F19" s="1"/>
  <c r="G19" s="1"/>
  <c r="J18"/>
  <c r="K18" s="1"/>
  <c r="L18" s="1"/>
  <c r="E18"/>
  <c r="F18" s="1"/>
  <c r="G18" s="1"/>
  <c r="J17"/>
  <c r="K17" s="1"/>
  <c r="L17" s="1"/>
  <c r="E17"/>
  <c r="F17" s="1"/>
  <c r="G17" s="1"/>
  <c r="J16"/>
  <c r="K16" s="1"/>
  <c r="L16" s="1"/>
  <c r="E16"/>
  <c r="F16" s="1"/>
  <c r="G16" s="1"/>
  <c r="J15"/>
  <c r="K15" s="1"/>
  <c r="L15" s="1"/>
  <c r="E15"/>
  <c r="F15" s="1"/>
  <c r="G15" s="1"/>
  <c r="J14"/>
  <c r="K14" s="1"/>
  <c r="L14" s="1"/>
  <c r="E14"/>
  <c r="F14" s="1"/>
  <c r="G14" s="1"/>
  <c r="J13"/>
  <c r="K13" s="1"/>
  <c r="L13" s="1"/>
  <c r="E13"/>
  <c r="F13" s="1"/>
  <c r="G13" s="1"/>
  <c r="J12"/>
  <c r="K12" s="1"/>
  <c r="L12" s="1"/>
  <c r="E12"/>
  <c r="F12" s="1"/>
  <c r="G12" s="1"/>
  <c r="J11"/>
  <c r="K11" s="1"/>
  <c r="L11" s="1"/>
  <c r="E11"/>
  <c r="F11" s="1"/>
  <c r="G11" s="1"/>
  <c r="J10"/>
  <c r="K10" s="1"/>
  <c r="L10" s="1"/>
  <c r="E10"/>
  <c r="F10" s="1"/>
  <c r="J9"/>
  <c r="K9" s="1"/>
  <c r="L9" s="1"/>
  <c r="E9"/>
  <c r="F9" s="1"/>
  <c r="G9" s="1"/>
  <c r="J8"/>
  <c r="K8" s="1"/>
  <c r="L8" s="1"/>
  <c r="F8"/>
  <c r="G8" s="1"/>
  <c r="I8" s="1"/>
  <c r="E8"/>
  <c r="J7"/>
  <c r="K7" s="1"/>
  <c r="L7" s="1"/>
  <c r="N7" s="1"/>
  <c r="E7"/>
  <c r="F7" s="1"/>
  <c r="G7" s="1"/>
  <c r="J6"/>
  <c r="J54" s="1"/>
  <c r="E6"/>
  <c r="M54" i="16"/>
  <c r="H54"/>
  <c r="E54"/>
  <c r="H55" s="1"/>
  <c r="I53"/>
  <c r="J53" s="1"/>
  <c r="F53"/>
  <c r="G53" s="1"/>
  <c r="I52"/>
  <c r="J52" s="1"/>
  <c r="F52"/>
  <c r="G52" s="1"/>
  <c r="I51"/>
  <c r="J51" s="1"/>
  <c r="F51"/>
  <c r="G51" s="1"/>
  <c r="I50"/>
  <c r="J50" s="1"/>
  <c r="F50"/>
  <c r="G50" s="1"/>
  <c r="I49"/>
  <c r="J49" s="1"/>
  <c r="F49"/>
  <c r="G49" s="1"/>
  <c r="I48"/>
  <c r="J48" s="1"/>
  <c r="F48"/>
  <c r="G48" s="1"/>
  <c r="I47"/>
  <c r="J47" s="1"/>
  <c r="F47"/>
  <c r="G47" s="1"/>
  <c r="I46"/>
  <c r="J46" s="1"/>
  <c r="F46"/>
  <c r="G46" s="1"/>
  <c r="I45"/>
  <c r="J45" s="1"/>
  <c r="F45"/>
  <c r="G45" s="1"/>
  <c r="I44"/>
  <c r="J44" s="1"/>
  <c r="F44"/>
  <c r="G44" s="1"/>
  <c r="I43"/>
  <c r="J43" s="1"/>
  <c r="F43"/>
  <c r="G43" s="1"/>
  <c r="I42"/>
  <c r="J42" s="1"/>
  <c r="F42"/>
  <c r="G42" s="1"/>
  <c r="I41"/>
  <c r="J41" s="1"/>
  <c r="F41"/>
  <c r="G41" s="1"/>
  <c r="I40"/>
  <c r="J40" s="1"/>
  <c r="F40"/>
  <c r="G40" s="1"/>
  <c r="I39"/>
  <c r="J39" s="1"/>
  <c r="F39"/>
  <c r="G39" s="1"/>
  <c r="I38"/>
  <c r="J38" s="1"/>
  <c r="F38"/>
  <c r="G38" s="1"/>
  <c r="I37"/>
  <c r="J37" s="1"/>
  <c r="F37"/>
  <c r="G37" s="1"/>
  <c r="I36"/>
  <c r="J36" s="1"/>
  <c r="F36"/>
  <c r="G36" s="1"/>
  <c r="I35"/>
  <c r="J35" s="1"/>
  <c r="F35"/>
  <c r="G35" s="1"/>
  <c r="I34"/>
  <c r="J34" s="1"/>
  <c r="F34"/>
  <c r="G34" s="1"/>
  <c r="I33"/>
  <c r="J33" s="1"/>
  <c r="F33"/>
  <c r="G33" s="1"/>
  <c r="I32"/>
  <c r="J32" s="1"/>
  <c r="F32"/>
  <c r="G32" s="1"/>
  <c r="I31"/>
  <c r="J31" s="1"/>
  <c r="F31"/>
  <c r="G31" s="1"/>
  <c r="I30"/>
  <c r="J30" s="1"/>
  <c r="F30"/>
  <c r="G30" s="1"/>
  <c r="I29"/>
  <c r="J29" s="1"/>
  <c r="F29"/>
  <c r="G29" s="1"/>
  <c r="I28"/>
  <c r="J28" s="1"/>
  <c r="F28"/>
  <c r="G28" s="1"/>
  <c r="I27"/>
  <c r="J27" s="1"/>
  <c r="F27"/>
  <c r="G27" s="1"/>
  <c r="I26"/>
  <c r="J26" s="1"/>
  <c r="F26"/>
  <c r="G26" s="1"/>
  <c r="I25"/>
  <c r="J25" s="1"/>
  <c r="F25"/>
  <c r="G25" s="1"/>
  <c r="I24"/>
  <c r="J24" s="1"/>
  <c r="F24"/>
  <c r="G24" s="1"/>
  <c r="I23"/>
  <c r="J23" s="1"/>
  <c r="F23"/>
  <c r="G23" s="1"/>
  <c r="I22"/>
  <c r="J22" s="1"/>
  <c r="F22"/>
  <c r="G22" s="1"/>
  <c r="I21"/>
  <c r="J21" s="1"/>
  <c r="F21"/>
  <c r="G21" s="1"/>
  <c r="I20"/>
  <c r="J20" s="1"/>
  <c r="F20"/>
  <c r="G20" s="1"/>
  <c r="I19"/>
  <c r="J19" s="1"/>
  <c r="F19"/>
  <c r="G19" s="1"/>
  <c r="I18"/>
  <c r="J18" s="1"/>
  <c r="F18"/>
  <c r="G18" s="1"/>
  <c r="I17"/>
  <c r="J17" s="1"/>
  <c r="F17"/>
  <c r="G17" s="1"/>
  <c r="I16"/>
  <c r="J16" s="1"/>
  <c r="F16"/>
  <c r="G16" s="1"/>
  <c r="I15"/>
  <c r="J15" s="1"/>
  <c r="F15"/>
  <c r="G15" s="1"/>
  <c r="I14"/>
  <c r="J14" s="1"/>
  <c r="F14"/>
  <c r="G14" s="1"/>
  <c r="I13"/>
  <c r="J13" s="1"/>
  <c r="F13"/>
  <c r="G13" s="1"/>
  <c r="I12"/>
  <c r="J12" s="1"/>
  <c r="F12"/>
  <c r="G12" s="1"/>
  <c r="I11"/>
  <c r="J11" s="1"/>
  <c r="F11"/>
  <c r="G11" s="1"/>
  <c r="I10"/>
  <c r="J10" s="1"/>
  <c r="F10"/>
  <c r="G10" s="1"/>
  <c r="I9"/>
  <c r="J9" s="1"/>
  <c r="F9"/>
  <c r="G9" s="1"/>
  <c r="I8"/>
  <c r="J8" s="1"/>
  <c r="F8"/>
  <c r="G8" s="1"/>
  <c r="I7"/>
  <c r="J7" s="1"/>
  <c r="F7"/>
  <c r="G7" s="1"/>
  <c r="I6"/>
  <c r="J6" s="1"/>
  <c r="F6"/>
  <c r="F54" s="1"/>
  <c r="I7" i="17" l="1"/>
  <c r="P7" s="1"/>
  <c r="H7"/>
  <c r="K6"/>
  <c r="E54"/>
  <c r="P47" i="18"/>
  <c r="P12"/>
  <c r="P46"/>
  <c r="F6"/>
  <c r="F54" s="1"/>
  <c r="G54"/>
  <c r="M54" s="1"/>
  <c r="N54"/>
  <c r="E57" i="17"/>
  <c r="E58" s="1"/>
  <c r="G10"/>
  <c r="H11"/>
  <c r="I11"/>
  <c r="H14"/>
  <c r="I14"/>
  <c r="M16"/>
  <c r="N16"/>
  <c r="H19"/>
  <c r="I19"/>
  <c r="M20"/>
  <c r="N20"/>
  <c r="H23"/>
  <c r="I23"/>
  <c r="H26"/>
  <c r="I26"/>
  <c r="H30"/>
  <c r="I30"/>
  <c r="H34"/>
  <c r="I34"/>
  <c r="H35"/>
  <c r="I35"/>
  <c r="H38"/>
  <c r="I38"/>
  <c r="M40"/>
  <c r="N40"/>
  <c r="H43"/>
  <c r="I43"/>
  <c r="H51"/>
  <c r="I51"/>
  <c r="M9"/>
  <c r="N9"/>
  <c r="M13"/>
  <c r="N13"/>
  <c r="M17"/>
  <c r="N17"/>
  <c r="M21"/>
  <c r="N21"/>
  <c r="M25"/>
  <c r="N25"/>
  <c r="M29"/>
  <c r="N29"/>
  <c r="M33"/>
  <c r="N33"/>
  <c r="M37"/>
  <c r="N37"/>
  <c r="M41"/>
  <c r="N41"/>
  <c r="M45"/>
  <c r="N45"/>
  <c r="M49"/>
  <c r="N49"/>
  <c r="M53"/>
  <c r="N53"/>
  <c r="M10"/>
  <c r="N10"/>
  <c r="M14"/>
  <c r="N14"/>
  <c r="M18"/>
  <c r="N18"/>
  <c r="M22"/>
  <c r="N22"/>
  <c r="M26"/>
  <c r="N26"/>
  <c r="I32"/>
  <c r="H32"/>
  <c r="I36"/>
  <c r="H36"/>
  <c r="M38"/>
  <c r="N38"/>
  <c r="H41"/>
  <c r="I41"/>
  <c r="P41" s="1"/>
  <c r="I44"/>
  <c r="H44"/>
  <c r="H45"/>
  <c r="O45" s="1"/>
  <c r="I45"/>
  <c r="P45" s="1"/>
  <c r="M46"/>
  <c r="N46"/>
  <c r="I48"/>
  <c r="H48"/>
  <c r="H49"/>
  <c r="O49" s="1"/>
  <c r="I49"/>
  <c r="M50"/>
  <c r="N50"/>
  <c r="H53"/>
  <c r="O53" s="1"/>
  <c r="Q53" s="1"/>
  <c r="I53"/>
  <c r="P53" s="1"/>
  <c r="H9"/>
  <c r="I9"/>
  <c r="P9" s="1"/>
  <c r="I12"/>
  <c r="H12"/>
  <c r="H13"/>
  <c r="O13" s="1"/>
  <c r="I13"/>
  <c r="P13" s="1"/>
  <c r="I16"/>
  <c r="P16" s="1"/>
  <c r="H16"/>
  <c r="H17"/>
  <c r="I17"/>
  <c r="P17" s="1"/>
  <c r="I20"/>
  <c r="P20" s="1"/>
  <c r="H20"/>
  <c r="H21"/>
  <c r="O21" s="1"/>
  <c r="I21"/>
  <c r="P21" s="1"/>
  <c r="I24"/>
  <c r="H24"/>
  <c r="H25"/>
  <c r="I25"/>
  <c r="P25" s="1"/>
  <c r="I28"/>
  <c r="H28"/>
  <c r="H29"/>
  <c r="O29" s="1"/>
  <c r="I29"/>
  <c r="P29" s="1"/>
  <c r="M30"/>
  <c r="N30"/>
  <c r="H33"/>
  <c r="I33"/>
  <c r="P33" s="1"/>
  <c r="M34"/>
  <c r="N34"/>
  <c r="H37"/>
  <c r="O37" s="1"/>
  <c r="I37"/>
  <c r="P37" s="1"/>
  <c r="I40"/>
  <c r="P40" s="1"/>
  <c r="H40"/>
  <c r="O40" s="1"/>
  <c r="M42"/>
  <c r="N42"/>
  <c r="I52"/>
  <c r="H52"/>
  <c r="N11"/>
  <c r="M11"/>
  <c r="N15"/>
  <c r="M15"/>
  <c r="N19"/>
  <c r="M19"/>
  <c r="N23"/>
  <c r="M23"/>
  <c r="N27"/>
  <c r="M27"/>
  <c r="N31"/>
  <c r="M31"/>
  <c r="N35"/>
  <c r="M35"/>
  <c r="N39"/>
  <c r="M39"/>
  <c r="N43"/>
  <c r="M43"/>
  <c r="N47"/>
  <c r="M47"/>
  <c r="N51"/>
  <c r="M51"/>
  <c r="P8"/>
  <c r="M8"/>
  <c r="N8"/>
  <c r="M12"/>
  <c r="N12"/>
  <c r="H15"/>
  <c r="O15" s="1"/>
  <c r="I15"/>
  <c r="H18"/>
  <c r="O18" s="1"/>
  <c r="Q18" s="1"/>
  <c r="I18"/>
  <c r="P18" s="1"/>
  <c r="H22"/>
  <c r="I22"/>
  <c r="P22" s="1"/>
  <c r="M24"/>
  <c r="N24"/>
  <c r="H27"/>
  <c r="I27"/>
  <c r="P27" s="1"/>
  <c r="M28"/>
  <c r="N28"/>
  <c r="H31"/>
  <c r="O31" s="1"/>
  <c r="I31"/>
  <c r="M32"/>
  <c r="N32"/>
  <c r="M36"/>
  <c r="N36"/>
  <c r="H39"/>
  <c r="O39" s="1"/>
  <c r="Q39" s="1"/>
  <c r="I39"/>
  <c r="P39" s="1"/>
  <c r="H42"/>
  <c r="O42" s="1"/>
  <c r="I42"/>
  <c r="M44"/>
  <c r="N44"/>
  <c r="H46"/>
  <c r="I46"/>
  <c r="P46" s="1"/>
  <c r="H47"/>
  <c r="O47" s="1"/>
  <c r="Q47" s="1"/>
  <c r="I47"/>
  <c r="P47" s="1"/>
  <c r="M48"/>
  <c r="N48"/>
  <c r="H50"/>
  <c r="O50" s="1"/>
  <c r="Q50" s="1"/>
  <c r="I50"/>
  <c r="P50" s="1"/>
  <c r="M52"/>
  <c r="N52"/>
  <c r="F6"/>
  <c r="M7"/>
  <c r="O7" s="1"/>
  <c r="Q7" s="1"/>
  <c r="H8"/>
  <c r="O8" s="1"/>
  <c r="K7" i="16"/>
  <c r="L7" s="1"/>
  <c r="K9"/>
  <c r="L9" s="1"/>
  <c r="K11"/>
  <c r="L11" s="1"/>
  <c r="K13"/>
  <c r="L13" s="1"/>
  <c r="K15"/>
  <c r="L15" s="1"/>
  <c r="K17"/>
  <c r="L17" s="1"/>
  <c r="K19"/>
  <c r="L19" s="1"/>
  <c r="K21"/>
  <c r="L21" s="1"/>
  <c r="K23"/>
  <c r="L23" s="1"/>
  <c r="K25"/>
  <c r="L25" s="1"/>
  <c r="K27"/>
  <c r="L27" s="1"/>
  <c r="K29"/>
  <c r="L29" s="1"/>
  <c r="K31"/>
  <c r="L31" s="1"/>
  <c r="K33"/>
  <c r="L33" s="1"/>
  <c r="K35"/>
  <c r="L35" s="1"/>
  <c r="K37"/>
  <c r="L37" s="1"/>
  <c r="K39"/>
  <c r="L39" s="1"/>
  <c r="K41"/>
  <c r="L41" s="1"/>
  <c r="K43"/>
  <c r="L43" s="1"/>
  <c r="K45"/>
  <c r="L45" s="1"/>
  <c r="K47"/>
  <c r="L47" s="1"/>
  <c r="K49"/>
  <c r="L49" s="1"/>
  <c r="K51"/>
  <c r="L51" s="1"/>
  <c r="K53"/>
  <c r="L53" s="1"/>
  <c r="J54"/>
  <c r="K8"/>
  <c r="L8" s="1"/>
  <c r="K10"/>
  <c r="L10" s="1"/>
  <c r="K12"/>
  <c r="L12" s="1"/>
  <c r="K14"/>
  <c r="L14" s="1"/>
  <c r="K16"/>
  <c r="L16" s="1"/>
  <c r="K18"/>
  <c r="L18" s="1"/>
  <c r="K20"/>
  <c r="L20" s="1"/>
  <c r="K22"/>
  <c r="L22" s="1"/>
  <c r="K24"/>
  <c r="L24" s="1"/>
  <c r="K26"/>
  <c r="L26" s="1"/>
  <c r="K28"/>
  <c r="L28" s="1"/>
  <c r="K30"/>
  <c r="L30" s="1"/>
  <c r="K32"/>
  <c r="L32" s="1"/>
  <c r="K34"/>
  <c r="L34" s="1"/>
  <c r="K36"/>
  <c r="L36" s="1"/>
  <c r="K38"/>
  <c r="L38" s="1"/>
  <c r="K40"/>
  <c r="L40" s="1"/>
  <c r="K42"/>
  <c r="L42" s="1"/>
  <c r="K44"/>
  <c r="L44" s="1"/>
  <c r="K46"/>
  <c r="L46" s="1"/>
  <c r="K48"/>
  <c r="L48" s="1"/>
  <c r="K50"/>
  <c r="L50" s="1"/>
  <c r="K52"/>
  <c r="L52" s="1"/>
  <c r="G6"/>
  <c r="I54"/>
  <c r="P52" i="17" l="1"/>
  <c r="O26"/>
  <c r="P43"/>
  <c r="P38"/>
  <c r="P34"/>
  <c r="P11"/>
  <c r="K54"/>
  <c r="L6"/>
  <c r="O48"/>
  <c r="O36"/>
  <c r="P54" i="18"/>
  <c r="P28" i="17"/>
  <c r="P44"/>
  <c r="O46"/>
  <c r="Q46" s="1"/>
  <c r="O27"/>
  <c r="Q27" s="1"/>
  <c r="O22"/>
  <c r="Q22" s="1"/>
  <c r="O52"/>
  <c r="Q52" s="1"/>
  <c r="Q40"/>
  <c r="O28"/>
  <c r="O24"/>
  <c r="O20"/>
  <c r="Q20" s="1"/>
  <c r="O16"/>
  <c r="Q16" s="1"/>
  <c r="O12"/>
  <c r="P49"/>
  <c r="O44"/>
  <c r="Q44" s="1"/>
  <c r="O32"/>
  <c r="O51"/>
  <c r="O35"/>
  <c r="O30"/>
  <c r="Q30" s="1"/>
  <c r="O23"/>
  <c r="O19"/>
  <c r="O14"/>
  <c r="H10"/>
  <c r="O10" s="1"/>
  <c r="Q10" s="1"/>
  <c r="I10"/>
  <c r="P10" s="1"/>
  <c r="P24"/>
  <c r="P12"/>
  <c r="P32"/>
  <c r="Q8"/>
  <c r="P42"/>
  <c r="Q42" s="1"/>
  <c r="P31"/>
  <c r="Q31" s="1"/>
  <c r="P15"/>
  <c r="Q15" s="1"/>
  <c r="Q37"/>
  <c r="O33"/>
  <c r="Q33" s="1"/>
  <c r="Q29"/>
  <c r="O25"/>
  <c r="Q25" s="1"/>
  <c r="Q21"/>
  <c r="O17"/>
  <c r="Q17" s="1"/>
  <c r="Q13"/>
  <c r="O9"/>
  <c r="Q9" s="1"/>
  <c r="P48"/>
  <c r="Q45"/>
  <c r="O41"/>
  <c r="Q41" s="1"/>
  <c r="P36"/>
  <c r="Q36" s="1"/>
  <c r="P51"/>
  <c r="P35"/>
  <c r="P30"/>
  <c r="P23"/>
  <c r="P19"/>
  <c r="P14"/>
  <c r="G6"/>
  <c r="F54"/>
  <c r="K55" s="1"/>
  <c r="K57" s="1"/>
  <c r="L57" s="1"/>
  <c r="Q48"/>
  <c r="O43"/>
  <c r="Q43" s="1"/>
  <c r="O38"/>
  <c r="Q38" s="1"/>
  <c r="O34"/>
  <c r="Q34" s="1"/>
  <c r="O11"/>
  <c r="Q11" s="1"/>
  <c r="Q49"/>
  <c r="P26"/>
  <c r="Q26" s="1"/>
  <c r="G54" i="16"/>
  <c r="K6"/>
  <c r="M6" i="17" l="1"/>
  <c r="M54" s="1"/>
  <c r="L54"/>
  <c r="N6"/>
  <c r="N54" s="1"/>
  <c r="Q23"/>
  <c r="Q19"/>
  <c r="Q51"/>
  <c r="Q12"/>
  <c r="Q28"/>
  <c r="G54"/>
  <c r="H6"/>
  <c r="I6"/>
  <c r="Q32"/>
  <c r="Q14"/>
  <c r="Q35"/>
  <c r="Q24"/>
  <c r="K54" i="16"/>
  <c r="L6"/>
  <c r="L54" s="1"/>
  <c r="O6" i="17" l="1"/>
  <c r="H54"/>
  <c r="P6"/>
  <c r="P54" s="1"/>
  <c r="I54"/>
  <c r="O54" l="1"/>
  <c r="Q6"/>
  <c r="Q54" s="1"/>
  <c r="Q51" i="15" l="1"/>
  <c r="P51"/>
  <c r="N50"/>
  <c r="M50"/>
  <c r="R50" s="1"/>
  <c r="L50"/>
  <c r="K50"/>
  <c r="J50"/>
  <c r="I50"/>
  <c r="H50"/>
  <c r="G50"/>
  <c r="F50"/>
  <c r="E50"/>
  <c r="R49"/>
  <c r="O49"/>
  <c r="R48"/>
  <c r="O48"/>
  <c r="R47"/>
  <c r="O47"/>
  <c r="N47"/>
  <c r="M47"/>
  <c r="L47"/>
  <c r="K47"/>
  <c r="J47"/>
  <c r="I47"/>
  <c r="H47"/>
  <c r="G47"/>
  <c r="F47"/>
  <c r="E47"/>
  <c r="R46"/>
  <c r="O46"/>
  <c r="N46"/>
  <c r="M46"/>
  <c r="L46"/>
  <c r="K46"/>
  <c r="J46"/>
  <c r="I46"/>
  <c r="H46"/>
  <c r="G46"/>
  <c r="F46"/>
  <c r="E46"/>
  <c r="R45"/>
  <c r="O45"/>
  <c r="N45"/>
  <c r="M45"/>
  <c r="L45"/>
  <c r="K45"/>
  <c r="J45"/>
  <c r="I45"/>
  <c r="H45"/>
  <c r="G45"/>
  <c r="F45"/>
  <c r="E45"/>
  <c r="R44"/>
  <c r="O44"/>
  <c r="N44"/>
  <c r="M44"/>
  <c r="L44"/>
  <c r="K44"/>
  <c r="J44"/>
  <c r="I44"/>
  <c r="H44"/>
  <c r="G44"/>
  <c r="F44"/>
  <c r="E44"/>
  <c r="R43"/>
  <c r="O43"/>
  <c r="N43"/>
  <c r="M43"/>
  <c r="L43"/>
  <c r="K43"/>
  <c r="J43"/>
  <c r="I43"/>
  <c r="H43"/>
  <c r="G43"/>
  <c r="F43"/>
  <c r="E43"/>
  <c r="R42"/>
  <c r="O42"/>
  <c r="N42"/>
  <c r="M42"/>
  <c r="L42"/>
  <c r="K42"/>
  <c r="J42"/>
  <c r="I42"/>
  <c r="H42"/>
  <c r="G42"/>
  <c r="F42"/>
  <c r="E42"/>
  <c r="R41"/>
  <c r="O41"/>
  <c r="N41"/>
  <c r="M41"/>
  <c r="L41"/>
  <c r="K41"/>
  <c r="J41"/>
  <c r="I41"/>
  <c r="H41"/>
  <c r="G41"/>
  <c r="F41"/>
  <c r="E41"/>
  <c r="R40"/>
  <c r="O40"/>
  <c r="N40"/>
  <c r="M40"/>
  <c r="L40"/>
  <c r="K40"/>
  <c r="J40"/>
  <c r="I40"/>
  <c r="H40"/>
  <c r="G40"/>
  <c r="F40"/>
  <c r="E40"/>
  <c r="N39"/>
  <c r="M39"/>
  <c r="O39" s="1"/>
  <c r="L39"/>
  <c r="K39"/>
  <c r="J39"/>
  <c r="I39"/>
  <c r="H39"/>
  <c r="G39"/>
  <c r="F39"/>
  <c r="E39"/>
  <c r="N38"/>
  <c r="M38"/>
  <c r="O38" s="1"/>
  <c r="L38"/>
  <c r="K38"/>
  <c r="J38"/>
  <c r="I38"/>
  <c r="H38"/>
  <c r="G38"/>
  <c r="F38"/>
  <c r="E38"/>
  <c r="N37"/>
  <c r="M37"/>
  <c r="O37" s="1"/>
  <c r="L37"/>
  <c r="K37"/>
  <c r="J37"/>
  <c r="I37"/>
  <c r="H37"/>
  <c r="G37"/>
  <c r="F37"/>
  <c r="E37"/>
  <c r="N36"/>
  <c r="M36"/>
  <c r="O36" s="1"/>
  <c r="L36"/>
  <c r="K36"/>
  <c r="J36"/>
  <c r="I36"/>
  <c r="H36"/>
  <c r="G36"/>
  <c r="F36"/>
  <c r="E36"/>
  <c r="N35"/>
  <c r="M35"/>
  <c r="O35" s="1"/>
  <c r="L35"/>
  <c r="K35"/>
  <c r="J35"/>
  <c r="I35"/>
  <c r="H35"/>
  <c r="G35"/>
  <c r="F35"/>
  <c r="E35"/>
  <c r="N34"/>
  <c r="M34"/>
  <c r="O34" s="1"/>
  <c r="L34"/>
  <c r="K34"/>
  <c r="J34"/>
  <c r="I34"/>
  <c r="H34"/>
  <c r="G34"/>
  <c r="F34"/>
  <c r="E34"/>
  <c r="N33"/>
  <c r="M33"/>
  <c r="O33" s="1"/>
  <c r="L33"/>
  <c r="K33"/>
  <c r="J33"/>
  <c r="I33"/>
  <c r="H33"/>
  <c r="G33"/>
  <c r="F33"/>
  <c r="E33"/>
  <c r="N32"/>
  <c r="M32"/>
  <c r="O32" s="1"/>
  <c r="L32"/>
  <c r="K32"/>
  <c r="J32"/>
  <c r="I32"/>
  <c r="H32"/>
  <c r="G32"/>
  <c r="F32"/>
  <c r="E32"/>
  <c r="N31"/>
  <c r="M31"/>
  <c r="O31" s="1"/>
  <c r="L31"/>
  <c r="K31"/>
  <c r="J31"/>
  <c r="I31"/>
  <c r="H31"/>
  <c r="G31"/>
  <c r="F31"/>
  <c r="E31"/>
  <c r="N30"/>
  <c r="O30" s="1"/>
  <c r="M30"/>
  <c r="R30" s="1"/>
  <c r="L30"/>
  <c r="K30"/>
  <c r="J30"/>
  <c r="I30"/>
  <c r="H30"/>
  <c r="G30"/>
  <c r="F30"/>
  <c r="E30"/>
  <c r="N29"/>
  <c r="O29" s="1"/>
  <c r="M29"/>
  <c r="R29" s="1"/>
  <c r="L29"/>
  <c r="K29"/>
  <c r="J29"/>
  <c r="I29"/>
  <c r="H29"/>
  <c r="G29"/>
  <c r="F29"/>
  <c r="E29"/>
  <c r="N28"/>
  <c r="O28" s="1"/>
  <c r="M28"/>
  <c r="R28" s="1"/>
  <c r="L28"/>
  <c r="K28"/>
  <c r="J28"/>
  <c r="I28"/>
  <c r="H28"/>
  <c r="G28"/>
  <c r="F28"/>
  <c r="E28"/>
  <c r="N27"/>
  <c r="O27" s="1"/>
  <c r="M27"/>
  <c r="R27" s="1"/>
  <c r="L27"/>
  <c r="K27"/>
  <c r="J27"/>
  <c r="I27"/>
  <c r="H27"/>
  <c r="G27"/>
  <c r="F27"/>
  <c r="E27"/>
  <c r="N26"/>
  <c r="O26" s="1"/>
  <c r="M26"/>
  <c r="R26" s="1"/>
  <c r="L26"/>
  <c r="K26"/>
  <c r="J26"/>
  <c r="I26"/>
  <c r="H26"/>
  <c r="G26"/>
  <c r="F26"/>
  <c r="E26"/>
  <c r="N25"/>
  <c r="O25" s="1"/>
  <c r="M25"/>
  <c r="R25" s="1"/>
  <c r="L25"/>
  <c r="K25"/>
  <c r="J25"/>
  <c r="I25"/>
  <c r="H25"/>
  <c r="G25"/>
  <c r="F25"/>
  <c r="E25"/>
  <c r="N24"/>
  <c r="O24" s="1"/>
  <c r="M24"/>
  <c r="R24" s="1"/>
  <c r="L24"/>
  <c r="K24"/>
  <c r="J24"/>
  <c r="I24"/>
  <c r="H24"/>
  <c r="G24"/>
  <c r="F24"/>
  <c r="E24"/>
  <c r="N23"/>
  <c r="O23" s="1"/>
  <c r="M23"/>
  <c r="R23" s="1"/>
  <c r="L23"/>
  <c r="K23"/>
  <c r="J23"/>
  <c r="I23"/>
  <c r="H23"/>
  <c r="G23"/>
  <c r="F23"/>
  <c r="E23"/>
  <c r="N22"/>
  <c r="O22" s="1"/>
  <c r="M22"/>
  <c r="R22" s="1"/>
  <c r="L22"/>
  <c r="K22"/>
  <c r="J22"/>
  <c r="I22"/>
  <c r="H22"/>
  <c r="G22"/>
  <c r="F22"/>
  <c r="E22"/>
  <c r="N21"/>
  <c r="O21" s="1"/>
  <c r="M21"/>
  <c r="R21" s="1"/>
  <c r="L21"/>
  <c r="K21"/>
  <c r="J21"/>
  <c r="I21"/>
  <c r="H21"/>
  <c r="G21"/>
  <c r="F21"/>
  <c r="E21"/>
  <c r="N20"/>
  <c r="O20" s="1"/>
  <c r="M20"/>
  <c r="R20" s="1"/>
  <c r="L20"/>
  <c r="K20"/>
  <c r="J20"/>
  <c r="I20"/>
  <c r="H20"/>
  <c r="G20"/>
  <c r="F20"/>
  <c r="E20"/>
  <c r="N19"/>
  <c r="O19" s="1"/>
  <c r="M19"/>
  <c r="R19" s="1"/>
  <c r="L19"/>
  <c r="K19"/>
  <c r="J19"/>
  <c r="I19"/>
  <c r="H19"/>
  <c r="G19"/>
  <c r="F19"/>
  <c r="E19"/>
  <c r="N18"/>
  <c r="O18" s="1"/>
  <c r="M18"/>
  <c r="R18" s="1"/>
  <c r="L18"/>
  <c r="K18"/>
  <c r="J18"/>
  <c r="I18"/>
  <c r="H18"/>
  <c r="G18"/>
  <c r="F18"/>
  <c r="E18"/>
  <c r="N17"/>
  <c r="O17" s="1"/>
  <c r="M17"/>
  <c r="R17" s="1"/>
  <c r="L17"/>
  <c r="K17"/>
  <c r="J17"/>
  <c r="I17"/>
  <c r="H17"/>
  <c r="G17"/>
  <c r="F17"/>
  <c r="E17"/>
  <c r="N16"/>
  <c r="O16" s="1"/>
  <c r="M16"/>
  <c r="R16" s="1"/>
  <c r="L16"/>
  <c r="K16"/>
  <c r="J16"/>
  <c r="I16"/>
  <c r="H16"/>
  <c r="G16"/>
  <c r="F16"/>
  <c r="E16"/>
  <c r="N15"/>
  <c r="O15" s="1"/>
  <c r="M15"/>
  <c r="R15" s="1"/>
  <c r="L15"/>
  <c r="K15"/>
  <c r="J15"/>
  <c r="I15"/>
  <c r="H15"/>
  <c r="G15"/>
  <c r="F15"/>
  <c r="E15"/>
  <c r="N14"/>
  <c r="O14" s="1"/>
  <c r="M14"/>
  <c r="R14" s="1"/>
  <c r="L14"/>
  <c r="K14"/>
  <c r="J14"/>
  <c r="I14"/>
  <c r="H14"/>
  <c r="G14"/>
  <c r="F14"/>
  <c r="E14"/>
  <c r="N13"/>
  <c r="O13" s="1"/>
  <c r="M13"/>
  <c r="R13" s="1"/>
  <c r="L13"/>
  <c r="K13"/>
  <c r="J13"/>
  <c r="I13"/>
  <c r="H13"/>
  <c r="G13"/>
  <c r="F13"/>
  <c r="E13"/>
  <c r="N12"/>
  <c r="O12" s="1"/>
  <c r="M12"/>
  <c r="R12" s="1"/>
  <c r="L12"/>
  <c r="K12"/>
  <c r="J12"/>
  <c r="I12"/>
  <c r="H12"/>
  <c r="G12"/>
  <c r="F12"/>
  <c r="E12"/>
  <c r="N11"/>
  <c r="O11" s="1"/>
  <c r="M11"/>
  <c r="R11" s="1"/>
  <c r="L11"/>
  <c r="K11"/>
  <c r="J11"/>
  <c r="I11"/>
  <c r="H11"/>
  <c r="G11"/>
  <c r="F11"/>
  <c r="E11"/>
  <c r="N10"/>
  <c r="O10" s="1"/>
  <c r="M10"/>
  <c r="R10" s="1"/>
  <c r="L10"/>
  <c r="K10"/>
  <c r="J10"/>
  <c r="I10"/>
  <c r="H10"/>
  <c r="G10"/>
  <c r="F10"/>
  <c r="E10"/>
  <c r="N9"/>
  <c r="O9" s="1"/>
  <c r="M9"/>
  <c r="R9" s="1"/>
  <c r="L9"/>
  <c r="K9"/>
  <c r="J9"/>
  <c r="I9"/>
  <c r="H9"/>
  <c r="G9"/>
  <c r="F9"/>
  <c r="E9"/>
  <c r="N8"/>
  <c r="O8" s="1"/>
  <c r="M8"/>
  <c r="R8" s="1"/>
  <c r="L8"/>
  <c r="K8"/>
  <c r="J8"/>
  <c r="I8"/>
  <c r="H8"/>
  <c r="G8"/>
  <c r="F8"/>
  <c r="E8"/>
  <c r="N7"/>
  <c r="O7" s="1"/>
  <c r="M7"/>
  <c r="R7" s="1"/>
  <c r="L7"/>
  <c r="K7"/>
  <c r="J7"/>
  <c r="I7"/>
  <c r="H7"/>
  <c r="G7"/>
  <c r="F7"/>
  <c r="E7"/>
  <c r="N6"/>
  <c r="O6" s="1"/>
  <c r="M6"/>
  <c r="R6" s="1"/>
  <c r="L6"/>
  <c r="K6"/>
  <c r="J6"/>
  <c r="I6"/>
  <c r="H6"/>
  <c r="G6"/>
  <c r="F6"/>
  <c r="E6"/>
  <c r="N5"/>
  <c r="O5" s="1"/>
  <c r="M5"/>
  <c r="R5" s="1"/>
  <c r="L5"/>
  <c r="K5"/>
  <c r="J5"/>
  <c r="I5"/>
  <c r="H5"/>
  <c r="G5"/>
  <c r="F5"/>
  <c r="E5"/>
  <c r="N4"/>
  <c r="O4" s="1"/>
  <c r="M4"/>
  <c r="R4" s="1"/>
  <c r="L4"/>
  <c r="K4"/>
  <c r="J4"/>
  <c r="I4"/>
  <c r="H4"/>
  <c r="G4"/>
  <c r="F4"/>
  <c r="E4"/>
  <c r="N3"/>
  <c r="O3" s="1"/>
  <c r="O51" s="1"/>
  <c r="M3"/>
  <c r="M51" s="1"/>
  <c r="L3"/>
  <c r="L51" s="1"/>
  <c r="K3"/>
  <c r="K51" s="1"/>
  <c r="J3"/>
  <c r="J51" s="1"/>
  <c r="I3"/>
  <c r="I51" s="1"/>
  <c r="H3"/>
  <c r="H51" s="1"/>
  <c r="G3"/>
  <c r="G51" s="1"/>
  <c r="F3"/>
  <c r="F51" s="1"/>
  <c r="E3"/>
  <c r="E51" s="1"/>
  <c r="B36" i="14"/>
  <c r="E23"/>
  <c r="F23" s="1"/>
  <c r="D23"/>
  <c r="H23" s="1"/>
  <c r="C23"/>
  <c r="G23" s="1"/>
  <c r="F22"/>
  <c r="E22"/>
  <c r="E24" s="1"/>
  <c r="C22"/>
  <c r="C24" s="1"/>
  <c r="E20"/>
  <c r="D20"/>
  <c r="B33" s="1"/>
  <c r="C20"/>
  <c r="H19"/>
  <c r="G19"/>
  <c r="F19"/>
  <c r="D19"/>
  <c r="H18"/>
  <c r="H20" s="1"/>
  <c r="G18"/>
  <c r="G20" s="1"/>
  <c r="F18"/>
  <c r="F20" s="1"/>
  <c r="D18"/>
  <c r="G16"/>
  <c r="E16"/>
  <c r="C16"/>
  <c r="G15"/>
  <c r="F15"/>
  <c r="D15"/>
  <c r="H15" s="1"/>
  <c r="G14"/>
  <c r="F14"/>
  <c r="F16" s="1"/>
  <c r="D14"/>
  <c r="D16" s="1"/>
  <c r="B28" s="1"/>
  <c r="G8"/>
  <c r="F8"/>
  <c r="G7"/>
  <c r="F7"/>
  <c r="B35" s="1"/>
  <c r="N51" i="15" l="1"/>
  <c r="R3"/>
  <c r="R51" s="1"/>
  <c r="R31"/>
  <c r="R32"/>
  <c r="R33"/>
  <c r="R34"/>
  <c r="R35"/>
  <c r="R36"/>
  <c r="R37"/>
  <c r="R38"/>
  <c r="R39"/>
  <c r="B37" i="14"/>
  <c r="B34"/>
  <c r="F24"/>
  <c r="B31"/>
  <c r="B30"/>
  <c r="H14"/>
  <c r="H16" s="1"/>
  <c r="D22"/>
  <c r="G22"/>
  <c r="G24" s="1"/>
  <c r="D24" l="1"/>
  <c r="B39" s="1"/>
  <c r="H22"/>
  <c r="H24" s="1"/>
  <c r="B40"/>
  <c r="G62" i="13" l="1"/>
  <c r="F62"/>
  <c r="E62"/>
  <c r="J8" i="3" l="1"/>
  <c r="I8"/>
  <c r="H8"/>
  <c r="G8"/>
  <c r="C8"/>
  <c r="S23" i="8" l="1"/>
  <c r="R23"/>
  <c r="Q23"/>
  <c r="N23"/>
  <c r="J23"/>
</calcChain>
</file>

<file path=xl/sharedStrings.xml><?xml version="1.0" encoding="utf-8"?>
<sst xmlns="http://schemas.openxmlformats.org/spreadsheetml/2006/main" count="1735" uniqueCount="577">
  <si>
    <t>Format 1 - Details of Groundnut Seed Producers under CMSS programme.</t>
  </si>
  <si>
    <t>Season:</t>
  </si>
  <si>
    <t>Year:</t>
  </si>
  <si>
    <t>Date of data collection:</t>
  </si>
  <si>
    <t>Facilitating Agency:</t>
  </si>
  <si>
    <t>Mandal:</t>
  </si>
  <si>
    <t>District:</t>
  </si>
  <si>
    <t>S.No</t>
  </si>
  <si>
    <t>Farmer name</t>
  </si>
  <si>
    <t>Community (SC/ST/BC/OC/others</t>
  </si>
  <si>
    <t>Village</t>
  </si>
  <si>
    <t>Madal</t>
  </si>
  <si>
    <t xml:space="preserve">Water source Bore well /bore well/Canal </t>
  </si>
  <si>
    <t>Groundnut Seed Variety (K9, Harithandhra, Dharani)</t>
  </si>
  <si>
    <t>To be Purchased quantity (Q)</t>
  </si>
  <si>
    <t>To be sown extent (Ac)</t>
  </si>
  <si>
    <t>Aadhar card number</t>
  </si>
  <si>
    <t>Mobile No.</t>
  </si>
  <si>
    <t>Farmer contribution (Rs)</t>
  </si>
  <si>
    <t>Father/   Husband</t>
  </si>
  <si>
    <t>Source of the seed</t>
  </si>
  <si>
    <t>Survey No</t>
  </si>
  <si>
    <t>Groundnut Crop sown Extent (Ac)</t>
  </si>
  <si>
    <t>Date of Sowing</t>
  </si>
  <si>
    <t>Quantity Retained for own purpose (Qtls)</t>
  </si>
  <si>
    <t>Quantity to be sold (Q)</t>
  </si>
  <si>
    <t>Purchsed seed quantity (Q)</t>
  </si>
  <si>
    <t>Groundnut sown in (AC)</t>
  </si>
  <si>
    <t>Estimated yield (Q)</t>
  </si>
  <si>
    <t>Date of data Collection:</t>
  </si>
  <si>
    <t>Dt of data collection</t>
  </si>
  <si>
    <t>Season</t>
  </si>
  <si>
    <t>Mandal</t>
  </si>
  <si>
    <t>Date</t>
  </si>
  <si>
    <t>Facilitating angency</t>
  </si>
  <si>
    <t>District</t>
  </si>
  <si>
    <t>CBO name</t>
  </si>
  <si>
    <t>Names of Community seed certifiers</t>
  </si>
  <si>
    <t>Village name</t>
  </si>
  <si>
    <t>Father /husband name</t>
  </si>
  <si>
    <t>Contact number</t>
  </si>
  <si>
    <t>Format 3: Details of Community Seed Certifiers under CMSS</t>
  </si>
  <si>
    <t>Format 2 - Details of Groundnut Seed Producers under CMSS programme.</t>
  </si>
  <si>
    <t>Name of the farmer</t>
  </si>
  <si>
    <t xml:space="preserve">Father Name </t>
  </si>
  <si>
    <t>Caste  (ST/ST/BC/OC/MC)</t>
  </si>
  <si>
    <t>Gram Panchayat</t>
  </si>
  <si>
    <t>Survey No.</t>
  </si>
  <si>
    <t>Sowing Date</t>
  </si>
  <si>
    <t xml:space="preserve">Variety </t>
  </si>
  <si>
    <t xml:space="preserve">Ensuring the rouging by Community Seed Certifiers through visit </t>
  </si>
  <si>
    <t xml:space="preserve">if any,Remarks </t>
  </si>
  <si>
    <t xml:space="preserve">Signature of the Community Seed Certifiers </t>
  </si>
  <si>
    <t xml:space="preserve">roughed out Plants </t>
  </si>
  <si>
    <t>% of roughed</t>
  </si>
  <si>
    <t>Format 4 -Ensuring the rouging by Community Seed Certifiers through visiting the fields on regular intervels under CMSS</t>
  </si>
  <si>
    <t>DISTRIBUTION OF GROUNDNUT UNDER CMSS PROGRAMME - List of Consumers</t>
  </si>
  <si>
    <t>Name of the Purchaser</t>
  </si>
  <si>
    <t>Pass Book No.</t>
  </si>
  <si>
    <t>Purchased quantity (in kgs)</t>
  </si>
  <si>
    <t>Purchased from (Name &amp; Village)</t>
  </si>
  <si>
    <t>Variety name</t>
  </si>
  <si>
    <t>GROUNDNUT PER KGS</t>
  </si>
  <si>
    <t>Bank Details</t>
  </si>
  <si>
    <t>TOTAL COST(RS)</t>
  </si>
  <si>
    <t>FARMER CONTRIBUTION (RS)</t>
  </si>
  <si>
    <t>GOVT SUBSIDY(RS)</t>
  </si>
  <si>
    <t>Bank Name/ place</t>
  </si>
  <si>
    <t>IFSC Code</t>
  </si>
  <si>
    <t>A/c No.</t>
  </si>
  <si>
    <t xml:space="preserve"> </t>
  </si>
  <si>
    <t>Facilitating agency</t>
  </si>
  <si>
    <t>Year</t>
  </si>
  <si>
    <t>Govt subsidy (Rs)</t>
  </si>
  <si>
    <t>Mid season Report Under CMSS programme</t>
  </si>
  <si>
    <t>Kharif</t>
  </si>
  <si>
    <t>Facilitating Agency</t>
  </si>
  <si>
    <t>Disrict</t>
  </si>
  <si>
    <t>Anantapur</t>
  </si>
  <si>
    <t>2015-16</t>
  </si>
  <si>
    <t>Date of data Collection</t>
  </si>
  <si>
    <t>Father/ Husband</t>
  </si>
  <si>
    <t>Servay number</t>
  </si>
  <si>
    <t>Water source Bore well /bore well/Canal</t>
  </si>
  <si>
    <t>Purchased seed quantity (Q)</t>
  </si>
  <si>
    <t>Type of seed (br/fn/cs)</t>
  </si>
  <si>
    <t>Expected harvesting time</t>
  </si>
  <si>
    <t>Quantity to be sold (Q</t>
  </si>
  <si>
    <t>Total</t>
  </si>
  <si>
    <t xml:space="preserve">Annexure -2 </t>
  </si>
  <si>
    <t>Statement showing the particulars of Growers list under registration</t>
  </si>
  <si>
    <t>Name of the seed producer (NGO):</t>
  </si>
  <si>
    <t>Date:</t>
  </si>
  <si>
    <t>Sl.no</t>
  </si>
  <si>
    <t>Crop</t>
  </si>
  <si>
    <t>Variety</t>
  </si>
  <si>
    <t>Class</t>
  </si>
  <si>
    <t>Stage</t>
  </si>
  <si>
    <t>Name of the grower</t>
  </si>
  <si>
    <t>Sowing area (acres)</t>
  </si>
  <si>
    <t>Survey numbers</t>
  </si>
  <si>
    <t xml:space="preserve">Cell No </t>
  </si>
  <si>
    <t>Groundnut</t>
  </si>
  <si>
    <t>Total:</t>
  </si>
  <si>
    <t>UTILIZATION CERTIFICATE</t>
  </si>
  <si>
    <r>
      <t xml:space="preserve">This is to certify that the following  </t>
    </r>
    <r>
      <rPr>
        <b/>
        <sz val="12"/>
        <color theme="1"/>
        <rFont val="Comic Sans MS"/>
        <family val="4"/>
      </rPr>
      <t xml:space="preserve">Groundnut </t>
    </r>
    <r>
      <rPr>
        <sz val="11"/>
        <color theme="1"/>
        <rFont val="Comic Sans MS"/>
        <family val="4"/>
      </rPr>
      <t xml:space="preserve"> Quantities   supplied   </t>
    </r>
    <r>
      <rPr>
        <b/>
        <sz val="11"/>
        <color theme="1"/>
        <rFont val="Comic Sans MS"/>
        <family val="4"/>
      </rPr>
      <t>under  C.M.S.S (Community Managed Seed System) Subsidy  During  Kahrif.2016</t>
    </r>
    <r>
      <rPr>
        <sz val="11"/>
        <color theme="1"/>
        <rFont val="Comic Sans MS"/>
        <family val="4"/>
      </rPr>
      <t xml:space="preserve"> and  utilized  as here under  .</t>
    </r>
  </si>
  <si>
    <t>NAME OF THE MANDAL</t>
  </si>
  <si>
    <t>( Qty in kgs) &amp; (Value in Rs)</t>
  </si>
  <si>
    <t>Sl.No</t>
  </si>
  <si>
    <t>Category</t>
  </si>
  <si>
    <t>No of Farmers covered</t>
  </si>
  <si>
    <t>Crop/Variety</t>
  </si>
  <si>
    <t>Class of Seed</t>
  </si>
  <si>
    <t>Rate per Kg</t>
  </si>
  <si>
    <t>Qty Utilized         in kgs</t>
  </si>
  <si>
    <t>Full Value                           in Rs.</t>
  </si>
  <si>
    <t>Subsidy Allowed in Rs</t>
  </si>
  <si>
    <t>Non Subsidy Amount in Rs</t>
  </si>
  <si>
    <t xml:space="preserve">Genaral </t>
  </si>
  <si>
    <t>SC</t>
  </si>
  <si>
    <t xml:space="preserve">ST </t>
  </si>
  <si>
    <t>TOTAL</t>
  </si>
  <si>
    <t xml:space="preserve">Invoice    for   the payment   of Incidental    charges to CBO,   NGO    and LTA of Navadhanya cropping system </t>
  </si>
  <si>
    <t xml:space="preserve">Invoice No: 01 </t>
  </si>
  <si>
    <t>To</t>
  </si>
  <si>
    <t>The Joint Director of Agriculture,</t>
  </si>
  <si>
    <t>Ananthapuramu.</t>
  </si>
  <si>
    <t>:</t>
  </si>
  <si>
    <t>General</t>
  </si>
  <si>
    <t>Scheme</t>
  </si>
  <si>
    <t>Normal stage Plan</t>
  </si>
  <si>
    <t>Subsidy</t>
  </si>
  <si>
    <t>Incidental charges allowed per KIT 5Kgs in R.s:150/-</t>
  </si>
  <si>
    <t>Si.No</t>
  </si>
  <si>
    <t>Component</t>
  </si>
  <si>
    <t xml:space="preserve">Quanity distributed in Kits 5Kgs </t>
  </si>
  <si>
    <t xml:space="preserve">Rate per Kit in 5Kgs </t>
  </si>
  <si>
    <t>Tatal incurred in Rs</t>
  </si>
  <si>
    <t>Processing and handling chargers for CBO</t>
  </si>
  <si>
    <t>Facilitation costs for NGO</t>
  </si>
  <si>
    <t xml:space="preserve">Facilitation costs for LTA ,WAASAN </t>
  </si>
  <si>
    <t xml:space="preserve">Total Incidental charges </t>
  </si>
  <si>
    <t>Signature with seal of MVK</t>
  </si>
  <si>
    <t>Signature with seal of NGO</t>
  </si>
  <si>
    <t>CERTIFICATE</t>
  </si>
  <si>
    <t>This is certify that an amount Rs: ………………./- (…………………………………………………….Only ) was incurred by the NGO /CBO/………………………………………………………………………. to words incidental charges for  …………….Qtls of Navadhanya kits   Produced in seed village progrmme and distributed during Khariff 2016 (BSSO Mode) .</t>
  </si>
  <si>
    <t>Signature with seal AD</t>
  </si>
  <si>
    <t xml:space="preserve">   Signature with seal AO</t>
  </si>
  <si>
    <t>Invoice No: 02</t>
  </si>
  <si>
    <t>Naramal stage Plan</t>
  </si>
  <si>
    <t>Incidenntal charges allowed per KIT 5Kgs in R.s:150/-</t>
  </si>
  <si>
    <t>Invoice No: 03</t>
  </si>
  <si>
    <t>ST</t>
  </si>
  <si>
    <t xml:space="preserve">Navadhanya Seed Destribution Data kharif 2016 SUPORTED BY DOA  ANANTAPURAMU DIST  </t>
  </si>
  <si>
    <t>Name of the MVK</t>
  </si>
  <si>
    <t>Name of the Mandal</t>
  </si>
  <si>
    <t>Facilitating NGO</t>
  </si>
  <si>
    <t>No of kits planned</t>
  </si>
  <si>
    <t xml:space="preserve">Distributed kits </t>
  </si>
  <si>
    <t xml:space="preserve">No of Farmers </t>
  </si>
  <si>
    <t xml:space="preserve">Actuval Data Nos </t>
  </si>
  <si>
    <t>Kuderu Mandala Sasyamitra Samkhya</t>
  </si>
  <si>
    <t>Atmakuru</t>
  </si>
  <si>
    <t>AF Ecology Centre</t>
  </si>
  <si>
    <t>Kuderu</t>
  </si>
  <si>
    <t>Kalyandurgam Mandala Sasyamitra Samkhya</t>
  </si>
  <si>
    <t>Beluguppa</t>
  </si>
  <si>
    <t>Kalyandurgam</t>
  </si>
  <si>
    <t>Settur Mandala Sasyamitra Samkhya</t>
  </si>
  <si>
    <t>Settur</t>
  </si>
  <si>
    <t>Kundurpi</t>
  </si>
  <si>
    <t>Gondireddypalli Grama Sasya Mitra Samakhya</t>
  </si>
  <si>
    <t>Rapthadu</t>
  </si>
  <si>
    <t xml:space="preserve">Dharmavaram </t>
  </si>
  <si>
    <t>Amrutha Mandala Mahila Samakhya</t>
  </si>
  <si>
    <t>Amadagur</t>
  </si>
  <si>
    <t>Annadatha Mandala Rythula MACS</t>
  </si>
  <si>
    <t>Gandlapenta</t>
  </si>
  <si>
    <t xml:space="preserve">ANNADATA </t>
  </si>
  <si>
    <t>Chaitanya Mandala Mahila Samakhya</t>
  </si>
  <si>
    <t>Madakasira</t>
  </si>
  <si>
    <t>Chaitanya MMS</t>
  </si>
  <si>
    <t xml:space="preserve">Somarajukunta Integrated Watershed Development Mutually Aided Cooperative Society </t>
  </si>
  <si>
    <t xml:space="preserve">N.P.Kunta </t>
  </si>
  <si>
    <t xml:space="preserve">FES </t>
  </si>
  <si>
    <t>NP Kunta Gandlapenta Maathota Development Committee</t>
  </si>
  <si>
    <t>Sri Maremma Rythu Sangam</t>
  </si>
  <si>
    <t>Amarapuram</t>
  </si>
  <si>
    <t>FORD</t>
  </si>
  <si>
    <t>Nagasree Swayam Sahayaka Sangham</t>
  </si>
  <si>
    <t>Gudibanda</t>
  </si>
  <si>
    <t>Sri Lakshmi Narasimha Rythu Mitra Group</t>
  </si>
  <si>
    <t>Rolla &amp; Agali</t>
  </si>
  <si>
    <t>Tadimarri Swasakthi Sendreeya Vyavasaya Atavi Uthpathula MACS</t>
  </si>
  <si>
    <t>Tadimarri</t>
  </si>
  <si>
    <t>Gramavikas</t>
  </si>
  <si>
    <t>Sri Pedhamma Neetiyajamanya Sangham, Yarragudi</t>
  </si>
  <si>
    <t>Gooty</t>
  </si>
  <si>
    <t>HANDS</t>
  </si>
  <si>
    <t>Sri Vinayaka Neetiyajamanya Sangham, T.Kothapalli</t>
  </si>
  <si>
    <t>Yadiki</t>
  </si>
  <si>
    <t xml:space="preserve">Peddavaduguru </t>
  </si>
  <si>
    <t>Sri   Venkateswara  Raithu Club</t>
  </si>
  <si>
    <t>Guntakal</t>
  </si>
  <si>
    <t xml:space="preserve">Vidapanakallu </t>
  </si>
  <si>
    <t>BALAJI RYTHUMITHRA SANGAM</t>
  </si>
  <si>
    <t>Pamidi</t>
  </si>
  <si>
    <t>Bhagya Lakshmi Agri Producers MACS</t>
  </si>
  <si>
    <t>Penukonda</t>
  </si>
  <si>
    <t>Jarutla Ramalingeswara Raithumitra Sangam</t>
  </si>
  <si>
    <t>Vajrakaruru</t>
  </si>
  <si>
    <t xml:space="preserve">Uravakonda </t>
  </si>
  <si>
    <t>Sri Lakshmi Venkateswara Yuvajana Sangham, Puligundlapalli</t>
  </si>
  <si>
    <t>Talupula</t>
  </si>
  <si>
    <t>HARITHA</t>
  </si>
  <si>
    <t>Sri Vinayaka Vittanothpatti Sangham</t>
  </si>
  <si>
    <t>Jai Kissan Fedaration</t>
  </si>
  <si>
    <t>Bukkapatnam</t>
  </si>
  <si>
    <t>IABWS</t>
  </si>
  <si>
    <t>gorantla</t>
  </si>
  <si>
    <t>Kothacheruvu</t>
  </si>
  <si>
    <t>Maathota Mahasangam</t>
  </si>
  <si>
    <t>Puttaparthi</t>
  </si>
  <si>
    <t>Gangasanivandlapalli WS Development MACS</t>
  </si>
  <si>
    <t>Tanakallu</t>
  </si>
  <si>
    <t>Janajaagriti</t>
  </si>
  <si>
    <t>Khadri Jalanidhi MACS</t>
  </si>
  <si>
    <t>Sai Jalanidhi MACS</t>
  </si>
  <si>
    <t>Nallamada</t>
  </si>
  <si>
    <t>Vennela Rythumitra Group</t>
  </si>
  <si>
    <t>KRANTHI</t>
  </si>
  <si>
    <t>Pulekamma Maitri Sangham</t>
  </si>
  <si>
    <t>Roddam</t>
  </si>
  <si>
    <t>KREDS</t>
  </si>
  <si>
    <t>Abhyudaya Community Managed Resource Centre</t>
  </si>
  <si>
    <t>ODC</t>
  </si>
  <si>
    <t>MYRADA</t>
  </si>
  <si>
    <t>Prathibha Community Managed Resource Centre</t>
  </si>
  <si>
    <t>Nallacheruvu</t>
  </si>
  <si>
    <t>Jeevana Jyothi Community Managed Resource Centre</t>
  </si>
  <si>
    <t>Kadiri</t>
  </si>
  <si>
    <t>Gorantla Farmers Producers Group</t>
  </si>
  <si>
    <t>Gorantla</t>
  </si>
  <si>
    <t>Tanakallu Farmers Producer group</t>
  </si>
  <si>
    <t>Adarsha Community Managed Resource Centre</t>
  </si>
  <si>
    <t>Bismillah Mahila Sangham</t>
  </si>
  <si>
    <t>Battalapalli</t>
  </si>
  <si>
    <t>PASS</t>
  </si>
  <si>
    <t>Sri Lakshmi Narasimha Vikaluangula Sangam, Thimmapuram</t>
  </si>
  <si>
    <t>Ramagiri</t>
  </si>
  <si>
    <t>Khadri Swasakthi sendriya vyavasayaatavi uthpathulasahayasahakarasangam</t>
  </si>
  <si>
    <t>REDS</t>
  </si>
  <si>
    <t xml:space="preserve">Amadagru </t>
  </si>
  <si>
    <t xml:space="preserve">Sri Sai  Raithu Sangham </t>
  </si>
  <si>
    <t>Anantapur Rural</t>
  </si>
  <si>
    <t xml:space="preserve">ODC Mahila raithula Samakya </t>
  </si>
  <si>
    <t>Nallamada Swasakthi sendriya vyavasayaatavi uthpathula MACS</t>
  </si>
  <si>
    <t>Marutla III Neetiparivahaka Pranta Samagra Abhivridhi MACS</t>
  </si>
  <si>
    <t>RIDS</t>
  </si>
  <si>
    <t>Sustainable Ground Water Management Mutually Aided Co-op Society-Kotanka</t>
  </si>
  <si>
    <t>Garladinne</t>
  </si>
  <si>
    <t>CheelepalliNeetiparivahaka Pranta Samagra Sahayaka sangham</t>
  </si>
  <si>
    <t>Singanamala</t>
  </si>
  <si>
    <t>Sree LakshmiNarasimha Swami MahilaSangam</t>
  </si>
  <si>
    <t>Somandepalli</t>
  </si>
  <si>
    <t>SAMATHA</t>
  </si>
  <si>
    <t>Shiva SHG, Kondapuram</t>
  </si>
  <si>
    <t>NAME OF THE MVK: ANNADATA</t>
  </si>
  <si>
    <t>Please Fill Yellow Color Columns Only</t>
  </si>
  <si>
    <t>NAME OF THE NGO:  ANNADATA MACS</t>
  </si>
  <si>
    <t>MANDAL: GANDLAPENTA</t>
  </si>
  <si>
    <t>Advance Payments &amp; Receipts in MVK  as on 31st May 2016</t>
  </si>
  <si>
    <t>DETAILS</t>
  </si>
  <si>
    <t>UNITS</t>
  </si>
  <si>
    <t>BSSO</t>
  </si>
  <si>
    <t>F to F</t>
  </si>
  <si>
    <t>Price</t>
  </si>
  <si>
    <t>Purchase Price</t>
  </si>
  <si>
    <t>CSII</t>
  </si>
  <si>
    <t>Rs/30kg Bag</t>
  </si>
  <si>
    <t>FSII</t>
  </si>
  <si>
    <t>Sale Price</t>
  </si>
  <si>
    <t>Quantities Transacted (Purchased ,Sold &amp; Stock)</t>
  </si>
  <si>
    <t>GRAND TOTAL</t>
  </si>
  <si>
    <t>Purchased</t>
  </si>
  <si>
    <t>Units</t>
  </si>
  <si>
    <t>Bags</t>
  </si>
  <si>
    <t>Total Amt</t>
  </si>
  <si>
    <t>30kg Bag</t>
  </si>
  <si>
    <t xml:space="preserve">TOTAL  </t>
  </si>
  <si>
    <t>Sold or Distributed</t>
  </si>
  <si>
    <t>Stock with MVK</t>
  </si>
  <si>
    <t>Transactions with APSSDCL</t>
  </si>
  <si>
    <t>Seed Procurement (CSII &amp; FSII)</t>
  </si>
  <si>
    <t>Amt in Rs.</t>
  </si>
  <si>
    <t>a) Advance Received From APSSDCL</t>
  </si>
  <si>
    <t>b) Amount Payable to farmers for seed procurement</t>
  </si>
  <si>
    <t>c) Amount Actually paid to farmers for seed Procurement</t>
  </si>
  <si>
    <t>d) Balance of amount to be paid to Farmers</t>
  </si>
  <si>
    <t>e) Balance of Advance of APSSDCL with MVK as on Date</t>
  </si>
  <si>
    <t>Seed Sales (CSII &amp; FSII)</t>
  </si>
  <si>
    <t>a) Amount to be received from Farmers towards non subsidy part of the seed - price</t>
  </si>
  <si>
    <t>b) Amount Acutally received from Farmers towards non-subsidy part of the seed</t>
  </si>
  <si>
    <t>c) Subsidy for CSII</t>
  </si>
  <si>
    <t>d) Subsidy for FSII</t>
  </si>
  <si>
    <t>e) Balance amount to be received from Farmers</t>
  </si>
  <si>
    <t>f) Amount return to APSSDCL</t>
  </si>
  <si>
    <t>g) Stock to be Transferred to APSSDCL</t>
  </si>
  <si>
    <t>h) Amount to be return to APSSDCL</t>
  </si>
  <si>
    <t>Cash at Bank as per Bank Book</t>
  </si>
  <si>
    <t>MVK'S PROCUREMENT, SALES &amp; ADVANCE DETAILS AS ON 31ST MAY 2016</t>
  </si>
  <si>
    <t>S.NO</t>
  </si>
  <si>
    <t>NGO</t>
  </si>
  <si>
    <t>MVK</t>
  </si>
  <si>
    <t xml:space="preserve">Name of The Mandal </t>
  </si>
  <si>
    <t>BSSO Purchase Bags</t>
  </si>
  <si>
    <t>BSSO Purchase Value</t>
  </si>
  <si>
    <t>BSSO Sale Bags</t>
  </si>
  <si>
    <t>BSSO Sale Value non Subsidy</t>
  </si>
  <si>
    <t xml:space="preserve">BSSO Sale Value Subsidy </t>
  </si>
  <si>
    <t>APSSDC Advance</t>
  </si>
  <si>
    <t>Advance Balance</t>
  </si>
  <si>
    <t>Stock to be sold to APSSDC</t>
  </si>
  <si>
    <t>Outstanding Advance to APSSDC</t>
  </si>
  <si>
    <t>MVK Bank Balance</t>
  </si>
  <si>
    <t>Shortfall / Surplus</t>
  </si>
  <si>
    <t xml:space="preserve">Payment for AP Seeds Trancefor amount in Rs </t>
  </si>
  <si>
    <t xml:space="preserve">Date </t>
  </si>
  <si>
    <t>JANAJAGRUTHI</t>
  </si>
  <si>
    <t>Gangasanivandlapally</t>
  </si>
  <si>
    <t xml:space="preserve">Tanakallu </t>
  </si>
  <si>
    <t>Marutla MACS</t>
  </si>
  <si>
    <t>SUGWM MACS</t>
  </si>
  <si>
    <t>Cheelapally MACS</t>
  </si>
  <si>
    <t>HARITA</t>
  </si>
  <si>
    <t>Sri Laxmi Venkateshwara</t>
  </si>
  <si>
    <t>Talupuala</t>
  </si>
  <si>
    <t>Vennela RMG</t>
  </si>
  <si>
    <t>Kadiri Swashakthi</t>
  </si>
  <si>
    <t>Sree Vinayaka</t>
  </si>
  <si>
    <t>Mudigubba</t>
  </si>
  <si>
    <t>ODC Mahila Rythu Samakya</t>
  </si>
  <si>
    <t>Sri Sai Raithu Sangham</t>
  </si>
  <si>
    <t>Anantapuram</t>
  </si>
  <si>
    <t xml:space="preserve">Nallamada Swashakthi </t>
  </si>
  <si>
    <t>Nagasri Swayam Shakthi</t>
  </si>
  <si>
    <t>AMRUTHA</t>
  </si>
  <si>
    <t>Amrutha MACS</t>
  </si>
  <si>
    <t>Amadaguru</t>
  </si>
  <si>
    <t>GRAM VIKAS</t>
  </si>
  <si>
    <t>TSSVAU PSS Ltd</t>
  </si>
  <si>
    <t>Adarsha CMRC</t>
  </si>
  <si>
    <t>Gorantla FPG</t>
  </si>
  <si>
    <t>Abhyudaya CMRC</t>
  </si>
  <si>
    <t>Tanakal FPG</t>
  </si>
  <si>
    <t>Jeevana Jyothi</t>
  </si>
  <si>
    <t>KADIRI</t>
  </si>
  <si>
    <t>Bismilla M/S</t>
  </si>
  <si>
    <t>bATTALAPAlli</t>
  </si>
  <si>
    <t xml:space="preserve">Laxmi Narsimha </t>
  </si>
  <si>
    <t>Prathibha CMRC</t>
  </si>
  <si>
    <t>Rolla</t>
  </si>
  <si>
    <t>Maremma Raithu Sangham</t>
  </si>
  <si>
    <t>CHAITANYA</t>
  </si>
  <si>
    <t>Adakasira</t>
  </si>
  <si>
    <t>ANNADATA</t>
  </si>
  <si>
    <t>Annadata MACS</t>
  </si>
  <si>
    <t xml:space="preserve">SAMATHA </t>
  </si>
  <si>
    <t xml:space="preserve">SIVA </t>
  </si>
  <si>
    <t>Penugonda</t>
  </si>
  <si>
    <t xml:space="preserve">Laksmi Narasimha </t>
  </si>
  <si>
    <t xml:space="preserve">IAABWS </t>
  </si>
  <si>
    <t xml:space="preserve">Jaikisan </t>
  </si>
  <si>
    <t xml:space="preserve">Mathota </t>
  </si>
  <si>
    <t>Puttaparthy</t>
  </si>
  <si>
    <t xml:space="preserve">Jeeani </t>
  </si>
  <si>
    <t xml:space="preserve">Mallikarjuna </t>
  </si>
  <si>
    <t xml:space="preserve">jeevani </t>
  </si>
  <si>
    <t xml:space="preserve">Chennakesava </t>
  </si>
  <si>
    <t xml:space="preserve">Mastan swami </t>
  </si>
  <si>
    <t>AF</t>
  </si>
  <si>
    <t>Kalyanadurg sms</t>
  </si>
  <si>
    <t>Kalyanadurg</t>
  </si>
  <si>
    <t>Setturu</t>
  </si>
  <si>
    <t>13-06-2016</t>
  </si>
  <si>
    <t xml:space="preserve">Gondi reddy Palli GSS </t>
  </si>
  <si>
    <t xml:space="preserve">HANDS </t>
  </si>
  <si>
    <t xml:space="preserve">Peddamma Neeti Yajamanya sangham </t>
  </si>
  <si>
    <t>Venkateswara</t>
  </si>
  <si>
    <t>guntakal</t>
  </si>
  <si>
    <t>Bhagya Lakshmi MACS</t>
  </si>
  <si>
    <t xml:space="preserve">Jarutla Ramalingeswara Farmers group </t>
  </si>
  <si>
    <t>Vajrakarur</t>
  </si>
  <si>
    <t xml:space="preserve">Sri Vinayaka neetiyajamanya sangam </t>
  </si>
  <si>
    <t>Peddavaduguru</t>
  </si>
  <si>
    <t xml:space="preserve">Sri Balaji Raithu Mitra Sangham </t>
  </si>
  <si>
    <t xml:space="preserve">Haritha </t>
  </si>
  <si>
    <t xml:space="preserve">Mudigubba Fgarmers group </t>
  </si>
  <si>
    <t xml:space="preserve">KREDS </t>
  </si>
  <si>
    <t xml:space="preserve">Pulekamma Raithu Mitra sangham </t>
  </si>
  <si>
    <t>CCD</t>
  </si>
  <si>
    <t xml:space="preserve">Sri Satya sai Farm,ars MACS </t>
  </si>
  <si>
    <t xml:space="preserve">Kottacheruvu </t>
  </si>
  <si>
    <t xml:space="preserve"> Community Managed Seed system - CMSS  : ANANTAPURAMU</t>
  </si>
  <si>
    <t>Sl.  No</t>
  </si>
  <si>
    <t>CS1</t>
  </si>
  <si>
    <t>FS2</t>
  </si>
  <si>
    <t xml:space="preserve">Utilized Amount in Rs </t>
  </si>
  <si>
    <t xml:space="preserve">unUtilized Amount in Rs </t>
  </si>
  <si>
    <t>Total Advance taken by MVK</t>
  </si>
  <si>
    <t>No. of Bags</t>
  </si>
  <si>
    <t>Qty. in Qtls.</t>
  </si>
  <si>
    <t>Purchased Value Per qtls Rs.5900/-</t>
  </si>
  <si>
    <t>Purchased Value per Qtls Rs.6200/-</t>
  </si>
  <si>
    <t>5*6=7</t>
  </si>
  <si>
    <t>8*9=10</t>
  </si>
  <si>
    <t>7*10=11</t>
  </si>
  <si>
    <t>(11-13)=12</t>
  </si>
  <si>
    <t>Sri Balaji Rythumitra Sangham</t>
  </si>
  <si>
    <t>Mudigubba mandala vyasayadarula vittana sangham</t>
  </si>
  <si>
    <t>CHENNAKESAVA  SWAMY FARMERS CLUB, PINNADARI</t>
  </si>
  <si>
    <t>JEEVANI</t>
  </si>
  <si>
    <t>MALLIKARJUNA SWAMY FARMERS CLUB, ANANTHA SAGARAM</t>
  </si>
  <si>
    <t>MASTAN  SWAMY FARMERS CLUB</t>
  </si>
  <si>
    <t>Sri Satya Sai Farmers MAC Fed Ltd</t>
  </si>
  <si>
    <t>Kothacheruvu &amp; Puttaparthi</t>
  </si>
  <si>
    <t>Centre for Collective Development</t>
  </si>
  <si>
    <t>WASSAN</t>
  </si>
  <si>
    <t>CMSS  Sales Amount upto 28.06.2016</t>
  </si>
  <si>
    <t>CS2</t>
  </si>
  <si>
    <t>Rate for Qtls .Rs 4087/-</t>
  </si>
  <si>
    <t>Rate for Qtls.Rs 2013/-</t>
  </si>
  <si>
    <t>Rate for Qtls.Rs 4288/-</t>
  </si>
  <si>
    <t>Rate for Qtls.Rs 2112/-</t>
  </si>
  <si>
    <t xml:space="preserve">Total amount </t>
  </si>
  <si>
    <t>Sales  Value Per qtls Rs.6100/-</t>
  </si>
  <si>
    <t>Non-Subsidy Amount</t>
  </si>
  <si>
    <t>Subsidy Amount</t>
  </si>
  <si>
    <t>Sales  Value per Qtls Rs.6400/-</t>
  </si>
  <si>
    <t xml:space="preserve">Total Amount </t>
  </si>
  <si>
    <t>(5*6)=7</t>
  </si>
  <si>
    <t>(10*11)=12</t>
  </si>
  <si>
    <t>(8+13)=15</t>
  </si>
  <si>
    <t>(9+14)=16</t>
  </si>
  <si>
    <t>(15+16)=17</t>
  </si>
  <si>
    <t>APSSDC LTD : ANANTAPURAMU</t>
  </si>
  <si>
    <t>CMSS Amounts  So  For Received upto .06.2016</t>
  </si>
  <si>
    <t>Utilized Amount (Purchased Value Rs.59/-)</t>
  </si>
  <si>
    <t>Non utilized Amount</t>
  </si>
  <si>
    <t>Total Amount to be paid by MVK's</t>
  </si>
  <si>
    <t xml:space="preserve">Total Amount Received </t>
  </si>
  <si>
    <t>C.R.No.</t>
  </si>
  <si>
    <t>Balance Amount</t>
  </si>
  <si>
    <t>10115, 10136</t>
  </si>
  <si>
    <t>10166, 10186</t>
  </si>
  <si>
    <t>10251, 10275</t>
  </si>
  <si>
    <t>10095,  10194</t>
  </si>
  <si>
    <t>10087,  10216, 10256</t>
  </si>
  <si>
    <t>10138,   10345</t>
  </si>
  <si>
    <t>S NO</t>
  </si>
  <si>
    <t xml:space="preserve">NGO NAME </t>
  </si>
  <si>
    <t xml:space="preserve">WORKING VILLAGE </t>
  </si>
  <si>
    <t xml:space="preserve">NGOs Send Data </t>
  </si>
  <si>
    <t xml:space="preserve">AP Seeds Data </t>
  </si>
  <si>
    <t>NO OF FARMERS</t>
  </si>
  <si>
    <t xml:space="preserve">Bags </t>
  </si>
  <si>
    <t>AMADAGUR</t>
  </si>
  <si>
    <t>NALLAMADA</t>
  </si>
  <si>
    <t>ANANTAPUR RURAL</t>
  </si>
  <si>
    <t>AMRUTHA MMS</t>
  </si>
  <si>
    <t xml:space="preserve">MYRADA </t>
  </si>
  <si>
    <t xml:space="preserve">GORANTLA </t>
  </si>
  <si>
    <t>NALLACHERUVU</t>
  </si>
  <si>
    <t>TANAKALLU</t>
  </si>
  <si>
    <t xml:space="preserve">FORD </t>
  </si>
  <si>
    <t>AMARAPURAM</t>
  </si>
  <si>
    <t>GUDIBANDA</t>
  </si>
  <si>
    <t xml:space="preserve">ROLLA </t>
  </si>
  <si>
    <t>BATHALAPALLI</t>
  </si>
  <si>
    <t>RAMAGIRI</t>
  </si>
  <si>
    <t>TADIMARRI</t>
  </si>
  <si>
    <t>MUDIGUBBA</t>
  </si>
  <si>
    <t>BUKKAPATNAM</t>
  </si>
  <si>
    <t>GORANTLA</t>
  </si>
  <si>
    <t>KOTHACHERUVU</t>
  </si>
  <si>
    <t>PUTTAPARTHI</t>
  </si>
  <si>
    <t>JANA JAGRUTHI</t>
  </si>
  <si>
    <t>GANDLA PENTA</t>
  </si>
  <si>
    <t xml:space="preserve">RIDS </t>
  </si>
  <si>
    <t>GARLADINNE</t>
  </si>
  <si>
    <t>KUDERU</t>
  </si>
  <si>
    <t>SINGANAMALA</t>
  </si>
  <si>
    <t xml:space="preserve">Guntakal </t>
  </si>
  <si>
    <t>PAMIDI</t>
  </si>
  <si>
    <t>Pedda Pappuru</t>
  </si>
  <si>
    <t>Pedda Vaduguru</t>
  </si>
  <si>
    <t xml:space="preserve">Penugonda </t>
  </si>
  <si>
    <t xml:space="preserve">HARITHA </t>
  </si>
  <si>
    <t>TALAPULA PULIGUNDLAPALLI</t>
  </si>
  <si>
    <t>TALAPULA KURLI</t>
  </si>
  <si>
    <t xml:space="preserve">ANNADATHA </t>
  </si>
  <si>
    <t>GANDLAPENTA</t>
  </si>
  <si>
    <t>NP KUNTA</t>
  </si>
  <si>
    <t>MADAKASIRA</t>
  </si>
  <si>
    <t>PENUKONDA</t>
  </si>
  <si>
    <t xml:space="preserve">Somande Palli </t>
  </si>
  <si>
    <t>RAPTHADU</t>
  </si>
  <si>
    <t>KALYANDURGHAM</t>
  </si>
  <si>
    <t>SETTURU</t>
  </si>
  <si>
    <t>GRAMAVIKAS</t>
  </si>
  <si>
    <t>TALAPULA</t>
  </si>
  <si>
    <t xml:space="preserve"> Comminity Managed Seed System(CMSS)- amount incidental charges to MVKs,Fas/NGOs&amp;LTA,WASSAN  as advance for implementing thoure CMSS programme</t>
  </si>
  <si>
    <t xml:space="preserve">Seson </t>
  </si>
  <si>
    <t>Seeds-Kharif 2016</t>
  </si>
  <si>
    <t>20-08-2016</t>
  </si>
  <si>
    <t xml:space="preserve">Remarks </t>
  </si>
  <si>
    <t>Sl.NO</t>
  </si>
  <si>
    <t xml:space="preserve">Target Quvantity InQtls </t>
  </si>
  <si>
    <t xml:space="preserve">Recived Incidantol Chagess Adwance in Rs </t>
  </si>
  <si>
    <t xml:space="preserve">Achived Quntity in Qtls </t>
  </si>
  <si>
    <t xml:space="preserve">Incidantol  charges in Rs </t>
  </si>
  <si>
    <t>to be returned to Dept Rs</t>
  </si>
  <si>
    <t xml:space="preserve">Paid amount </t>
  </si>
  <si>
    <t xml:space="preserve">Balance </t>
  </si>
  <si>
    <t xml:space="preserve">Balance to MVK at DoA </t>
  </si>
  <si>
    <t>8-6=9</t>
  </si>
  <si>
    <t>Check No 567729 Date 5-10-2016</t>
  </si>
  <si>
    <t>Check No:-117320 Date 5-10-2016</t>
  </si>
  <si>
    <t>Check No:-497172 Date 4-05-2016</t>
  </si>
  <si>
    <t>Check No :-584021 Date 5-10-2016</t>
  </si>
  <si>
    <t>Atmakuru Mandala Sasyamitra Samkhya</t>
  </si>
  <si>
    <t xml:space="preserve">all redy submeted </t>
  </si>
  <si>
    <t>Beluguppa Mandala Sasyamitra Samkhya</t>
  </si>
  <si>
    <t xml:space="preserve">Dharmavaram Mandala Sasyamitra Samakhya, </t>
  </si>
  <si>
    <t>Dharmavaram</t>
  </si>
  <si>
    <t xml:space="preserve">Chech No 947058 Date 5-10-2016 </t>
  </si>
  <si>
    <t>DD No 185604 Amount Rs 52783</t>
  </si>
  <si>
    <t xml:space="preserve"> Check No 527741, Date 29-09-2016 </t>
  </si>
  <si>
    <t xml:space="preserve">Check No.930929 Date 3-10-2016 </t>
  </si>
  <si>
    <t>Check No 592382 ,        Date 30-09-2016</t>
  </si>
  <si>
    <t xml:space="preserve">Chech No 138331 Date 5-10-2016 </t>
  </si>
  <si>
    <t xml:space="preserve">Check no 483940 Date 5-10-2016 Amount Rs .-71478+2015 kharif balance amount 62040=133518,this amount </t>
  </si>
  <si>
    <t xml:space="preserve">Check no 149903 Date 5-10-2016 Amount Rs .-7584+2015 kharif balance amount 3600=11184,this amount </t>
  </si>
  <si>
    <t xml:space="preserve">Check no 297016 Date 5-10-2016 Amount Rs .-170280+2015 kharif balance amount Rs 71520 =241800,this amount </t>
  </si>
  <si>
    <t>Check No 616090 Date 5-10-2016</t>
  </si>
  <si>
    <t xml:space="preserve">Transfer to RTGS </t>
  </si>
  <si>
    <t>Check No 406608 Date 27-09-2016</t>
  </si>
  <si>
    <t xml:space="preserve">Check No:-716808 Date 27-09-2016 </t>
  </si>
  <si>
    <t>Check No:-277842 Date 5-10-2016  Amount 22260+5808+10526=38594</t>
  </si>
  <si>
    <t xml:space="preserve">DD No:-408502 Date 15-09-2016 Amount Rs 6336+7176+3984+6561=24047+1980=26037/- </t>
  </si>
  <si>
    <t>Check No:-610105  Date 5-10-2016 Amount Rs  8820+3308=12128/-</t>
  </si>
  <si>
    <t>Check No:-467949 Date 27-09-2016</t>
  </si>
  <si>
    <t>Check No:-545007 Date 27-09-2016</t>
  </si>
  <si>
    <t>Check No :-885354 Date 27-09-2016</t>
  </si>
  <si>
    <t>Check No:-38834 Date 2-10-2016 Amount Rs 10164+9132+7236=26532</t>
  </si>
  <si>
    <t>Check No:-149565 Date 27-09-2016</t>
  </si>
  <si>
    <t>Check No:-577499Date :-27-09-2016</t>
  </si>
  <si>
    <t>Check No:-467873 Date 27-09-2016</t>
  </si>
  <si>
    <t>Check No:-464928 Date 27-09-2016</t>
  </si>
  <si>
    <t>Check N0:-57141 Date 27-09-2016</t>
  </si>
  <si>
    <t>DD No:-272770 Date :-28-09-2016</t>
  </si>
  <si>
    <t>DD No:-520102 Date 26-09-2016</t>
  </si>
  <si>
    <t>Ramachandrauram Neetiparivahaka Pranta Samagra Sahayaka sangham</t>
  </si>
  <si>
    <t>DD No:-91718 Date 28-09-2016</t>
  </si>
  <si>
    <t>DD Nos:-984809 ,520103 date 19-09-2016,26-09-2016</t>
  </si>
  <si>
    <t>DD No:-798651 Date 1-10-2016 Amount Rs 11472+40128+19350=70950/-</t>
  </si>
  <si>
    <t xml:space="preserve">Annadatha MACS </t>
  </si>
  <si>
    <t>Annadta mandal MACS</t>
  </si>
  <si>
    <t>Check No:-476222 Date 27-09-2016 amount Rs 35880+13455=49335</t>
  </si>
  <si>
    <t>Somarajukunta IWD MACS</t>
  </si>
  <si>
    <t>NP Kunta</t>
  </si>
  <si>
    <t xml:space="preserve">Fes </t>
  </si>
  <si>
    <t>Check No:-651922 Date 27-09-2016</t>
  </si>
  <si>
    <t>FES</t>
  </si>
  <si>
    <t>WASSAN, LTA</t>
  </si>
  <si>
    <t xml:space="preserve">Grand Total </t>
  </si>
  <si>
    <t>CMSS  Purchased  Amount upto 28.06.2016</t>
  </si>
</sst>
</file>

<file path=xl/styles.xml><?xml version="1.0" encoding="utf-8"?>
<styleSheet xmlns="http://schemas.openxmlformats.org/spreadsheetml/2006/main"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.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color theme="1"/>
      <name val="Comic Sans MS"/>
      <family val="4"/>
    </font>
    <font>
      <sz val="11"/>
      <color theme="1"/>
      <name val="Comic Sans MS"/>
      <family val="4"/>
    </font>
    <font>
      <b/>
      <sz val="12"/>
      <color theme="1"/>
      <name val="Comic Sans MS"/>
      <family val="4"/>
    </font>
    <font>
      <b/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4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sz val="16"/>
      <color theme="1"/>
      <name val="Bookman Old Style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/>
    </xf>
    <xf numFmtId="16" fontId="14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2" fontId="17" fillId="0" borderId="1" xfId="0" applyNumberFormat="1" applyFont="1" applyBorder="1"/>
    <xf numFmtId="0" fontId="2" fillId="0" borderId="0" xfId="0" applyFont="1" applyAlignment="1">
      <alignment horizontal="center"/>
    </xf>
    <xf numFmtId="0" fontId="20" fillId="0" borderId="0" xfId="0" applyFont="1"/>
    <xf numFmtId="0" fontId="1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1" fillId="0" borderId="13" xfId="0" applyFont="1" applyBorder="1" applyAlignment="1">
      <alignment horizontal="right"/>
    </xf>
    <xf numFmtId="0" fontId="0" fillId="0" borderId="14" xfId="0" applyBorder="1"/>
    <xf numFmtId="0" fontId="21" fillId="0" borderId="14" xfId="0" applyFont="1" applyBorder="1"/>
    <xf numFmtId="0" fontId="21" fillId="0" borderId="14" xfId="0" applyFont="1" applyBorder="1" applyAlignment="1">
      <alignment horizontal="center"/>
    </xf>
    <xf numFmtId="0" fontId="21" fillId="0" borderId="13" xfId="0" applyFont="1" applyBorder="1"/>
    <xf numFmtId="0" fontId="3" fillId="0" borderId="14" xfId="0" applyFont="1" applyBorder="1"/>
    <xf numFmtId="0" fontId="0" fillId="0" borderId="0" xfId="0" applyAlignment="1">
      <alignment horizontal="left" indent="15"/>
    </xf>
    <xf numFmtId="0" fontId="20" fillId="0" borderId="0" xfId="0" applyFont="1" applyAlignment="1">
      <alignment horizontal="center"/>
    </xf>
    <xf numFmtId="0" fontId="1" fillId="0" borderId="1" xfId="0" applyFont="1" applyFill="1" applyBorder="1" applyAlignment="1">
      <alignment wrapText="1"/>
    </xf>
    <xf numFmtId="0" fontId="23" fillId="0" borderId="1" xfId="0" applyFont="1" applyBorder="1" applyAlignment="1">
      <alignment horizontal="right" wrapText="1"/>
    </xf>
    <xf numFmtId="0" fontId="23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wrapText="1"/>
    </xf>
    <xf numFmtId="0" fontId="8" fillId="5" borderId="0" xfId="0" applyFont="1" applyFill="1"/>
    <xf numFmtId="0" fontId="8" fillId="0" borderId="0" xfId="0" applyFont="1"/>
    <xf numFmtId="0" fontId="25" fillId="0" borderId="0" xfId="0" applyFont="1"/>
    <xf numFmtId="0" fontId="26" fillId="7" borderId="1" xfId="0" applyFont="1" applyFill="1" applyBorder="1"/>
    <xf numFmtId="0" fontId="26" fillId="7" borderId="1" xfId="0" applyFont="1" applyFill="1" applyBorder="1" applyAlignment="1">
      <alignment horizontal="right"/>
    </xf>
    <xf numFmtId="0" fontId="26" fillId="7" borderId="1" xfId="0" applyFont="1" applyFill="1" applyBorder="1" applyAlignment="1">
      <alignment horizontal="center"/>
    </xf>
    <xf numFmtId="0" fontId="12" fillId="8" borderId="1" xfId="0" applyFont="1" applyFill="1" applyBorder="1"/>
    <xf numFmtId="0" fontId="26" fillId="8" borderId="1" xfId="0" applyFont="1" applyFill="1" applyBorder="1"/>
    <xf numFmtId="0" fontId="27" fillId="9" borderId="1" xfId="0" applyFont="1" applyFill="1" applyBorder="1"/>
    <xf numFmtId="0" fontId="26" fillId="9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9" borderId="1" xfId="0" applyFont="1" applyFill="1" applyBorder="1"/>
    <xf numFmtId="0" fontId="8" fillId="3" borderId="0" xfId="0" applyFont="1" applyFill="1" applyBorder="1"/>
    <xf numFmtId="0" fontId="28" fillId="9" borderId="8" xfId="0" applyFont="1" applyFill="1" applyBorder="1"/>
    <xf numFmtId="0" fontId="26" fillId="9" borderId="8" xfId="0" applyFont="1" applyFill="1" applyBorder="1"/>
    <xf numFmtId="0" fontId="26" fillId="9" borderId="8" xfId="0" applyFont="1" applyFill="1" applyBorder="1" applyAlignment="1">
      <alignment horizontal="right"/>
    </xf>
    <xf numFmtId="0" fontId="8" fillId="0" borderId="15" xfId="0" applyFont="1" applyBorder="1"/>
    <xf numFmtId="0" fontId="8" fillId="0" borderId="8" xfId="0" applyFont="1" applyBorder="1"/>
    <xf numFmtId="0" fontId="8" fillId="5" borderId="16" xfId="0" applyFont="1" applyFill="1" applyBorder="1"/>
    <xf numFmtId="0" fontId="8" fillId="3" borderId="8" xfId="0" applyFont="1" applyFill="1" applyBorder="1"/>
    <xf numFmtId="0" fontId="8" fillId="0" borderId="16" xfId="0" applyFont="1" applyBorder="1"/>
    <xf numFmtId="0" fontId="8" fillId="0" borderId="6" xfId="0" applyFont="1" applyBorder="1"/>
    <xf numFmtId="0" fontId="8" fillId="0" borderId="9" xfId="0" applyFont="1" applyBorder="1"/>
    <xf numFmtId="0" fontId="8" fillId="5" borderId="7" xfId="0" applyFont="1" applyFill="1" applyBorder="1"/>
    <xf numFmtId="0" fontId="8" fillId="3" borderId="9" xfId="0" applyFont="1" applyFill="1" applyBorder="1"/>
    <xf numFmtId="0" fontId="8" fillId="0" borderId="7" xfId="0" applyFont="1" applyBorder="1"/>
    <xf numFmtId="0" fontId="29" fillId="0" borderId="9" xfId="0" applyFont="1" applyBorder="1"/>
    <xf numFmtId="0" fontId="29" fillId="3" borderId="9" xfId="0" applyFont="1" applyFill="1" applyBorder="1"/>
    <xf numFmtId="0" fontId="8" fillId="9" borderId="8" xfId="0" applyFont="1" applyFill="1" applyBorder="1"/>
    <xf numFmtId="0" fontId="8" fillId="5" borderId="8" xfId="0" applyFont="1" applyFill="1" applyBorder="1"/>
    <xf numFmtId="0" fontId="8" fillId="3" borderId="16" xfId="0" applyFont="1" applyFill="1" applyBorder="1"/>
    <xf numFmtId="0" fontId="8" fillId="0" borderId="17" xfId="0" applyFont="1" applyBorder="1"/>
    <xf numFmtId="0" fontId="8" fillId="5" borderId="9" xfId="0" applyFont="1" applyFill="1" applyBorder="1"/>
    <xf numFmtId="0" fontId="8" fillId="3" borderId="7" xfId="0" applyFont="1" applyFill="1" applyBorder="1"/>
    <xf numFmtId="0" fontId="8" fillId="0" borderId="18" xfId="0" applyFont="1" applyBorder="1"/>
    <xf numFmtId="0" fontId="26" fillId="0" borderId="9" xfId="0" applyFont="1" applyBorder="1"/>
    <xf numFmtId="0" fontId="26" fillId="3" borderId="9" xfId="0" applyFont="1" applyFill="1" applyBorder="1"/>
    <xf numFmtId="0" fontId="28" fillId="9" borderId="1" xfId="0" applyFont="1" applyFill="1" applyBorder="1"/>
    <xf numFmtId="0" fontId="26" fillId="9" borderId="2" xfId="0" applyFont="1" applyFill="1" applyBorder="1" applyAlignment="1"/>
    <xf numFmtId="0" fontId="26" fillId="9" borderId="4" xfId="0" applyFont="1" applyFill="1" applyBorder="1" applyAlignment="1"/>
    <xf numFmtId="0" fontId="8" fillId="0" borderId="5" xfId="0" applyFont="1" applyBorder="1"/>
    <xf numFmtId="0" fontId="8" fillId="5" borderId="15" xfId="0" applyFont="1" applyFill="1" applyBorder="1" applyAlignment="1"/>
    <xf numFmtId="0" fontId="8" fillId="5" borderId="17" xfId="0" applyFont="1" applyFill="1" applyBorder="1" applyAlignment="1"/>
    <xf numFmtId="14" fontId="8" fillId="0" borderId="0" xfId="0" applyNumberFormat="1" applyFo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5" borderId="19" xfId="0" applyFont="1" applyFill="1" applyBorder="1" applyAlignment="1"/>
    <xf numFmtId="0" fontId="8" fillId="5" borderId="20" xfId="0" applyFont="1" applyFill="1" applyBorder="1" applyAlignment="1"/>
    <xf numFmtId="0" fontId="8" fillId="0" borderId="6" xfId="0" applyFont="1" applyBorder="1" applyAlignment="1"/>
    <xf numFmtId="0" fontId="8" fillId="0" borderId="18" xfId="0" applyFont="1" applyBorder="1" applyAlignment="1"/>
    <xf numFmtId="0" fontId="8" fillId="0" borderId="5" xfId="0" applyFont="1" applyBorder="1" applyAlignment="1">
      <alignment wrapText="1"/>
    </xf>
    <xf numFmtId="0" fontId="8" fillId="0" borderId="15" xfId="0" applyFont="1" applyBorder="1" applyAlignment="1"/>
    <xf numFmtId="0" fontId="8" fillId="0" borderId="17" xfId="0" applyFont="1" applyBorder="1" applyAlignment="1"/>
    <xf numFmtId="0" fontId="8" fillId="3" borderId="19" xfId="0" applyFont="1" applyFill="1" applyBorder="1" applyAlignment="1"/>
    <xf numFmtId="0" fontId="8" fillId="3" borderId="20" xfId="0" applyFont="1" applyFill="1" applyBorder="1" applyAlignment="1"/>
    <xf numFmtId="0" fontId="8" fillId="0" borderId="0" xfId="0" applyFont="1" applyAlignment="1">
      <alignment horizontal="left"/>
    </xf>
    <xf numFmtId="0" fontId="8" fillId="5" borderId="2" xfId="0" applyFont="1" applyFill="1" applyBorder="1" applyAlignment="1"/>
    <xf numFmtId="0" fontId="8" fillId="5" borderId="4" xfId="0" applyFont="1" applyFill="1" applyBorder="1" applyAlignment="1"/>
    <xf numFmtId="0" fontId="31" fillId="0" borderId="6" xfId="0" applyFont="1" applyBorder="1"/>
    <xf numFmtId="0" fontId="31" fillId="0" borderId="2" xfId="0" applyFont="1" applyBorder="1" applyAlignment="1"/>
    <xf numFmtId="0" fontId="31" fillId="0" borderId="4" xfId="0" applyFont="1" applyBorder="1" applyAlignment="1"/>
    <xf numFmtId="0" fontId="32" fillId="0" borderId="2" xfId="0" applyFont="1" applyBorder="1"/>
    <xf numFmtId="0" fontId="33" fillId="0" borderId="2" xfId="0" applyFont="1" applyBorder="1" applyAlignment="1"/>
    <xf numFmtId="0" fontId="33" fillId="0" borderId="4" xfId="0" applyFont="1" applyBorder="1" applyAlignment="1"/>
    <xf numFmtId="0" fontId="12" fillId="0" borderId="0" xfId="0" applyFont="1"/>
    <xf numFmtId="0" fontId="34" fillId="0" borderId="0" xfId="0" applyFont="1" applyAlignment="1">
      <alignment horizontal="left"/>
    </xf>
    <xf numFmtId="0" fontId="28" fillId="0" borderId="1" xfId="0" applyFont="1" applyBorder="1"/>
    <xf numFmtId="0" fontId="32" fillId="5" borderId="2" xfId="0" applyFont="1" applyFill="1" applyBorder="1" applyAlignment="1"/>
    <xf numFmtId="0" fontId="32" fillId="5" borderId="4" xfId="0" applyFont="1" applyFill="1" applyBorder="1" applyAlignment="1"/>
    <xf numFmtId="0" fontId="26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/>
    <xf numFmtId="0" fontId="8" fillId="0" borderId="1" xfId="0" applyFont="1" applyBorder="1" applyAlignment="1">
      <alignment horizontal="right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/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right" vertical="center" wrapText="1"/>
    </xf>
    <xf numFmtId="2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NumberFormat="1" applyFont="1" applyFill="1" applyBorder="1" applyAlignment="1">
      <alignment horizontal="righ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right" vertical="center" wrapText="1"/>
    </xf>
    <xf numFmtId="2" fontId="26" fillId="0" borderId="1" xfId="0" applyNumberFormat="1" applyFont="1" applyBorder="1" applyAlignment="1">
      <alignment horizontal="right" vertical="center" wrapText="1"/>
    </xf>
    <xf numFmtId="0" fontId="26" fillId="0" borderId="1" xfId="0" applyNumberFormat="1" applyFont="1" applyBorder="1" applyAlignment="1">
      <alignment horizontal="right" vertical="center" wrapText="1"/>
    </xf>
    <xf numFmtId="2" fontId="8" fillId="0" borderId="5" xfId="0" applyNumberFormat="1" applyFont="1" applyFill="1" applyBorder="1" applyAlignment="1">
      <alignment horizontal="right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8" fillId="4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35" fillId="0" borderId="7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37" fillId="0" borderId="1" xfId="0" applyNumberFormat="1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right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38" fillId="0" borderId="1" xfId="0" applyNumberFormat="1" applyFont="1" applyBorder="1" applyAlignment="1">
      <alignment vertical="center" wrapText="1"/>
    </xf>
    <xf numFmtId="2" fontId="37" fillId="0" borderId="8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 wrapText="1"/>
    </xf>
    <xf numFmtId="0" fontId="12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ill="1"/>
    <xf numFmtId="0" fontId="21" fillId="0" borderId="1" xfId="0" applyFont="1" applyBorder="1" applyAlignment="1"/>
    <xf numFmtId="0" fontId="41" fillId="0" borderId="1" xfId="0" applyFont="1" applyBorder="1" applyAlignment="1"/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2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41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2" fillId="0" borderId="1" xfId="0" applyFont="1" applyBorder="1" applyAlignment="1">
      <alignment wrapText="1"/>
    </xf>
    <xf numFmtId="0" fontId="36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right" wrapText="1"/>
    </xf>
    <xf numFmtId="0" fontId="43" fillId="0" borderId="1" xfId="0" applyFont="1" applyBorder="1" applyAlignment="1">
      <alignment wrapText="1"/>
    </xf>
    <xf numFmtId="0" fontId="36" fillId="0" borderId="1" xfId="0" applyFont="1" applyBorder="1" applyAlignment="1">
      <alignment horizontal="right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0" applyFont="1" applyBorder="1" applyAlignment="1">
      <alignment horizontal="right" wrapText="1"/>
    </xf>
    <xf numFmtId="0" fontId="44" fillId="0" borderId="1" xfId="0" applyFont="1" applyBorder="1" applyAlignment="1">
      <alignment horizontal="right" wrapText="1"/>
    </xf>
    <xf numFmtId="0" fontId="24" fillId="3" borderId="1" xfId="0" applyFont="1" applyFill="1" applyBorder="1" applyAlignment="1">
      <alignment wrapText="1"/>
    </xf>
    <xf numFmtId="0" fontId="24" fillId="0" borderId="2" xfId="0" applyFont="1" applyBorder="1"/>
    <xf numFmtId="0" fontId="11" fillId="0" borderId="1" xfId="0" applyFont="1" applyBorder="1" applyAlignment="1">
      <alignment wrapText="1"/>
    </xf>
    <xf numFmtId="0" fontId="45" fillId="0" borderId="1" xfId="0" applyFont="1" applyBorder="1" applyAlignment="1">
      <alignment horizontal="right" wrapText="1"/>
    </xf>
    <xf numFmtId="0" fontId="11" fillId="3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2" xfId="0" applyFont="1" applyBorder="1"/>
    <xf numFmtId="0" fontId="43" fillId="2" borderId="1" xfId="0" applyFont="1" applyFill="1" applyBorder="1" applyAlignment="1">
      <alignment wrapText="1"/>
    </xf>
    <xf numFmtId="0" fontId="24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wrapText="1"/>
    </xf>
    <xf numFmtId="0" fontId="2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6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36" fillId="3" borderId="1" xfId="0" applyFont="1" applyFill="1" applyBorder="1" applyAlignment="1">
      <alignment horizontal="right" wrapText="1"/>
    </xf>
    <xf numFmtId="0" fontId="1" fillId="3" borderId="2" xfId="0" applyFont="1" applyFill="1" applyBorder="1"/>
    <xf numFmtId="0" fontId="0" fillId="13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0" fillId="8" borderId="2" xfId="0" applyFont="1" applyFill="1" applyBorder="1" applyAlignment="1">
      <alignment horizontal="left"/>
    </xf>
    <xf numFmtId="0" fontId="30" fillId="8" borderId="3" xfId="0" applyFont="1" applyFill="1" applyBorder="1" applyAlignment="1">
      <alignment horizontal="left"/>
    </xf>
    <xf numFmtId="0" fontId="30" fillId="8" borderId="4" xfId="0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23" fillId="0" borderId="7" xfId="0" applyFont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0" fontId="26" fillId="8" borderId="4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6" fillId="10" borderId="0" xfId="0" applyFont="1" applyFill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0" fillId="0" borderId="7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%20Seeds/Copy%20of%20APSSDC%20Advance%20MVK%2031st%20May%202016%20(Ramu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%20Seeds/APSSDC_ANANTAPURAMU_-_CMSS_Amounts_Received_So_Far_16.06.2016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"/>
      <sheetName val="29"/>
      <sheetName val="2"/>
      <sheetName val="1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AP Seeds amount "/>
      <sheetName val="Consolidated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Sheet1"/>
      <sheetName val="Sheet2"/>
      <sheetName val="Sheet3"/>
      <sheetName val="Sheet4"/>
      <sheetName val="Sheet5"/>
      <sheetName val="Sheet6"/>
      <sheetName val="Sheet7"/>
      <sheetName val="CS"/>
      <sheetName val="Sheet9"/>
      <sheetName val="Sheet10"/>
      <sheetName val="cs1"/>
      <sheetName val="FS"/>
      <sheetName val="Total "/>
      <sheetName val="Sheet14"/>
      <sheetName val="Sheet15"/>
    </sheetNames>
    <sheetDataSet>
      <sheetData sheetId="0">
        <row r="14">
          <cell r="G14">
            <v>396</v>
          </cell>
          <cell r="H14">
            <v>700920</v>
          </cell>
        </row>
        <row r="18">
          <cell r="G18">
            <v>396</v>
          </cell>
          <cell r="H18">
            <v>724680</v>
          </cell>
        </row>
        <row r="22">
          <cell r="G22">
            <v>0</v>
          </cell>
        </row>
        <row r="27">
          <cell r="B27">
            <v>900000</v>
          </cell>
        </row>
        <row r="31">
          <cell r="B31">
            <v>199080</v>
          </cell>
        </row>
        <row r="35">
          <cell r="B35">
            <v>239144.4</v>
          </cell>
        </row>
        <row r="40">
          <cell r="B40">
            <v>684615.6</v>
          </cell>
        </row>
        <row r="41">
          <cell r="B41">
            <v>0</v>
          </cell>
        </row>
      </sheetData>
      <sheetData sheetId="1">
        <row r="14">
          <cell r="C14">
            <v>96</v>
          </cell>
          <cell r="H14">
            <v>169920</v>
          </cell>
        </row>
        <row r="18">
          <cell r="C18">
            <v>96</v>
          </cell>
          <cell r="H18">
            <v>175680</v>
          </cell>
        </row>
        <row r="22">
          <cell r="H22">
            <v>0</v>
          </cell>
        </row>
        <row r="27">
          <cell r="B27">
            <v>500000</v>
          </cell>
        </row>
        <row r="31">
          <cell r="B31">
            <v>330080</v>
          </cell>
        </row>
        <row r="35">
          <cell r="B35">
            <v>57974.399999999994</v>
          </cell>
        </row>
        <row r="40">
          <cell r="B40">
            <v>447785.6</v>
          </cell>
        </row>
        <row r="41">
          <cell r="B41">
            <v>0</v>
          </cell>
        </row>
      </sheetData>
      <sheetData sheetId="2">
        <row r="16">
          <cell r="C16">
            <v>563</v>
          </cell>
          <cell r="D16">
            <v>1000650</v>
          </cell>
        </row>
        <row r="20">
          <cell r="C20">
            <v>563</v>
          </cell>
        </row>
        <row r="27">
          <cell r="B27">
            <v>1000000</v>
          </cell>
        </row>
        <row r="31">
          <cell r="B31">
            <v>-650</v>
          </cell>
        </row>
        <row r="34">
          <cell r="B34">
            <v>693068.10000000009</v>
          </cell>
        </row>
        <row r="35">
          <cell r="B35">
            <v>312216.3</v>
          </cell>
        </row>
        <row r="36">
          <cell r="B36">
            <v>29145.600000000002</v>
          </cell>
        </row>
        <row r="39">
          <cell r="B39">
            <v>0</v>
          </cell>
        </row>
        <row r="40">
          <cell r="B40">
            <v>692418.10000000009</v>
          </cell>
        </row>
        <row r="41">
          <cell r="B41">
            <v>1021613</v>
          </cell>
        </row>
      </sheetData>
      <sheetData sheetId="3">
        <row r="16">
          <cell r="C16">
            <v>565</v>
          </cell>
          <cell r="D16">
            <v>1000050</v>
          </cell>
        </row>
        <row r="20">
          <cell r="C20">
            <v>565</v>
          </cell>
        </row>
        <row r="27">
          <cell r="B27">
            <v>1000000</v>
          </cell>
        </row>
        <row r="31">
          <cell r="B31">
            <v>-50</v>
          </cell>
        </row>
        <row r="34">
          <cell r="B34">
            <v>692746.5</v>
          </cell>
        </row>
        <row r="35">
          <cell r="B35">
            <v>341203.5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692696.5</v>
          </cell>
        </row>
        <row r="41">
          <cell r="B41">
            <v>799875</v>
          </cell>
        </row>
      </sheetData>
      <sheetData sheetId="4">
        <row r="16">
          <cell r="C16">
            <v>451</v>
          </cell>
          <cell r="D16">
            <v>798270</v>
          </cell>
        </row>
        <row r="20">
          <cell r="C20">
            <v>451</v>
          </cell>
        </row>
        <row r="27">
          <cell r="B27">
            <v>800000</v>
          </cell>
        </row>
        <row r="31">
          <cell r="B31">
            <v>1730</v>
          </cell>
        </row>
        <row r="34">
          <cell r="B34">
            <v>552971.10000000009</v>
          </cell>
        </row>
        <row r="35">
          <cell r="B35">
            <v>272358.89999999997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554701.10000000009</v>
          </cell>
        </row>
        <row r="41">
          <cell r="B41">
            <v>556478</v>
          </cell>
        </row>
      </sheetData>
      <sheetData sheetId="5">
        <row r="16">
          <cell r="C16">
            <v>94</v>
          </cell>
          <cell r="D16">
            <v>174840</v>
          </cell>
        </row>
        <row r="20">
          <cell r="C20">
            <v>94</v>
          </cell>
        </row>
        <row r="27">
          <cell r="B27">
            <v>400000</v>
          </cell>
        </row>
        <row r="31">
          <cell r="B31">
            <v>225160</v>
          </cell>
        </row>
        <row r="34">
          <cell r="B34">
            <v>120921.60000000001</v>
          </cell>
        </row>
        <row r="35">
          <cell r="B35">
            <v>0</v>
          </cell>
        </row>
        <row r="36">
          <cell r="B36">
            <v>59558.400000000001</v>
          </cell>
        </row>
        <row r="39">
          <cell r="B39">
            <v>0</v>
          </cell>
        </row>
        <row r="40">
          <cell r="B40">
            <v>346081.6</v>
          </cell>
        </row>
        <row r="41">
          <cell r="B41">
            <v>439512</v>
          </cell>
        </row>
      </sheetData>
      <sheetData sheetId="6">
        <row r="16">
          <cell r="C16">
            <v>86</v>
          </cell>
          <cell r="D16">
            <v>159960</v>
          </cell>
        </row>
        <row r="20">
          <cell r="C20">
            <v>86</v>
          </cell>
        </row>
        <row r="27">
          <cell r="B27">
            <v>500000</v>
          </cell>
        </row>
        <row r="31">
          <cell r="B31">
            <v>340040</v>
          </cell>
        </row>
        <row r="34">
          <cell r="B34">
            <v>110630.39999999999</v>
          </cell>
        </row>
        <row r="35">
          <cell r="B35">
            <v>0</v>
          </cell>
        </row>
        <row r="36">
          <cell r="B36">
            <v>54489.599999999999</v>
          </cell>
        </row>
        <row r="39">
          <cell r="B39">
            <v>0</v>
          </cell>
        </row>
        <row r="40">
          <cell r="B40">
            <v>450670.4</v>
          </cell>
        </row>
        <row r="41">
          <cell r="B41">
            <v>380926</v>
          </cell>
        </row>
      </sheetData>
      <sheetData sheetId="7">
        <row r="16">
          <cell r="C16">
            <v>67</v>
          </cell>
          <cell r="D16">
            <v>124620</v>
          </cell>
        </row>
        <row r="20">
          <cell r="C20">
            <v>67</v>
          </cell>
        </row>
        <row r="27">
          <cell r="B27">
            <v>300000</v>
          </cell>
        </row>
        <row r="31">
          <cell r="B31">
            <v>175380</v>
          </cell>
        </row>
        <row r="34">
          <cell r="B34">
            <v>86188.799999999988</v>
          </cell>
        </row>
        <row r="35">
          <cell r="B35">
            <v>0</v>
          </cell>
        </row>
        <row r="36">
          <cell r="B36">
            <v>42451.200000000004</v>
          </cell>
        </row>
        <row r="39">
          <cell r="B39">
            <v>0</v>
          </cell>
        </row>
        <row r="40">
          <cell r="B40">
            <v>261568.8</v>
          </cell>
        </row>
        <row r="41">
          <cell r="B41">
            <v>415464</v>
          </cell>
        </row>
      </sheetData>
      <sheetData sheetId="8">
        <row r="16">
          <cell r="C16">
            <v>1065</v>
          </cell>
          <cell r="D16">
            <v>1885050</v>
          </cell>
        </row>
        <row r="20">
          <cell r="C20">
            <v>1065</v>
          </cell>
        </row>
        <row r="27">
          <cell r="B27">
            <v>1900000</v>
          </cell>
        </row>
        <row r="31">
          <cell r="B31">
            <v>14950</v>
          </cell>
        </row>
        <row r="34">
          <cell r="B34">
            <v>1305796.5</v>
          </cell>
        </row>
        <row r="35">
          <cell r="B35">
            <v>643153.5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1320746.5</v>
          </cell>
        </row>
        <row r="41">
          <cell r="B41" t="str">
            <v>?</v>
          </cell>
        </row>
      </sheetData>
      <sheetData sheetId="9">
        <row r="16">
          <cell r="C16">
            <v>1602</v>
          </cell>
          <cell r="D16">
            <v>2835540</v>
          </cell>
        </row>
        <row r="20">
          <cell r="C20">
            <v>1602</v>
          </cell>
        </row>
        <row r="27">
          <cell r="B27">
            <v>2800000</v>
          </cell>
        </row>
        <row r="31">
          <cell r="B31">
            <v>-35540</v>
          </cell>
        </row>
        <row r="34">
          <cell r="B34">
            <v>1964212.2000000002</v>
          </cell>
        </row>
        <row r="35">
          <cell r="B35">
            <v>967447.79999999993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1928672.2000000002</v>
          </cell>
        </row>
        <row r="41">
          <cell r="B41">
            <v>1976956</v>
          </cell>
        </row>
      </sheetData>
      <sheetData sheetId="10">
        <row r="16">
          <cell r="C16">
            <v>883</v>
          </cell>
          <cell r="D16">
            <v>1562910</v>
          </cell>
        </row>
        <row r="20">
          <cell r="C20">
            <v>883</v>
          </cell>
        </row>
        <row r="27">
          <cell r="B27">
            <v>2000000</v>
          </cell>
        </row>
        <row r="31">
          <cell r="B31">
            <v>437090</v>
          </cell>
        </row>
        <row r="34">
          <cell r="B34">
            <v>1082646.3</v>
          </cell>
        </row>
        <row r="35">
          <cell r="B35">
            <v>533243.69999999995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1519736.3</v>
          </cell>
        </row>
        <row r="41">
          <cell r="B41">
            <v>1251628</v>
          </cell>
        </row>
      </sheetData>
      <sheetData sheetId="11">
        <row r="16">
          <cell r="C16">
            <v>904</v>
          </cell>
          <cell r="D16">
            <v>1600080</v>
          </cell>
        </row>
        <row r="20">
          <cell r="C20">
            <v>904</v>
          </cell>
        </row>
        <row r="27">
          <cell r="B27">
            <v>1600000</v>
          </cell>
        </row>
        <row r="31">
          <cell r="B31">
            <v>-80</v>
          </cell>
        </row>
        <row r="34">
          <cell r="B34">
            <v>1108394.3999999999</v>
          </cell>
        </row>
        <row r="35">
          <cell r="B35">
            <v>545925.6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1108314.3999999999</v>
          </cell>
        </row>
        <row r="41">
          <cell r="B41">
            <v>1018840</v>
          </cell>
        </row>
      </sheetData>
      <sheetData sheetId="12">
        <row r="16">
          <cell r="C16">
            <v>567</v>
          </cell>
          <cell r="D16">
            <v>1003590</v>
          </cell>
        </row>
        <row r="20">
          <cell r="C20">
            <v>567</v>
          </cell>
        </row>
        <row r="27">
          <cell r="B27">
            <v>2500000</v>
          </cell>
        </row>
        <row r="31">
          <cell r="B31">
            <v>1496410</v>
          </cell>
        </row>
        <row r="34">
          <cell r="B34">
            <v>695198.7</v>
          </cell>
        </row>
        <row r="35">
          <cell r="B35">
            <v>342411.3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2191608.7000000002</v>
          </cell>
        </row>
        <row r="41">
          <cell r="B41" t="str">
            <v>?</v>
          </cell>
        </row>
      </sheetData>
      <sheetData sheetId="13">
        <row r="16">
          <cell r="C16">
            <v>252</v>
          </cell>
          <cell r="D16">
            <v>446040</v>
          </cell>
        </row>
        <row r="20">
          <cell r="C20">
            <v>252</v>
          </cell>
        </row>
        <row r="27">
          <cell r="B27">
            <v>500000</v>
          </cell>
        </row>
        <row r="31">
          <cell r="B31">
            <v>53960</v>
          </cell>
        </row>
        <row r="34">
          <cell r="B34">
            <v>308977.2</v>
          </cell>
        </row>
        <row r="35">
          <cell r="B35">
            <v>152182.79999999999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362937.2</v>
          </cell>
        </row>
        <row r="41">
          <cell r="B41">
            <v>389698</v>
          </cell>
        </row>
      </sheetData>
      <sheetData sheetId="14">
        <row r="16">
          <cell r="C16">
            <v>237</v>
          </cell>
          <cell r="D16">
            <v>419490</v>
          </cell>
        </row>
        <row r="20">
          <cell r="C20">
            <v>237</v>
          </cell>
        </row>
        <row r="27">
          <cell r="B27">
            <v>500000</v>
          </cell>
        </row>
        <row r="31">
          <cell r="B31">
            <v>80510</v>
          </cell>
        </row>
        <row r="34">
          <cell r="B34">
            <v>290585.7</v>
          </cell>
        </row>
        <row r="35">
          <cell r="B35">
            <v>143124.29999999999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371095.7</v>
          </cell>
        </row>
        <row r="41">
          <cell r="B41">
            <v>356702</v>
          </cell>
        </row>
      </sheetData>
      <sheetData sheetId="15">
        <row r="16">
          <cell r="C16">
            <v>840</v>
          </cell>
          <cell r="D16">
            <v>1486800</v>
          </cell>
        </row>
        <row r="20">
          <cell r="C20">
            <v>840</v>
          </cell>
        </row>
        <row r="27">
          <cell r="B27">
            <v>1486000</v>
          </cell>
        </row>
        <row r="31">
          <cell r="B31">
            <v>-800</v>
          </cell>
        </row>
        <row r="34">
          <cell r="B34">
            <v>1029924</v>
          </cell>
        </row>
        <row r="35">
          <cell r="B35">
            <v>507276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1029124</v>
          </cell>
        </row>
        <row r="41">
          <cell r="B41" t="str">
            <v>?</v>
          </cell>
        </row>
      </sheetData>
      <sheetData sheetId="16">
        <row r="16">
          <cell r="C16">
            <v>1092</v>
          </cell>
          <cell r="D16">
            <v>1932840</v>
          </cell>
        </row>
        <row r="20">
          <cell r="C20">
            <v>1092</v>
          </cell>
        </row>
        <row r="27">
          <cell r="B27">
            <v>2000000</v>
          </cell>
        </row>
        <row r="31">
          <cell r="B31">
            <v>67160</v>
          </cell>
        </row>
        <row r="34">
          <cell r="B34">
            <v>1338901.2000000002</v>
          </cell>
        </row>
        <row r="35">
          <cell r="B35">
            <v>659458.79999999993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1406061.2000000002</v>
          </cell>
        </row>
        <row r="41">
          <cell r="B41" t="str">
            <v>?</v>
          </cell>
        </row>
      </sheetData>
      <sheetData sheetId="17">
        <row r="16">
          <cell r="C16">
            <v>106</v>
          </cell>
          <cell r="D16">
            <v>187620</v>
          </cell>
        </row>
        <row r="20">
          <cell r="C20">
            <v>106</v>
          </cell>
        </row>
        <row r="27">
          <cell r="B27">
            <v>500000</v>
          </cell>
        </row>
        <row r="31">
          <cell r="B31">
            <v>312380</v>
          </cell>
        </row>
        <row r="34">
          <cell r="B34">
            <v>129966.6</v>
          </cell>
        </row>
        <row r="35">
          <cell r="B35">
            <v>64013.399999999994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442346.6</v>
          </cell>
        </row>
        <row r="41">
          <cell r="B41">
            <v>434402</v>
          </cell>
        </row>
      </sheetData>
      <sheetData sheetId="18">
        <row r="16">
          <cell r="C16">
            <v>294</v>
          </cell>
          <cell r="D16">
            <v>520380</v>
          </cell>
        </row>
        <row r="20">
          <cell r="C20">
            <v>294</v>
          </cell>
        </row>
        <row r="27">
          <cell r="B27">
            <v>300000</v>
          </cell>
        </row>
        <row r="31">
          <cell r="B31">
            <v>-220380</v>
          </cell>
        </row>
        <row r="34">
          <cell r="B34">
            <v>360473.4</v>
          </cell>
        </row>
        <row r="35">
          <cell r="B35">
            <v>177546.6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140093.40000000002</v>
          </cell>
        </row>
        <row r="41">
          <cell r="B41">
            <v>68389</v>
          </cell>
        </row>
      </sheetData>
      <sheetData sheetId="19">
        <row r="16">
          <cell r="C16">
            <v>301</v>
          </cell>
          <cell r="D16">
            <v>532770</v>
          </cell>
        </row>
        <row r="20">
          <cell r="C20">
            <v>301</v>
          </cell>
        </row>
        <row r="27">
          <cell r="B27">
            <v>700000</v>
          </cell>
        </row>
        <row r="31">
          <cell r="B31">
            <v>167230</v>
          </cell>
        </row>
        <row r="34">
          <cell r="B34">
            <v>369056.1</v>
          </cell>
        </row>
        <row r="35">
          <cell r="B35">
            <v>181773.9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536286.1</v>
          </cell>
        </row>
        <row r="41">
          <cell r="B41">
            <v>552300</v>
          </cell>
        </row>
      </sheetData>
      <sheetData sheetId="20">
        <row r="16">
          <cell r="C16">
            <v>1879</v>
          </cell>
          <cell r="D16">
            <v>3325830</v>
          </cell>
        </row>
        <row r="20">
          <cell r="C20">
            <v>1879</v>
          </cell>
        </row>
        <row r="27">
          <cell r="B27">
            <v>4000000</v>
          </cell>
        </row>
        <row r="31">
          <cell r="B31">
            <v>674170</v>
          </cell>
        </row>
        <row r="34">
          <cell r="B34">
            <v>2303841.9000000004</v>
          </cell>
        </row>
        <row r="35">
          <cell r="B35">
            <v>1134728.0999999999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2978011.9000000004</v>
          </cell>
        </row>
        <row r="41">
          <cell r="B41">
            <v>2763563</v>
          </cell>
        </row>
      </sheetData>
      <sheetData sheetId="21">
        <row r="16">
          <cell r="C16">
            <v>449</v>
          </cell>
          <cell r="D16">
            <v>794730</v>
          </cell>
        </row>
        <row r="20">
          <cell r="C20">
            <v>449</v>
          </cell>
        </row>
        <row r="27">
          <cell r="B27">
            <v>1030000</v>
          </cell>
        </row>
        <row r="31">
          <cell r="B31">
            <v>235270</v>
          </cell>
        </row>
        <row r="34">
          <cell r="B34">
            <v>550518.9</v>
          </cell>
        </row>
        <row r="35">
          <cell r="B35">
            <v>271151.09999999998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785788.9</v>
          </cell>
        </row>
        <row r="41">
          <cell r="B41">
            <v>828910</v>
          </cell>
        </row>
      </sheetData>
      <sheetData sheetId="22">
        <row r="16">
          <cell r="C16">
            <v>534</v>
          </cell>
          <cell r="D16">
            <v>945180</v>
          </cell>
        </row>
        <row r="20">
          <cell r="C20">
            <v>534</v>
          </cell>
        </row>
        <row r="27">
          <cell r="B27">
            <v>1220000</v>
          </cell>
        </row>
        <row r="31">
          <cell r="B31">
            <v>274820</v>
          </cell>
        </row>
        <row r="34">
          <cell r="B34">
            <v>654737.4</v>
          </cell>
        </row>
        <row r="35">
          <cell r="B35">
            <v>322482.59999999998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929557.4</v>
          </cell>
        </row>
        <row r="41">
          <cell r="B41">
            <v>1211652</v>
          </cell>
        </row>
      </sheetData>
      <sheetData sheetId="23">
        <row r="16">
          <cell r="C16">
            <v>112</v>
          </cell>
          <cell r="D16">
            <v>199320</v>
          </cell>
        </row>
        <row r="20">
          <cell r="C20">
            <v>112</v>
          </cell>
        </row>
        <row r="27">
          <cell r="B27">
            <v>200000</v>
          </cell>
        </row>
        <row r="31">
          <cell r="B31">
            <v>680</v>
          </cell>
        </row>
        <row r="34">
          <cell r="B34">
            <v>138046.79999999999</v>
          </cell>
        </row>
        <row r="35">
          <cell r="B35">
            <v>60390</v>
          </cell>
        </row>
        <row r="36">
          <cell r="B36">
            <v>7603.2000000000007</v>
          </cell>
        </row>
        <row r="39">
          <cell r="B39">
            <v>0</v>
          </cell>
        </row>
        <row r="40">
          <cell r="B40">
            <v>138726.79999999999</v>
          </cell>
        </row>
        <row r="41">
          <cell r="B41">
            <v>132963</v>
          </cell>
        </row>
      </sheetData>
      <sheetData sheetId="24">
        <row r="16">
          <cell r="C16">
            <v>110</v>
          </cell>
          <cell r="D16">
            <v>194700</v>
          </cell>
        </row>
        <row r="20">
          <cell r="C20">
            <v>110</v>
          </cell>
        </row>
        <row r="27">
          <cell r="B27">
            <v>200000</v>
          </cell>
        </row>
        <row r="31">
          <cell r="B31">
            <v>5300</v>
          </cell>
        </row>
        <row r="34">
          <cell r="B34">
            <v>134871</v>
          </cell>
        </row>
        <row r="35">
          <cell r="B35">
            <v>66429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140171</v>
          </cell>
        </row>
        <row r="41">
          <cell r="B41">
            <v>136377</v>
          </cell>
        </row>
      </sheetData>
      <sheetData sheetId="25">
        <row r="16">
          <cell r="C16">
            <v>385</v>
          </cell>
          <cell r="D16">
            <v>681450</v>
          </cell>
        </row>
        <row r="20">
          <cell r="C20">
            <v>385</v>
          </cell>
        </row>
        <row r="27">
          <cell r="B27">
            <v>850000</v>
          </cell>
        </row>
        <row r="31">
          <cell r="B31">
            <v>168550</v>
          </cell>
        </row>
        <row r="34">
          <cell r="B34">
            <v>472048.5</v>
          </cell>
        </row>
        <row r="35">
          <cell r="B35">
            <v>232501.5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640598.5</v>
          </cell>
        </row>
        <row r="41">
          <cell r="B41">
            <v>786394</v>
          </cell>
        </row>
      </sheetData>
      <sheetData sheetId="26">
        <row r="16">
          <cell r="C16">
            <v>700</v>
          </cell>
          <cell r="D16">
            <v>1239000</v>
          </cell>
        </row>
        <row r="20">
          <cell r="C20">
            <v>700</v>
          </cell>
        </row>
        <row r="27">
          <cell r="B27">
            <v>1239000</v>
          </cell>
        </row>
        <row r="31">
          <cell r="B31">
            <v>0</v>
          </cell>
        </row>
        <row r="34">
          <cell r="B34">
            <v>858270</v>
          </cell>
        </row>
        <row r="35">
          <cell r="B35">
            <v>422730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858270</v>
          </cell>
        </row>
        <row r="41">
          <cell r="B41">
            <v>0</v>
          </cell>
        </row>
      </sheetData>
      <sheetData sheetId="27">
        <row r="16">
          <cell r="C16">
            <v>700</v>
          </cell>
          <cell r="D16">
            <v>1239000</v>
          </cell>
        </row>
        <row r="20">
          <cell r="C20">
            <v>700</v>
          </cell>
        </row>
        <row r="27">
          <cell r="B27">
            <v>1239000</v>
          </cell>
        </row>
        <row r="31">
          <cell r="B31">
            <v>0</v>
          </cell>
        </row>
        <row r="34">
          <cell r="B34">
            <v>858270</v>
          </cell>
        </row>
        <row r="35">
          <cell r="B35">
            <v>422730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858270</v>
          </cell>
        </row>
        <row r="41">
          <cell r="B41">
            <v>39360</v>
          </cell>
        </row>
      </sheetData>
      <sheetData sheetId="28">
        <row r="16">
          <cell r="C16">
            <v>1400</v>
          </cell>
          <cell r="D16">
            <v>2478000</v>
          </cell>
        </row>
        <row r="20">
          <cell r="C20">
            <v>1400</v>
          </cell>
        </row>
        <row r="27">
          <cell r="B27">
            <v>2478000</v>
          </cell>
        </row>
        <row r="31">
          <cell r="B31">
            <v>0</v>
          </cell>
        </row>
        <row r="34">
          <cell r="B34">
            <v>1716540</v>
          </cell>
        </row>
        <row r="35">
          <cell r="B35">
            <v>845460</v>
          </cell>
        </row>
        <row r="36">
          <cell r="B36">
            <v>0</v>
          </cell>
        </row>
        <row r="39">
          <cell r="B39">
            <v>0</v>
          </cell>
        </row>
        <row r="40">
          <cell r="B40">
            <v>1716540</v>
          </cell>
        </row>
        <row r="41">
          <cell r="B41" t="str">
            <v>?</v>
          </cell>
        </row>
      </sheetData>
      <sheetData sheetId="29">
        <row r="16">
          <cell r="C16">
            <v>967</v>
          </cell>
          <cell r="D16">
            <v>1715640</v>
          </cell>
        </row>
        <row r="20">
          <cell r="C20">
            <v>967</v>
          </cell>
        </row>
        <row r="27">
          <cell r="B27">
            <v>1600000</v>
          </cell>
        </row>
        <row r="31">
          <cell r="B31">
            <v>-115640</v>
          </cell>
        </row>
        <row r="34">
          <cell r="B34">
            <v>1188352.2000000002</v>
          </cell>
        </row>
        <row r="35">
          <cell r="B35">
            <v>556795.79999999993</v>
          </cell>
        </row>
        <row r="36">
          <cell r="B36">
            <v>28512</v>
          </cell>
        </row>
        <row r="39">
          <cell r="B39">
            <v>0</v>
          </cell>
        </row>
        <row r="40">
          <cell r="B40">
            <v>1072712.2000000002</v>
          </cell>
        </row>
        <row r="41">
          <cell r="B41">
            <v>1546095</v>
          </cell>
        </row>
      </sheetData>
      <sheetData sheetId="30" refreshError="1"/>
      <sheetData sheetId="31" refreshError="1"/>
      <sheetData sheetId="32">
        <row r="14">
          <cell r="C14">
            <v>1512</v>
          </cell>
          <cell r="D14">
            <v>2676240</v>
          </cell>
        </row>
        <row r="18">
          <cell r="C18">
            <v>1512</v>
          </cell>
          <cell r="D18">
            <v>2766960</v>
          </cell>
        </row>
        <row r="22">
          <cell r="D22">
            <v>0</v>
          </cell>
        </row>
        <row r="27">
          <cell r="B27">
            <v>2500000</v>
          </cell>
        </row>
        <row r="31">
          <cell r="B31">
            <v>-176240</v>
          </cell>
        </row>
        <row r="35">
          <cell r="B35">
            <v>913096.79999999993</v>
          </cell>
        </row>
        <row r="40">
          <cell r="B40">
            <v>1677623.2000000002</v>
          </cell>
        </row>
        <row r="41">
          <cell r="B41">
            <v>0</v>
          </cell>
        </row>
      </sheetData>
      <sheetData sheetId="33">
        <row r="14">
          <cell r="C14">
            <v>295</v>
          </cell>
        </row>
        <row r="16">
          <cell r="D16">
            <v>522150</v>
          </cell>
        </row>
        <row r="18">
          <cell r="C18">
            <v>295</v>
          </cell>
        </row>
        <row r="20">
          <cell r="D20">
            <v>539850</v>
          </cell>
        </row>
        <row r="24">
          <cell r="D24">
            <v>0</v>
          </cell>
        </row>
        <row r="27">
          <cell r="B27">
            <v>700000</v>
          </cell>
        </row>
        <row r="31">
          <cell r="B31">
            <v>177850</v>
          </cell>
        </row>
        <row r="35">
          <cell r="B35">
            <v>178150.5</v>
          </cell>
        </row>
        <row r="40">
          <cell r="B40">
            <v>539549.5</v>
          </cell>
        </row>
        <row r="41">
          <cell r="B41">
            <v>0</v>
          </cell>
        </row>
      </sheetData>
      <sheetData sheetId="34">
        <row r="14">
          <cell r="C14">
            <v>282</v>
          </cell>
        </row>
        <row r="16">
          <cell r="D16">
            <v>499140</v>
          </cell>
        </row>
        <row r="18">
          <cell r="C18">
            <v>282</v>
          </cell>
        </row>
        <row r="20">
          <cell r="D20">
            <v>516060</v>
          </cell>
        </row>
        <row r="24">
          <cell r="C24">
            <v>0</v>
          </cell>
        </row>
        <row r="27">
          <cell r="B27">
            <v>500000</v>
          </cell>
        </row>
        <row r="31">
          <cell r="B31">
            <v>860</v>
          </cell>
        </row>
        <row r="35">
          <cell r="B35">
            <v>170299.8</v>
          </cell>
        </row>
        <row r="40">
          <cell r="B40">
            <v>346620.2</v>
          </cell>
        </row>
        <row r="41">
          <cell r="B41">
            <v>0</v>
          </cell>
        </row>
      </sheetData>
      <sheetData sheetId="35">
        <row r="14">
          <cell r="C14">
            <v>234</v>
          </cell>
        </row>
        <row r="16">
          <cell r="D16">
            <v>414180</v>
          </cell>
        </row>
        <row r="18">
          <cell r="C18">
            <v>234</v>
          </cell>
        </row>
        <row r="20">
          <cell r="D20">
            <v>428220</v>
          </cell>
        </row>
        <row r="24">
          <cell r="C24">
            <v>0</v>
          </cell>
        </row>
        <row r="27">
          <cell r="B27">
            <v>500000</v>
          </cell>
        </row>
        <row r="31">
          <cell r="B31">
            <v>85820</v>
          </cell>
        </row>
        <row r="35">
          <cell r="B35">
            <v>141312.6</v>
          </cell>
        </row>
        <row r="40">
          <cell r="B40">
            <v>372727.4</v>
          </cell>
        </row>
        <row r="41">
          <cell r="B41">
            <v>0</v>
          </cell>
        </row>
      </sheetData>
      <sheetData sheetId="36">
        <row r="14">
          <cell r="C14">
            <v>170</v>
          </cell>
        </row>
        <row r="16">
          <cell r="D16">
            <v>300900</v>
          </cell>
        </row>
        <row r="18">
          <cell r="C18">
            <v>170</v>
          </cell>
        </row>
        <row r="20">
          <cell r="D20">
            <v>311100</v>
          </cell>
        </row>
        <row r="24">
          <cell r="C24">
            <v>0</v>
          </cell>
        </row>
        <row r="27">
          <cell r="B27">
            <v>300000</v>
          </cell>
        </row>
        <row r="31">
          <cell r="B31">
            <v>-900</v>
          </cell>
        </row>
        <row r="35">
          <cell r="B35">
            <v>102663</v>
          </cell>
        </row>
        <row r="40">
          <cell r="B40">
            <v>207537</v>
          </cell>
        </row>
        <row r="41">
          <cell r="B41">
            <v>0</v>
          </cell>
        </row>
      </sheetData>
      <sheetData sheetId="37">
        <row r="16">
          <cell r="C16">
            <v>296</v>
          </cell>
          <cell r="D16">
            <v>531120</v>
          </cell>
        </row>
        <row r="20">
          <cell r="C20">
            <v>296</v>
          </cell>
        </row>
        <row r="24">
          <cell r="C24">
            <v>0</v>
          </cell>
        </row>
        <row r="27">
          <cell r="B27">
            <v>500000</v>
          </cell>
        </row>
        <row r="31">
          <cell r="B31">
            <v>-31120</v>
          </cell>
        </row>
        <row r="34">
          <cell r="B34">
            <v>367749.6</v>
          </cell>
        </row>
        <row r="35">
          <cell r="B35">
            <v>130442.4</v>
          </cell>
        </row>
        <row r="36">
          <cell r="B36">
            <v>50688</v>
          </cell>
        </row>
        <row r="40">
          <cell r="B40">
            <v>336629.6</v>
          </cell>
        </row>
        <row r="41">
          <cell r="B41">
            <v>0</v>
          </cell>
        </row>
      </sheetData>
      <sheetData sheetId="38">
        <row r="16">
          <cell r="C16">
            <v>265</v>
          </cell>
          <cell r="D16">
            <v>475530</v>
          </cell>
        </row>
        <row r="20">
          <cell r="C20">
            <v>265</v>
          </cell>
        </row>
        <row r="24">
          <cell r="C24">
            <v>0</v>
          </cell>
        </row>
        <row r="27">
          <cell r="B27">
            <v>500000</v>
          </cell>
        </row>
        <row r="31">
          <cell r="B31">
            <v>24470</v>
          </cell>
        </row>
        <row r="34">
          <cell r="B34">
            <v>329258.09999999998</v>
          </cell>
        </row>
        <row r="35">
          <cell r="B35">
            <v>116552.7</v>
          </cell>
        </row>
        <row r="36">
          <cell r="B36">
            <v>45619.200000000004</v>
          </cell>
        </row>
        <row r="40">
          <cell r="B40">
            <v>353728.1</v>
          </cell>
        </row>
        <row r="41">
          <cell r="B41">
            <v>0</v>
          </cell>
        </row>
      </sheetData>
      <sheetData sheetId="39">
        <row r="16">
          <cell r="C16">
            <v>333</v>
          </cell>
          <cell r="D16">
            <v>592650</v>
          </cell>
        </row>
        <row r="20">
          <cell r="C20">
            <v>333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407350</v>
          </cell>
        </row>
        <row r="34">
          <cell r="B34">
            <v>410462.1</v>
          </cell>
        </row>
        <row r="35">
          <cell r="B35">
            <v>179358.3</v>
          </cell>
        </row>
        <row r="36">
          <cell r="B36">
            <v>22809.600000000002</v>
          </cell>
        </row>
        <row r="40">
          <cell r="B40">
            <v>817812.1</v>
          </cell>
        </row>
        <row r="41">
          <cell r="B41">
            <v>0</v>
          </cell>
        </row>
      </sheetData>
      <sheetData sheetId="40">
        <row r="14">
          <cell r="C14">
            <v>322</v>
          </cell>
        </row>
        <row r="16">
          <cell r="D16">
            <v>569940</v>
          </cell>
        </row>
        <row r="20">
          <cell r="C20">
            <v>322</v>
          </cell>
          <cell r="D20">
            <v>589260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430060</v>
          </cell>
        </row>
        <row r="35">
          <cell r="B35">
            <v>194455.8</v>
          </cell>
        </row>
        <row r="40">
          <cell r="B40">
            <v>824864.2</v>
          </cell>
        </row>
        <row r="41">
          <cell r="B41">
            <v>0</v>
          </cell>
        </row>
      </sheetData>
      <sheetData sheetId="41">
        <row r="16">
          <cell r="C16">
            <v>1514</v>
          </cell>
          <cell r="D16">
            <v>2724420</v>
          </cell>
        </row>
        <row r="20">
          <cell r="C20">
            <v>1514</v>
          </cell>
          <cell r="D20">
            <v>2815260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-1724420</v>
          </cell>
        </row>
        <row r="34">
          <cell r="B34">
            <v>1886224.2</v>
          </cell>
        </row>
        <row r="40">
          <cell r="B40">
            <v>161804.19999999995</v>
          </cell>
        </row>
        <row r="41">
          <cell r="B41">
            <v>0</v>
          </cell>
        </row>
      </sheetData>
      <sheetData sheetId="42">
        <row r="16">
          <cell r="C16">
            <v>1345</v>
          </cell>
          <cell r="D16">
            <v>2391630</v>
          </cell>
        </row>
        <row r="20">
          <cell r="C20">
            <v>1345</v>
          </cell>
          <cell r="D20">
            <v>2472330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-1391630</v>
          </cell>
        </row>
        <row r="35">
          <cell r="B35">
            <v>738569.7</v>
          </cell>
        </row>
        <row r="36">
          <cell r="B36">
            <v>77299.199999999997</v>
          </cell>
        </row>
        <row r="40">
          <cell r="B40">
            <v>264831.10000000009</v>
          </cell>
        </row>
        <row r="41">
          <cell r="B41">
            <v>0</v>
          </cell>
        </row>
      </sheetData>
      <sheetData sheetId="43">
        <row r="16">
          <cell r="C16">
            <v>1178</v>
          </cell>
          <cell r="D16">
            <v>2095860</v>
          </cell>
        </row>
        <row r="20">
          <cell r="C20">
            <v>1178</v>
          </cell>
          <cell r="D20">
            <v>2166540</v>
          </cell>
        </row>
        <row r="24">
          <cell r="C24">
            <v>0</v>
          </cell>
        </row>
        <row r="27">
          <cell r="B27">
            <v>1000000</v>
          </cell>
        </row>
        <row r="35">
          <cell r="B35">
            <v>638926.19999999995</v>
          </cell>
        </row>
        <row r="37">
          <cell r="B37">
            <v>0</v>
          </cell>
        </row>
        <row r="40">
          <cell r="B40">
            <v>355721.80000000005</v>
          </cell>
        </row>
        <row r="41">
          <cell r="B41">
            <v>0</v>
          </cell>
        </row>
      </sheetData>
      <sheetData sheetId="44">
        <row r="16">
          <cell r="C16">
            <v>1128</v>
          </cell>
          <cell r="D16">
            <v>2022300</v>
          </cell>
        </row>
        <row r="20">
          <cell r="C20">
            <v>1128</v>
          </cell>
          <cell r="D20">
            <v>2089980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-1022300</v>
          </cell>
        </row>
        <row r="35">
          <cell r="B35">
            <v>508483.8</v>
          </cell>
        </row>
        <row r="36">
          <cell r="B36">
            <v>181209.60000000001</v>
          </cell>
        </row>
        <row r="40">
          <cell r="B40">
            <v>377986.60000000009</v>
          </cell>
        </row>
        <row r="41">
          <cell r="B41">
            <v>0</v>
          </cell>
        </row>
      </sheetData>
      <sheetData sheetId="45">
        <row r="16">
          <cell r="C16">
            <v>1302</v>
          </cell>
          <cell r="D16">
            <v>2401110</v>
          </cell>
        </row>
        <row r="20">
          <cell r="C20">
            <v>1302</v>
          </cell>
          <cell r="D20">
            <v>2479230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-1401110</v>
          </cell>
        </row>
        <row r="35">
          <cell r="B35">
            <v>138293.1</v>
          </cell>
        </row>
        <row r="36">
          <cell r="B36">
            <v>679852.8</v>
          </cell>
        </row>
        <row r="40">
          <cell r="B40">
            <v>259974.10000000009</v>
          </cell>
        </row>
        <row r="41">
          <cell r="B41">
            <v>0</v>
          </cell>
        </row>
      </sheetData>
      <sheetData sheetId="46">
        <row r="16">
          <cell r="C16">
            <v>855</v>
          </cell>
          <cell r="D16">
            <v>1567260</v>
          </cell>
        </row>
        <row r="20">
          <cell r="C20">
            <v>855</v>
          </cell>
          <cell r="D20">
            <v>1618560</v>
          </cell>
        </row>
        <row r="24">
          <cell r="C24">
            <v>0</v>
          </cell>
        </row>
        <row r="27">
          <cell r="B27">
            <v>1000000</v>
          </cell>
        </row>
        <row r="31">
          <cell r="B31">
            <v>-567260</v>
          </cell>
        </row>
        <row r="35">
          <cell r="B35">
            <v>154598.39999999999</v>
          </cell>
        </row>
        <row r="36">
          <cell r="B36">
            <v>379526.40000000002</v>
          </cell>
        </row>
        <row r="40">
          <cell r="B40">
            <v>517175.19999999995</v>
          </cell>
        </row>
        <row r="41">
          <cell r="B41">
            <v>0</v>
          </cell>
        </row>
      </sheetData>
      <sheetData sheetId="47" refreshError="1"/>
      <sheetData sheetId="48" refreshError="1"/>
      <sheetData sheetId="49">
        <row r="16">
          <cell r="C16">
            <v>1521</v>
          </cell>
          <cell r="D16">
            <v>2692170</v>
          </cell>
        </row>
        <row r="20">
          <cell r="C20">
            <v>1520</v>
          </cell>
        </row>
        <row r="24">
          <cell r="C24">
            <v>1</v>
          </cell>
        </row>
        <row r="27">
          <cell r="B27">
            <v>2600000</v>
          </cell>
        </row>
        <row r="28">
          <cell r="B28">
            <v>2692170</v>
          </cell>
        </row>
        <row r="31">
          <cell r="B31">
            <v>-92170</v>
          </cell>
        </row>
        <row r="34">
          <cell r="B34">
            <v>1863672</v>
          </cell>
        </row>
        <row r="40">
          <cell r="B40">
            <v>1773272</v>
          </cell>
        </row>
        <row r="41">
          <cell r="B41">
            <v>0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cheged "/>
      <sheetName val="Sales "/>
      <sheetName val="AP Seeds Lone Payments "/>
      <sheetName val="Farmer wise Data BSSO "/>
      <sheetName val="Mandal wise consalidation "/>
      <sheetName val="CMSS F to F "/>
      <sheetName val="Sheet4"/>
      <sheetName val="Inci charg agnest 2016 kharif  "/>
      <sheetName val="Sheet1"/>
    </sheetNames>
    <sheetDataSet>
      <sheetData sheetId="0">
        <row r="6">
          <cell r="E6">
            <v>297</v>
          </cell>
          <cell r="H6">
            <v>36</v>
          </cell>
          <cell r="K6">
            <v>592650</v>
          </cell>
          <cell r="L6">
            <v>407350</v>
          </cell>
        </row>
        <row r="7">
          <cell r="E7">
            <v>276</v>
          </cell>
          <cell r="H7">
            <v>80</v>
          </cell>
          <cell r="K7">
            <v>637320</v>
          </cell>
          <cell r="L7">
            <v>-137320</v>
          </cell>
        </row>
        <row r="8">
          <cell r="E8">
            <v>193</v>
          </cell>
          <cell r="H8">
            <v>72</v>
          </cell>
          <cell r="K8">
            <v>475530</v>
          </cell>
          <cell r="L8">
            <v>24470</v>
          </cell>
        </row>
        <row r="9">
          <cell r="E9">
            <v>322</v>
          </cell>
          <cell r="H9">
            <v>0</v>
          </cell>
          <cell r="K9">
            <v>569940</v>
          </cell>
          <cell r="L9">
            <v>430060</v>
          </cell>
        </row>
        <row r="10">
          <cell r="E10">
            <v>1092</v>
          </cell>
          <cell r="H10">
            <v>0</v>
          </cell>
          <cell r="K10">
            <v>1932840.0000000002</v>
          </cell>
          <cell r="L10">
            <v>67159.999999999767</v>
          </cell>
        </row>
        <row r="11">
          <cell r="E11">
            <v>1400</v>
          </cell>
          <cell r="H11">
            <v>0</v>
          </cell>
          <cell r="K11">
            <v>2478000</v>
          </cell>
          <cell r="L11">
            <v>0</v>
          </cell>
        </row>
        <row r="12">
          <cell r="E12">
            <v>700</v>
          </cell>
          <cell r="H12">
            <v>0</v>
          </cell>
          <cell r="K12">
            <v>1239000</v>
          </cell>
          <cell r="L12">
            <v>0</v>
          </cell>
        </row>
        <row r="13">
          <cell r="E13">
            <v>840</v>
          </cell>
          <cell r="H13">
            <v>0</v>
          </cell>
          <cell r="K13">
            <v>1486800</v>
          </cell>
          <cell r="L13">
            <v>-800</v>
          </cell>
        </row>
        <row r="14">
          <cell r="E14">
            <v>700</v>
          </cell>
          <cell r="H14">
            <v>0</v>
          </cell>
          <cell r="K14">
            <v>1239000</v>
          </cell>
          <cell r="L14">
            <v>0</v>
          </cell>
        </row>
        <row r="15">
          <cell r="E15">
            <v>1018</v>
          </cell>
          <cell r="H15">
            <v>496</v>
          </cell>
          <cell r="K15">
            <v>2724420</v>
          </cell>
          <cell r="L15">
            <v>-1724420</v>
          </cell>
        </row>
        <row r="16">
          <cell r="E16">
            <v>229</v>
          </cell>
          <cell r="H16">
            <v>1073</v>
          </cell>
          <cell r="K16">
            <v>2401110</v>
          </cell>
          <cell r="L16">
            <v>-1401110</v>
          </cell>
        </row>
        <row r="17">
          <cell r="E17">
            <v>1223</v>
          </cell>
          <cell r="H17">
            <v>122</v>
          </cell>
          <cell r="K17">
            <v>2391630</v>
          </cell>
          <cell r="L17">
            <v>-1391630</v>
          </cell>
        </row>
        <row r="18">
          <cell r="E18">
            <v>256</v>
          </cell>
          <cell r="H18">
            <v>559</v>
          </cell>
          <cell r="K18">
            <v>1492860</v>
          </cell>
          <cell r="L18">
            <v>-492860</v>
          </cell>
        </row>
        <row r="19">
          <cell r="E19">
            <v>1058</v>
          </cell>
          <cell r="H19">
            <v>120</v>
          </cell>
          <cell r="K19">
            <v>2095859.9999999998</v>
          </cell>
          <cell r="L19">
            <v>-1095859.9999999998</v>
          </cell>
        </row>
        <row r="20">
          <cell r="E20">
            <v>842</v>
          </cell>
          <cell r="H20">
            <v>286</v>
          </cell>
          <cell r="K20">
            <v>2022300</v>
          </cell>
          <cell r="L20">
            <v>-1022300</v>
          </cell>
        </row>
        <row r="21">
          <cell r="E21">
            <v>0</v>
          </cell>
          <cell r="H21">
            <v>0</v>
          </cell>
          <cell r="K21">
            <v>0</v>
          </cell>
          <cell r="L21">
            <v>200000</v>
          </cell>
        </row>
        <row r="22">
          <cell r="E22">
            <v>1065</v>
          </cell>
          <cell r="H22">
            <v>0</v>
          </cell>
          <cell r="K22">
            <v>1885050</v>
          </cell>
          <cell r="L22">
            <v>14950</v>
          </cell>
        </row>
        <row r="23">
          <cell r="E23">
            <v>904</v>
          </cell>
          <cell r="H23">
            <v>0</v>
          </cell>
          <cell r="K23">
            <v>1600080</v>
          </cell>
          <cell r="L23">
            <v>-80</v>
          </cell>
        </row>
        <row r="24">
          <cell r="E24">
            <v>1512</v>
          </cell>
          <cell r="H24">
            <v>0</v>
          </cell>
          <cell r="K24">
            <v>2676240</v>
          </cell>
          <cell r="L24">
            <v>-176240</v>
          </cell>
        </row>
        <row r="25">
          <cell r="E25">
            <v>295</v>
          </cell>
          <cell r="H25">
            <v>0</v>
          </cell>
          <cell r="K25">
            <v>522150</v>
          </cell>
          <cell r="L25">
            <v>177850</v>
          </cell>
        </row>
        <row r="26">
          <cell r="E26">
            <v>565</v>
          </cell>
          <cell r="H26">
            <v>0</v>
          </cell>
          <cell r="K26">
            <v>1000050</v>
          </cell>
          <cell r="L26">
            <v>-50</v>
          </cell>
        </row>
        <row r="27">
          <cell r="E27">
            <v>517</v>
          </cell>
          <cell r="H27">
            <v>46</v>
          </cell>
          <cell r="K27">
            <v>1000650</v>
          </cell>
          <cell r="L27">
            <v>-650</v>
          </cell>
        </row>
        <row r="28">
          <cell r="E28">
            <v>451</v>
          </cell>
          <cell r="H28">
            <v>0</v>
          </cell>
          <cell r="K28">
            <v>798270.00000000012</v>
          </cell>
          <cell r="L28">
            <v>1729.9999999998836</v>
          </cell>
        </row>
        <row r="29">
          <cell r="E29">
            <v>234</v>
          </cell>
          <cell r="H29">
            <v>0</v>
          </cell>
          <cell r="K29">
            <v>414180</v>
          </cell>
          <cell r="L29">
            <v>85820</v>
          </cell>
        </row>
        <row r="30">
          <cell r="E30">
            <v>282</v>
          </cell>
          <cell r="H30">
            <v>0</v>
          </cell>
          <cell r="K30">
            <v>499139.99999999994</v>
          </cell>
          <cell r="L30">
            <v>860.00000000005821</v>
          </cell>
        </row>
        <row r="31">
          <cell r="E31">
            <v>170</v>
          </cell>
          <cell r="H31">
            <v>0</v>
          </cell>
          <cell r="K31">
            <v>300900</v>
          </cell>
          <cell r="L31">
            <v>-900</v>
          </cell>
        </row>
        <row r="32">
          <cell r="E32">
            <v>1602</v>
          </cell>
          <cell r="H32">
            <v>0</v>
          </cell>
          <cell r="K32">
            <v>2835540</v>
          </cell>
          <cell r="L32">
            <v>-35540</v>
          </cell>
        </row>
        <row r="33">
          <cell r="E33">
            <v>0</v>
          </cell>
          <cell r="H33">
            <v>0</v>
          </cell>
          <cell r="K33">
            <v>0</v>
          </cell>
          <cell r="L33">
            <v>200000</v>
          </cell>
        </row>
        <row r="34">
          <cell r="E34">
            <v>1879</v>
          </cell>
          <cell r="H34">
            <v>0</v>
          </cell>
          <cell r="K34">
            <v>3325830.0000000005</v>
          </cell>
          <cell r="L34">
            <v>674169.99999999953</v>
          </cell>
        </row>
        <row r="35">
          <cell r="E35">
            <v>385</v>
          </cell>
          <cell r="H35">
            <v>0</v>
          </cell>
          <cell r="K35">
            <v>681450</v>
          </cell>
          <cell r="L35">
            <v>168550</v>
          </cell>
        </row>
        <row r="36">
          <cell r="E36">
            <v>534</v>
          </cell>
          <cell r="H36">
            <v>0</v>
          </cell>
          <cell r="K36">
            <v>945179.99999999988</v>
          </cell>
          <cell r="L36">
            <v>274820.00000000012</v>
          </cell>
        </row>
        <row r="37">
          <cell r="E37">
            <v>301</v>
          </cell>
          <cell r="H37">
            <v>0</v>
          </cell>
          <cell r="K37">
            <v>532770</v>
          </cell>
          <cell r="L37">
            <v>167230</v>
          </cell>
        </row>
        <row r="38">
          <cell r="E38">
            <v>449</v>
          </cell>
          <cell r="H38">
            <v>0</v>
          </cell>
          <cell r="K38">
            <v>794729.99999999988</v>
          </cell>
          <cell r="L38">
            <v>235270.00000000012</v>
          </cell>
        </row>
        <row r="39">
          <cell r="E39">
            <v>294</v>
          </cell>
          <cell r="H39">
            <v>0</v>
          </cell>
          <cell r="K39">
            <v>520380</v>
          </cell>
          <cell r="L39">
            <v>-220380</v>
          </cell>
        </row>
        <row r="40">
          <cell r="E40">
            <v>100</v>
          </cell>
          <cell r="H40">
            <v>12</v>
          </cell>
          <cell r="K40">
            <v>199320</v>
          </cell>
          <cell r="L40">
            <v>680</v>
          </cell>
        </row>
        <row r="41">
          <cell r="E41">
            <v>110</v>
          </cell>
          <cell r="H41">
            <v>0</v>
          </cell>
          <cell r="K41">
            <v>194700</v>
          </cell>
          <cell r="L41">
            <v>5300</v>
          </cell>
        </row>
        <row r="42">
          <cell r="E42">
            <v>883</v>
          </cell>
          <cell r="H42">
            <v>0</v>
          </cell>
          <cell r="K42">
            <v>1562909.9999999998</v>
          </cell>
          <cell r="L42">
            <v>437090.00000000023</v>
          </cell>
        </row>
        <row r="43">
          <cell r="E43">
            <v>252</v>
          </cell>
          <cell r="H43">
            <v>0</v>
          </cell>
          <cell r="K43">
            <v>446039.99999999994</v>
          </cell>
          <cell r="L43">
            <v>53960.000000000058</v>
          </cell>
        </row>
        <row r="44">
          <cell r="E44">
            <v>567</v>
          </cell>
          <cell r="H44">
            <v>0</v>
          </cell>
          <cell r="K44">
            <v>1003590</v>
          </cell>
          <cell r="L44">
            <v>1496410</v>
          </cell>
        </row>
        <row r="45">
          <cell r="E45">
            <v>237</v>
          </cell>
          <cell r="H45">
            <v>0</v>
          </cell>
          <cell r="K45">
            <v>419489.99999999994</v>
          </cell>
          <cell r="L45">
            <v>80510.000000000058</v>
          </cell>
        </row>
        <row r="46">
          <cell r="E46">
            <v>0</v>
          </cell>
          <cell r="H46">
            <v>94</v>
          </cell>
          <cell r="K46">
            <v>174840</v>
          </cell>
          <cell r="L46">
            <v>225160</v>
          </cell>
        </row>
        <row r="47">
          <cell r="E47">
            <v>0</v>
          </cell>
          <cell r="H47">
            <v>86</v>
          </cell>
          <cell r="K47">
            <v>159960</v>
          </cell>
          <cell r="L47">
            <v>340040</v>
          </cell>
        </row>
        <row r="48">
          <cell r="E48">
            <v>0</v>
          </cell>
          <cell r="H48">
            <v>67</v>
          </cell>
          <cell r="K48">
            <v>124620.00000000001</v>
          </cell>
          <cell r="L48">
            <v>175380</v>
          </cell>
        </row>
        <row r="49">
          <cell r="E49">
            <v>396</v>
          </cell>
          <cell r="H49">
            <v>0</v>
          </cell>
          <cell r="K49">
            <v>700920</v>
          </cell>
          <cell r="L49">
            <v>199080</v>
          </cell>
        </row>
        <row r="50">
          <cell r="E50">
            <v>96</v>
          </cell>
          <cell r="H50">
            <v>0</v>
          </cell>
          <cell r="K50">
            <v>169920</v>
          </cell>
          <cell r="L50">
            <v>330080</v>
          </cell>
        </row>
        <row r="51">
          <cell r="E51">
            <v>1521</v>
          </cell>
          <cell r="H51">
            <v>0</v>
          </cell>
          <cell r="K51">
            <v>2692170</v>
          </cell>
          <cell r="L51">
            <v>-1770</v>
          </cell>
        </row>
        <row r="52">
          <cell r="E52">
            <v>922</v>
          </cell>
          <cell r="H52">
            <v>45</v>
          </cell>
          <cell r="K52">
            <v>1715640.0000000002</v>
          </cell>
          <cell r="L52">
            <v>-115640.00000000023</v>
          </cell>
        </row>
        <row r="53">
          <cell r="E53">
            <v>106</v>
          </cell>
          <cell r="H53">
            <v>0</v>
          </cell>
          <cell r="K53">
            <v>187620</v>
          </cell>
          <cell r="L53">
            <v>312380</v>
          </cell>
        </row>
      </sheetData>
      <sheetData sheetId="1">
        <row r="6">
          <cell r="E6">
            <v>297</v>
          </cell>
          <cell r="J6">
            <v>36</v>
          </cell>
          <cell r="O6">
            <v>410462.10000000003</v>
          </cell>
          <cell r="P6">
            <v>202167.90000000002</v>
          </cell>
          <cell r="Q6">
            <v>612630</v>
          </cell>
        </row>
        <row r="7">
          <cell r="E7">
            <v>276</v>
          </cell>
          <cell r="J7">
            <v>80</v>
          </cell>
          <cell r="O7">
            <v>441315.60000000003</v>
          </cell>
          <cell r="P7">
            <v>217364.4</v>
          </cell>
          <cell r="Q7">
            <v>658680</v>
          </cell>
        </row>
        <row r="8">
          <cell r="E8">
            <v>193</v>
          </cell>
          <cell r="J8">
            <v>72</v>
          </cell>
          <cell r="O8">
            <v>329258.10000000003</v>
          </cell>
          <cell r="P8">
            <v>162171.90000000002</v>
          </cell>
          <cell r="Q8">
            <v>491430.00000000006</v>
          </cell>
        </row>
        <row r="9">
          <cell r="E9">
            <v>322</v>
          </cell>
          <cell r="J9">
            <v>0</v>
          </cell>
          <cell r="O9">
            <v>394804.2</v>
          </cell>
          <cell r="P9">
            <v>194455.80000000002</v>
          </cell>
          <cell r="Q9">
            <v>589260</v>
          </cell>
        </row>
        <row r="10">
          <cell r="E10">
            <v>1092</v>
          </cell>
          <cell r="J10">
            <v>0</v>
          </cell>
          <cell r="O10">
            <v>1338901.2000000002</v>
          </cell>
          <cell r="P10">
            <v>659458.80000000016</v>
          </cell>
          <cell r="Q10">
            <v>1998360.0000000005</v>
          </cell>
        </row>
        <row r="11">
          <cell r="E11">
            <v>1400</v>
          </cell>
          <cell r="J11">
            <v>0</v>
          </cell>
          <cell r="O11">
            <v>1716540</v>
          </cell>
          <cell r="P11">
            <v>845460</v>
          </cell>
          <cell r="Q11">
            <v>2562000</v>
          </cell>
        </row>
        <row r="12">
          <cell r="E12">
            <v>700</v>
          </cell>
          <cell r="J12">
            <v>0</v>
          </cell>
          <cell r="O12">
            <v>858270</v>
          </cell>
          <cell r="P12">
            <v>422730</v>
          </cell>
          <cell r="Q12">
            <v>1281000</v>
          </cell>
        </row>
        <row r="13">
          <cell r="E13">
            <v>840</v>
          </cell>
          <cell r="J13">
            <v>0</v>
          </cell>
          <cell r="O13">
            <v>1029924.0000000001</v>
          </cell>
          <cell r="P13">
            <v>507276</v>
          </cell>
          <cell r="Q13">
            <v>1537200</v>
          </cell>
        </row>
        <row r="14">
          <cell r="E14">
            <v>700</v>
          </cell>
          <cell r="J14">
            <v>0</v>
          </cell>
          <cell r="O14">
            <v>858270</v>
          </cell>
          <cell r="P14">
            <v>422730</v>
          </cell>
          <cell r="Q14">
            <v>1281000</v>
          </cell>
        </row>
        <row r="15">
          <cell r="E15">
            <v>1018</v>
          </cell>
          <cell r="J15">
            <v>496</v>
          </cell>
          <cell r="O15">
            <v>1886224.2</v>
          </cell>
          <cell r="P15">
            <v>929035.8</v>
          </cell>
          <cell r="Q15">
            <v>2815260</v>
          </cell>
        </row>
        <row r="16">
          <cell r="E16">
            <v>229</v>
          </cell>
          <cell r="J16">
            <v>1073</v>
          </cell>
          <cell r="O16">
            <v>1661084.1</v>
          </cell>
          <cell r="P16">
            <v>818145.89999999991</v>
          </cell>
          <cell r="Q16">
            <v>2479230</v>
          </cell>
        </row>
        <row r="17">
          <cell r="E17">
            <v>1223</v>
          </cell>
          <cell r="J17">
            <v>122</v>
          </cell>
          <cell r="O17">
            <v>1656461.1</v>
          </cell>
          <cell r="P17">
            <v>815868.9</v>
          </cell>
          <cell r="Q17">
            <v>2472330</v>
          </cell>
        </row>
        <row r="18">
          <cell r="E18">
            <v>256</v>
          </cell>
          <cell r="J18">
            <v>559</v>
          </cell>
          <cell r="O18">
            <v>1032979.2000000002</v>
          </cell>
          <cell r="P18">
            <v>508780.80000000005</v>
          </cell>
          <cell r="Q18">
            <v>1541760.0000000002</v>
          </cell>
        </row>
        <row r="19">
          <cell r="E19">
            <v>1058</v>
          </cell>
          <cell r="J19">
            <v>120</v>
          </cell>
          <cell r="O19">
            <v>1451581.7999999998</v>
          </cell>
          <cell r="P19">
            <v>714958.2</v>
          </cell>
          <cell r="Q19">
            <v>2166540</v>
          </cell>
        </row>
        <row r="20">
          <cell r="E20">
            <v>842</v>
          </cell>
          <cell r="J20">
            <v>286</v>
          </cell>
          <cell r="O20">
            <v>1400286.6</v>
          </cell>
          <cell r="P20">
            <v>689693.4</v>
          </cell>
          <cell r="Q20">
            <v>2089980</v>
          </cell>
        </row>
        <row r="21">
          <cell r="E21">
            <v>0</v>
          </cell>
          <cell r="J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E22">
            <v>1065</v>
          </cell>
          <cell r="J22">
            <v>0</v>
          </cell>
          <cell r="O22">
            <v>1305796.5</v>
          </cell>
          <cell r="P22">
            <v>643153.5</v>
          </cell>
          <cell r="Q22">
            <v>1948950</v>
          </cell>
        </row>
        <row r="23">
          <cell r="E23">
            <v>904</v>
          </cell>
          <cell r="J23">
            <v>0</v>
          </cell>
          <cell r="O23">
            <v>1108394.4000000001</v>
          </cell>
          <cell r="P23">
            <v>545925.6</v>
          </cell>
          <cell r="Q23">
            <v>1654320</v>
          </cell>
        </row>
        <row r="24">
          <cell r="E24">
            <v>1512</v>
          </cell>
          <cell r="J24">
            <v>0</v>
          </cell>
          <cell r="O24">
            <v>1853863.2000000002</v>
          </cell>
          <cell r="P24">
            <v>913096.8</v>
          </cell>
          <cell r="Q24">
            <v>2766960</v>
          </cell>
        </row>
        <row r="25">
          <cell r="E25">
            <v>295</v>
          </cell>
          <cell r="J25">
            <v>0</v>
          </cell>
          <cell r="O25">
            <v>361699.5</v>
          </cell>
          <cell r="P25">
            <v>178150.5</v>
          </cell>
          <cell r="Q25">
            <v>539850</v>
          </cell>
        </row>
        <row r="26">
          <cell r="E26">
            <v>565</v>
          </cell>
          <cell r="J26">
            <v>0</v>
          </cell>
          <cell r="O26">
            <v>692746.5</v>
          </cell>
          <cell r="P26">
            <v>341203.5</v>
          </cell>
          <cell r="Q26">
            <v>1033950</v>
          </cell>
        </row>
        <row r="27">
          <cell r="E27">
            <v>517</v>
          </cell>
          <cell r="J27">
            <v>46</v>
          </cell>
          <cell r="O27">
            <v>693068.10000000009</v>
          </cell>
          <cell r="P27">
            <v>341361.89999999997</v>
          </cell>
          <cell r="Q27">
            <v>1034430</v>
          </cell>
        </row>
        <row r="28">
          <cell r="E28">
            <v>451</v>
          </cell>
          <cell r="J28">
            <v>0</v>
          </cell>
          <cell r="O28">
            <v>552971.10000000009</v>
          </cell>
          <cell r="P28">
            <v>272358.90000000002</v>
          </cell>
          <cell r="Q28">
            <v>825330.00000000012</v>
          </cell>
        </row>
        <row r="29">
          <cell r="E29">
            <v>234</v>
          </cell>
          <cell r="J29">
            <v>0</v>
          </cell>
          <cell r="O29">
            <v>286907.40000000002</v>
          </cell>
          <cell r="P29">
            <v>141312.6</v>
          </cell>
          <cell r="Q29">
            <v>428220</v>
          </cell>
        </row>
        <row r="30">
          <cell r="E30">
            <v>282</v>
          </cell>
          <cell r="J30">
            <v>0</v>
          </cell>
          <cell r="O30">
            <v>345760.19999999995</v>
          </cell>
          <cell r="P30">
            <v>170299.8</v>
          </cell>
          <cell r="Q30">
            <v>516059.99999999994</v>
          </cell>
        </row>
        <row r="31">
          <cell r="E31">
            <v>170</v>
          </cell>
          <cell r="J31">
            <v>0</v>
          </cell>
          <cell r="O31">
            <v>208437</v>
          </cell>
          <cell r="P31">
            <v>102663</v>
          </cell>
          <cell r="Q31">
            <v>311100</v>
          </cell>
        </row>
        <row r="32">
          <cell r="E32">
            <v>1602</v>
          </cell>
          <cell r="J32">
            <v>0</v>
          </cell>
          <cell r="O32">
            <v>1964212.2000000002</v>
          </cell>
          <cell r="P32">
            <v>967447.8</v>
          </cell>
          <cell r="Q32">
            <v>2931660</v>
          </cell>
        </row>
        <row r="33">
          <cell r="E33">
            <v>0</v>
          </cell>
          <cell r="J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E34">
            <v>1879</v>
          </cell>
          <cell r="J34">
            <v>0</v>
          </cell>
          <cell r="O34">
            <v>2303841.9000000004</v>
          </cell>
          <cell r="P34">
            <v>1134728.1000000001</v>
          </cell>
          <cell r="Q34">
            <v>3438570.0000000005</v>
          </cell>
        </row>
        <row r="35">
          <cell r="E35">
            <v>385</v>
          </cell>
          <cell r="J35">
            <v>0</v>
          </cell>
          <cell r="O35">
            <v>472048.5</v>
          </cell>
          <cell r="P35">
            <v>232501.5</v>
          </cell>
          <cell r="Q35">
            <v>704550</v>
          </cell>
        </row>
        <row r="36">
          <cell r="E36">
            <v>534</v>
          </cell>
          <cell r="J36">
            <v>0</v>
          </cell>
          <cell r="O36">
            <v>654737.39999999991</v>
          </cell>
          <cell r="P36">
            <v>322482.59999999998</v>
          </cell>
          <cell r="Q36">
            <v>977219.99999999988</v>
          </cell>
        </row>
        <row r="37">
          <cell r="E37">
            <v>301</v>
          </cell>
          <cell r="J37">
            <v>0</v>
          </cell>
          <cell r="O37">
            <v>369056.10000000003</v>
          </cell>
          <cell r="P37">
            <v>181773.9</v>
          </cell>
          <cell r="Q37">
            <v>550830</v>
          </cell>
        </row>
        <row r="38">
          <cell r="E38">
            <v>449</v>
          </cell>
          <cell r="J38">
            <v>0</v>
          </cell>
          <cell r="O38">
            <v>550518.89999999991</v>
          </cell>
          <cell r="P38">
            <v>271151.09999999998</v>
          </cell>
          <cell r="Q38">
            <v>821669.99999999988</v>
          </cell>
        </row>
        <row r="39">
          <cell r="E39">
            <v>294</v>
          </cell>
          <cell r="J39">
            <v>0</v>
          </cell>
          <cell r="O39">
            <v>360473.4</v>
          </cell>
          <cell r="P39">
            <v>177546.6</v>
          </cell>
          <cell r="Q39">
            <v>538020</v>
          </cell>
        </row>
        <row r="40">
          <cell r="E40">
            <v>100</v>
          </cell>
          <cell r="J40">
            <v>12</v>
          </cell>
          <cell r="O40">
            <v>138046.80000000002</v>
          </cell>
          <cell r="P40">
            <v>67993.2</v>
          </cell>
          <cell r="Q40">
            <v>206040</v>
          </cell>
        </row>
        <row r="41">
          <cell r="E41">
            <v>110</v>
          </cell>
          <cell r="J41">
            <v>0</v>
          </cell>
          <cell r="O41">
            <v>134871</v>
          </cell>
          <cell r="P41">
            <v>66429</v>
          </cell>
          <cell r="Q41">
            <v>201300</v>
          </cell>
        </row>
        <row r="42">
          <cell r="E42">
            <v>883</v>
          </cell>
          <cell r="J42">
            <v>0</v>
          </cell>
          <cell r="O42">
            <v>1082646.2999999998</v>
          </cell>
          <cell r="P42">
            <v>533243.69999999995</v>
          </cell>
          <cell r="Q42">
            <v>1615889.9999999998</v>
          </cell>
        </row>
        <row r="43">
          <cell r="E43">
            <v>252</v>
          </cell>
          <cell r="J43">
            <v>0</v>
          </cell>
          <cell r="O43">
            <v>308977.19999999995</v>
          </cell>
          <cell r="P43">
            <v>152182.79999999999</v>
          </cell>
          <cell r="Q43">
            <v>461159.99999999994</v>
          </cell>
        </row>
        <row r="44">
          <cell r="E44">
            <v>567</v>
          </cell>
          <cell r="J44">
            <v>0</v>
          </cell>
          <cell r="O44">
            <v>695198.70000000007</v>
          </cell>
          <cell r="P44">
            <v>342411.3</v>
          </cell>
          <cell r="Q44">
            <v>1037610</v>
          </cell>
        </row>
        <row r="45">
          <cell r="E45">
            <v>237</v>
          </cell>
          <cell r="J45">
            <v>0</v>
          </cell>
          <cell r="O45">
            <v>290585.69999999995</v>
          </cell>
          <cell r="P45">
            <v>143124.29999999999</v>
          </cell>
          <cell r="Q45">
            <v>433709.99999999994</v>
          </cell>
        </row>
        <row r="46">
          <cell r="E46">
            <v>0</v>
          </cell>
          <cell r="J46">
            <v>94</v>
          </cell>
          <cell r="O46">
            <v>120921.60000000001</v>
          </cell>
          <cell r="P46">
            <v>59558.400000000001</v>
          </cell>
          <cell r="Q46">
            <v>180480</v>
          </cell>
        </row>
        <row r="47">
          <cell r="E47">
            <v>0</v>
          </cell>
          <cell r="J47">
            <v>86</v>
          </cell>
          <cell r="O47">
            <v>110630.40000000001</v>
          </cell>
          <cell r="P47">
            <v>54489.600000000006</v>
          </cell>
          <cell r="Q47">
            <v>165120</v>
          </cell>
        </row>
        <row r="48">
          <cell r="E48">
            <v>0</v>
          </cell>
          <cell r="J48">
            <v>67</v>
          </cell>
          <cell r="O48">
            <v>86188.800000000017</v>
          </cell>
          <cell r="P48">
            <v>42451.200000000004</v>
          </cell>
          <cell r="Q48">
            <v>128640.00000000003</v>
          </cell>
        </row>
        <row r="49">
          <cell r="E49">
            <v>396</v>
          </cell>
          <cell r="J49">
            <v>0</v>
          </cell>
          <cell r="O49">
            <v>485535.60000000003</v>
          </cell>
          <cell r="P49">
            <v>239144.40000000002</v>
          </cell>
          <cell r="Q49">
            <v>724680</v>
          </cell>
        </row>
        <row r="50">
          <cell r="E50">
            <v>96</v>
          </cell>
          <cell r="J50">
            <v>0</v>
          </cell>
          <cell r="O50">
            <v>117705.60000000001</v>
          </cell>
          <cell r="P50">
            <v>57974.400000000001</v>
          </cell>
          <cell r="Q50">
            <v>175680</v>
          </cell>
        </row>
        <row r="51">
          <cell r="E51">
            <v>1521</v>
          </cell>
          <cell r="J51">
            <v>0</v>
          </cell>
          <cell r="O51">
            <v>1864898.1</v>
          </cell>
          <cell r="P51">
            <v>918531.9</v>
          </cell>
          <cell r="Q51">
            <v>2783430</v>
          </cell>
        </row>
        <row r="52">
          <cell r="E52">
            <v>922</v>
          </cell>
          <cell r="J52">
            <v>45</v>
          </cell>
          <cell r="O52">
            <v>1188352.2000000002</v>
          </cell>
          <cell r="P52">
            <v>585307.80000000005</v>
          </cell>
          <cell r="Q52">
            <v>1773660.0000000002</v>
          </cell>
        </row>
        <row r="53">
          <cell r="E53">
            <v>106</v>
          </cell>
          <cell r="J53">
            <v>0</v>
          </cell>
          <cell r="O53">
            <v>129966.6</v>
          </cell>
          <cell r="P53">
            <v>64013.4</v>
          </cell>
          <cell r="Q53">
            <v>193980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8" sqref="A8"/>
    </sheetView>
  </sheetViews>
  <sheetFormatPr defaultRowHeight="15"/>
  <cols>
    <col min="3" max="4" width="11.125" customWidth="1"/>
    <col min="5" max="5" width="10" customWidth="1"/>
    <col min="6" max="6" width="11" customWidth="1"/>
    <col min="7" max="7" width="10.875" customWidth="1"/>
    <col min="8" max="8" width="10.75" customWidth="1"/>
    <col min="9" max="9" width="10.375" customWidth="1"/>
    <col min="10" max="10" width="12.125" customWidth="1"/>
    <col min="11" max="11" width="12.25" customWidth="1"/>
  </cols>
  <sheetData>
    <row r="1" spans="1:14" ht="21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</row>
    <row r="2" spans="1:14" ht="21">
      <c r="A2" s="250" t="s">
        <v>1</v>
      </c>
      <c r="B2" s="250"/>
      <c r="C2" s="250"/>
      <c r="D2" s="250"/>
      <c r="E2" s="250"/>
      <c r="F2" s="250"/>
      <c r="G2" s="1"/>
      <c r="H2" s="2" t="s">
        <v>2</v>
      </c>
      <c r="I2" s="3"/>
      <c r="J2" s="3" t="s">
        <v>3</v>
      </c>
      <c r="K2" s="3"/>
      <c r="L2" s="3"/>
      <c r="M2" s="3"/>
      <c r="N2" s="4"/>
    </row>
    <row r="3" spans="1:14" ht="21">
      <c r="A3" s="250" t="s">
        <v>4</v>
      </c>
      <c r="B3" s="250"/>
      <c r="C3" s="250"/>
      <c r="D3" s="250"/>
      <c r="E3" s="250"/>
      <c r="F3" s="250"/>
      <c r="G3" s="1"/>
      <c r="H3" s="2" t="s">
        <v>5</v>
      </c>
      <c r="I3" s="3"/>
      <c r="J3" s="3" t="s">
        <v>6</v>
      </c>
      <c r="K3" s="3"/>
      <c r="L3" s="3"/>
      <c r="M3" s="3"/>
      <c r="N3" s="4"/>
    </row>
    <row r="4" spans="1:14" ht="75">
      <c r="A4" s="5" t="s">
        <v>7</v>
      </c>
      <c r="B4" s="5" t="s">
        <v>8</v>
      </c>
      <c r="C4" s="5" t="s">
        <v>19</v>
      </c>
      <c r="D4" s="5" t="s">
        <v>9</v>
      </c>
      <c r="E4" s="5" t="s">
        <v>10</v>
      </c>
      <c r="F4" s="5" t="s">
        <v>11</v>
      </c>
      <c r="G4" s="6" t="s">
        <v>12</v>
      </c>
      <c r="H4" s="5" t="s">
        <v>13</v>
      </c>
      <c r="I4" s="5" t="s">
        <v>14</v>
      </c>
      <c r="J4" s="5" t="s">
        <v>15</v>
      </c>
      <c r="K4" s="7" t="s">
        <v>18</v>
      </c>
      <c r="L4" s="7" t="s">
        <v>73</v>
      </c>
      <c r="M4" s="5" t="s">
        <v>16</v>
      </c>
      <c r="N4" s="5" t="s">
        <v>17</v>
      </c>
    </row>
    <row r="5" spans="1:1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mergeCells count="3">
    <mergeCell ref="A1:N1"/>
    <mergeCell ref="A2:F2"/>
    <mergeCell ref="A3:F3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sqref="A1:J46"/>
    </sheetView>
  </sheetViews>
  <sheetFormatPr defaultRowHeight="15"/>
  <sheetData>
    <row r="1" spans="1:10" ht="21">
      <c r="A1" s="59" t="s">
        <v>122</v>
      </c>
    </row>
    <row r="2" spans="1:10" ht="15.75">
      <c r="A2" s="60" t="s">
        <v>148</v>
      </c>
      <c r="J2" t="s">
        <v>92</v>
      </c>
    </row>
    <row r="3" spans="1:10">
      <c r="A3" t="s">
        <v>124</v>
      </c>
    </row>
    <row r="4" spans="1:10">
      <c r="A4" s="61" t="s">
        <v>125</v>
      </c>
    </row>
    <row r="5" spans="1:10">
      <c r="A5" t="s">
        <v>126</v>
      </c>
    </row>
    <row r="6" spans="1:10">
      <c r="A6" t="s">
        <v>109</v>
      </c>
      <c r="B6" t="s">
        <v>127</v>
      </c>
      <c r="C6" t="s">
        <v>119</v>
      </c>
    </row>
    <row r="7" spans="1:10">
      <c r="A7" t="s">
        <v>129</v>
      </c>
      <c r="C7" t="s">
        <v>127</v>
      </c>
      <c r="D7" t="s">
        <v>149</v>
      </c>
    </row>
    <row r="8" spans="1:10" ht="15.75" thickBot="1">
      <c r="A8" t="s">
        <v>131</v>
      </c>
      <c r="C8" t="s">
        <v>127</v>
      </c>
      <c r="D8" t="s">
        <v>150</v>
      </c>
    </row>
    <row r="9" spans="1:10" ht="60.75" thickBot="1">
      <c r="A9" s="62" t="s">
        <v>133</v>
      </c>
      <c r="B9" s="63" t="s">
        <v>134</v>
      </c>
      <c r="C9" s="64" t="s">
        <v>135</v>
      </c>
      <c r="D9" s="65" t="s">
        <v>136</v>
      </c>
      <c r="E9" s="65" t="s">
        <v>137</v>
      </c>
    </row>
    <row r="10" spans="1:10" ht="15.75" thickBot="1">
      <c r="A10" s="66">
        <v>1</v>
      </c>
      <c r="B10" s="68" t="s">
        <v>138</v>
      </c>
      <c r="C10" s="67"/>
      <c r="D10" s="69">
        <v>90</v>
      </c>
      <c r="E10" s="67"/>
    </row>
    <row r="11" spans="1:10" ht="15.75" thickBot="1">
      <c r="A11" s="66">
        <v>2</v>
      </c>
      <c r="B11" s="68" t="s">
        <v>139</v>
      </c>
      <c r="C11" s="67"/>
      <c r="D11" s="69">
        <v>45</v>
      </c>
      <c r="E11" s="67"/>
    </row>
    <row r="12" spans="1:10" ht="15.75" thickBot="1">
      <c r="A12" s="66">
        <v>3</v>
      </c>
      <c r="B12" s="68" t="s">
        <v>140</v>
      </c>
      <c r="C12" s="67"/>
      <c r="D12" s="69">
        <v>15</v>
      </c>
      <c r="E12" s="67"/>
    </row>
    <row r="13" spans="1:10" ht="15.75" thickBot="1">
      <c r="A13" s="70"/>
      <c r="B13" s="71" t="s">
        <v>141</v>
      </c>
      <c r="C13" s="67"/>
      <c r="D13" s="69">
        <v>150</v>
      </c>
      <c r="E13" s="67"/>
    </row>
    <row r="16" spans="1:10">
      <c r="A16" t="s">
        <v>142</v>
      </c>
      <c r="G16" t="s">
        <v>143</v>
      </c>
    </row>
    <row r="17" spans="1:10">
      <c r="A17" s="72" t="s">
        <v>144</v>
      </c>
    </row>
    <row r="18" spans="1:10">
      <c r="A18" t="s">
        <v>145</v>
      </c>
    </row>
    <row r="22" spans="1:10">
      <c r="A22" s="72"/>
    </row>
    <row r="23" spans="1:10">
      <c r="A23" t="s">
        <v>146</v>
      </c>
      <c r="H23" t="s">
        <v>147</v>
      </c>
    </row>
    <row r="24" spans="1:10" ht="21">
      <c r="A24" s="59" t="s">
        <v>122</v>
      </c>
    </row>
    <row r="25" spans="1:10" ht="15.75">
      <c r="A25" s="60" t="s">
        <v>151</v>
      </c>
      <c r="J25" t="s">
        <v>92</v>
      </c>
    </row>
    <row r="26" spans="1:10">
      <c r="A26" t="s">
        <v>124</v>
      </c>
    </row>
    <row r="27" spans="1:10">
      <c r="A27" s="61" t="s">
        <v>125</v>
      </c>
    </row>
    <row r="28" spans="1:10">
      <c r="A28" t="s">
        <v>126</v>
      </c>
    </row>
    <row r="29" spans="1:10">
      <c r="A29" t="s">
        <v>109</v>
      </c>
      <c r="B29" t="s">
        <v>127</v>
      </c>
      <c r="C29" t="s">
        <v>119</v>
      </c>
    </row>
    <row r="30" spans="1:10">
      <c r="A30" t="s">
        <v>129</v>
      </c>
      <c r="C30" t="s">
        <v>127</v>
      </c>
      <c r="D30" t="s">
        <v>149</v>
      </c>
    </row>
    <row r="31" spans="1:10" ht="15.75" thickBot="1">
      <c r="A31" t="s">
        <v>131</v>
      </c>
      <c r="C31" t="s">
        <v>127</v>
      </c>
      <c r="D31" t="s">
        <v>132</v>
      </c>
    </row>
    <row r="32" spans="1:10" ht="60.75" thickBot="1">
      <c r="A32" s="62" t="s">
        <v>133</v>
      </c>
      <c r="B32" s="63" t="s">
        <v>134</v>
      </c>
      <c r="C32" s="64" t="s">
        <v>135</v>
      </c>
      <c r="D32" s="65" t="s">
        <v>136</v>
      </c>
      <c r="E32" s="65" t="s">
        <v>137</v>
      </c>
    </row>
    <row r="33" spans="1:8" ht="15.75" thickBot="1">
      <c r="A33" s="66">
        <v>1</v>
      </c>
      <c r="B33" s="68" t="s">
        <v>138</v>
      </c>
      <c r="C33" s="67"/>
      <c r="D33" s="69">
        <v>90</v>
      </c>
      <c r="E33" s="67"/>
    </row>
    <row r="34" spans="1:8" ht="15.75" thickBot="1">
      <c r="A34" s="66">
        <v>2</v>
      </c>
      <c r="B34" s="68" t="s">
        <v>139</v>
      </c>
      <c r="C34" s="67"/>
      <c r="D34" s="69">
        <v>45</v>
      </c>
      <c r="E34" s="67"/>
    </row>
    <row r="35" spans="1:8" ht="15.75" thickBot="1">
      <c r="A35" s="66">
        <v>3</v>
      </c>
      <c r="B35" s="68" t="s">
        <v>140</v>
      </c>
      <c r="C35" s="67"/>
      <c r="D35" s="69">
        <v>15</v>
      </c>
      <c r="E35" s="67"/>
    </row>
    <row r="36" spans="1:8" ht="15.75" thickBot="1">
      <c r="A36" s="70"/>
      <c r="B36" s="71" t="s">
        <v>141</v>
      </c>
      <c r="C36" s="67"/>
      <c r="D36" s="69">
        <v>150</v>
      </c>
      <c r="E36" s="67"/>
    </row>
    <row r="39" spans="1:8">
      <c r="A39" t="s">
        <v>142</v>
      </c>
      <c r="G39" t="s">
        <v>143</v>
      </c>
    </row>
    <row r="40" spans="1:8">
      <c r="A40" s="72" t="s">
        <v>144</v>
      </c>
    </row>
    <row r="41" spans="1:8">
      <c r="A41" t="s">
        <v>145</v>
      </c>
    </row>
    <row r="45" spans="1:8">
      <c r="A45" s="72"/>
    </row>
    <row r="46" spans="1:8">
      <c r="A46" t="s">
        <v>146</v>
      </c>
      <c r="H46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N14" sqref="N14"/>
    </sheetView>
  </sheetViews>
  <sheetFormatPr defaultRowHeight="15"/>
  <sheetData>
    <row r="1" spans="1:10" ht="21">
      <c r="A1" s="59" t="s">
        <v>122</v>
      </c>
    </row>
    <row r="2" spans="1:10" ht="15.75">
      <c r="A2" s="60" t="s">
        <v>148</v>
      </c>
      <c r="J2" t="s">
        <v>92</v>
      </c>
    </row>
    <row r="3" spans="1:10">
      <c r="A3" t="s">
        <v>124</v>
      </c>
    </row>
    <row r="4" spans="1:10">
      <c r="A4" s="61" t="s">
        <v>125</v>
      </c>
    </row>
    <row r="5" spans="1:10">
      <c r="A5" t="s">
        <v>126</v>
      </c>
    </row>
    <row r="6" spans="1:10">
      <c r="A6" t="s">
        <v>109</v>
      </c>
      <c r="B6" t="s">
        <v>127</v>
      </c>
      <c r="C6" t="s">
        <v>152</v>
      </c>
    </row>
    <row r="7" spans="1:10">
      <c r="A7" t="s">
        <v>129</v>
      </c>
      <c r="C7" t="s">
        <v>127</v>
      </c>
      <c r="D7" t="s">
        <v>149</v>
      </c>
    </row>
    <row r="8" spans="1:10" ht="15.75" thickBot="1">
      <c r="A8" t="s">
        <v>131</v>
      </c>
      <c r="C8" t="s">
        <v>127</v>
      </c>
      <c r="D8" t="s">
        <v>150</v>
      </c>
    </row>
    <row r="9" spans="1:10" ht="60.75" thickBot="1">
      <c r="A9" s="62" t="s">
        <v>133</v>
      </c>
      <c r="B9" s="63" t="s">
        <v>134</v>
      </c>
      <c r="C9" s="64" t="s">
        <v>135</v>
      </c>
      <c r="D9" s="65" t="s">
        <v>136</v>
      </c>
      <c r="E9" s="65" t="s">
        <v>137</v>
      </c>
    </row>
    <row r="10" spans="1:10" ht="15.75" thickBot="1">
      <c r="A10" s="66">
        <v>1</v>
      </c>
      <c r="B10" s="68" t="s">
        <v>138</v>
      </c>
      <c r="C10" s="67"/>
      <c r="D10" s="69">
        <v>90</v>
      </c>
      <c r="E10" s="67"/>
    </row>
    <row r="11" spans="1:10" ht="15.75" thickBot="1">
      <c r="A11" s="66">
        <v>2</v>
      </c>
      <c r="B11" s="68" t="s">
        <v>139</v>
      </c>
      <c r="C11" s="67"/>
      <c r="D11" s="69">
        <v>45</v>
      </c>
      <c r="E11" s="67"/>
    </row>
    <row r="12" spans="1:10" ht="15.75" thickBot="1">
      <c r="A12" s="66">
        <v>3</v>
      </c>
      <c r="B12" s="68" t="s">
        <v>140</v>
      </c>
      <c r="C12" s="67"/>
      <c r="D12" s="69">
        <v>15</v>
      </c>
      <c r="E12" s="67"/>
    </row>
    <row r="13" spans="1:10" ht="15.75" thickBot="1">
      <c r="A13" s="70"/>
      <c r="B13" s="71" t="s">
        <v>141</v>
      </c>
      <c r="C13" s="67"/>
      <c r="D13" s="69">
        <v>150</v>
      </c>
      <c r="E13" s="67"/>
    </row>
    <row r="16" spans="1:10">
      <c r="A16" t="s">
        <v>142</v>
      </c>
      <c r="G16" t="s">
        <v>143</v>
      </c>
    </row>
    <row r="17" spans="1:10">
      <c r="A17" s="72" t="s">
        <v>144</v>
      </c>
    </row>
    <row r="18" spans="1:10">
      <c r="A18" t="s">
        <v>145</v>
      </c>
    </row>
    <row r="22" spans="1:10">
      <c r="A22" s="72"/>
    </row>
    <row r="23" spans="1:10">
      <c r="A23" t="s">
        <v>146</v>
      </c>
      <c r="H23" t="s">
        <v>147</v>
      </c>
    </row>
    <row r="24" spans="1:10" ht="21">
      <c r="A24" s="59" t="s">
        <v>122</v>
      </c>
    </row>
    <row r="25" spans="1:10" ht="15.75">
      <c r="A25" s="60" t="s">
        <v>151</v>
      </c>
      <c r="J25" t="s">
        <v>92</v>
      </c>
    </row>
    <row r="26" spans="1:10">
      <c r="A26" t="s">
        <v>124</v>
      </c>
    </row>
    <row r="27" spans="1:10">
      <c r="A27" s="61" t="s">
        <v>125</v>
      </c>
    </row>
    <row r="28" spans="1:10">
      <c r="A28" t="s">
        <v>126</v>
      </c>
    </row>
    <row r="29" spans="1:10">
      <c r="A29" t="s">
        <v>109</v>
      </c>
      <c r="B29" t="s">
        <v>127</v>
      </c>
      <c r="C29" t="s">
        <v>119</v>
      </c>
    </row>
    <row r="30" spans="1:10">
      <c r="A30" t="s">
        <v>129</v>
      </c>
      <c r="C30" t="s">
        <v>127</v>
      </c>
      <c r="D30" t="s">
        <v>149</v>
      </c>
    </row>
    <row r="31" spans="1:10" ht="15.75" thickBot="1">
      <c r="A31" t="s">
        <v>131</v>
      </c>
      <c r="C31" t="s">
        <v>127</v>
      </c>
      <c r="D31" t="s">
        <v>132</v>
      </c>
    </row>
    <row r="32" spans="1:10" ht="60.75" thickBot="1">
      <c r="A32" s="62" t="s">
        <v>133</v>
      </c>
      <c r="B32" s="63" t="s">
        <v>134</v>
      </c>
      <c r="C32" s="64" t="s">
        <v>135</v>
      </c>
      <c r="D32" s="65" t="s">
        <v>136</v>
      </c>
      <c r="E32" s="65" t="s">
        <v>137</v>
      </c>
    </row>
    <row r="33" spans="1:8" ht="15.75" thickBot="1">
      <c r="A33" s="66">
        <v>1</v>
      </c>
      <c r="B33" s="68" t="s">
        <v>138</v>
      </c>
      <c r="C33" s="67"/>
      <c r="D33" s="69">
        <v>90</v>
      </c>
      <c r="E33" s="67"/>
    </row>
    <row r="34" spans="1:8" ht="15.75" thickBot="1">
      <c r="A34" s="66">
        <v>2</v>
      </c>
      <c r="B34" s="68" t="s">
        <v>139</v>
      </c>
      <c r="C34" s="67"/>
      <c r="D34" s="69">
        <v>45</v>
      </c>
      <c r="E34" s="67"/>
    </row>
    <row r="35" spans="1:8" ht="15.75" thickBot="1">
      <c r="A35" s="66">
        <v>3</v>
      </c>
      <c r="B35" s="68" t="s">
        <v>140</v>
      </c>
      <c r="C35" s="67"/>
      <c r="D35" s="69">
        <v>15</v>
      </c>
      <c r="E35" s="67"/>
    </row>
    <row r="36" spans="1:8" ht="15.75" thickBot="1">
      <c r="A36" s="70"/>
      <c r="B36" s="71" t="s">
        <v>141</v>
      </c>
      <c r="C36" s="67"/>
      <c r="D36" s="69">
        <v>150</v>
      </c>
      <c r="E36" s="67"/>
    </row>
    <row r="39" spans="1:8">
      <c r="A39" t="s">
        <v>142</v>
      </c>
      <c r="G39" t="s">
        <v>143</v>
      </c>
    </row>
    <row r="40" spans="1:8">
      <c r="A40" s="72" t="s">
        <v>144</v>
      </c>
    </row>
    <row r="41" spans="1:8">
      <c r="A41" t="s">
        <v>145</v>
      </c>
    </row>
    <row r="45" spans="1:8">
      <c r="A45" s="72"/>
    </row>
    <row r="46" spans="1:8">
      <c r="A46" t="s">
        <v>146</v>
      </c>
      <c r="H46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O7" sqref="O7"/>
    </sheetView>
  </sheetViews>
  <sheetFormatPr defaultRowHeight="15"/>
  <cols>
    <col min="2" max="2" width="16" customWidth="1"/>
    <col min="11" max="11" width="20" customWidth="1"/>
  </cols>
  <sheetData>
    <row r="1" spans="1:10" ht="22.5">
      <c r="A1" s="272" t="s">
        <v>104</v>
      </c>
      <c r="B1" s="272"/>
      <c r="C1" s="272"/>
      <c r="D1" s="272"/>
      <c r="E1" s="272"/>
      <c r="F1" s="272"/>
      <c r="G1" s="272"/>
      <c r="H1" s="272"/>
      <c r="I1" s="272"/>
      <c r="J1" s="272"/>
    </row>
    <row r="2" spans="1:10" ht="16.5">
      <c r="A2" s="270" t="s">
        <v>105</v>
      </c>
      <c r="B2" s="270"/>
      <c r="C2" s="270"/>
      <c r="D2" s="270"/>
      <c r="E2" s="270"/>
      <c r="F2" s="270"/>
      <c r="G2" s="270"/>
      <c r="H2" s="270"/>
      <c r="I2" s="270"/>
      <c r="J2" s="270"/>
    </row>
    <row r="3" spans="1:10" ht="22.5">
      <c r="A3" s="273" t="s">
        <v>106</v>
      </c>
      <c r="B3" s="273"/>
      <c r="C3" s="273"/>
      <c r="D3" s="273"/>
      <c r="E3" s="274"/>
      <c r="F3" s="274"/>
      <c r="G3" s="274"/>
      <c r="H3" s="270" t="s">
        <v>107</v>
      </c>
      <c r="I3" s="270"/>
      <c r="J3" s="270"/>
    </row>
    <row r="4" spans="1:10" ht="72">
      <c r="A4" s="51" t="s">
        <v>108</v>
      </c>
      <c r="B4" s="51" t="s">
        <v>109</v>
      </c>
      <c r="C4" s="51" t="s">
        <v>110</v>
      </c>
      <c r="D4" s="51" t="s">
        <v>111</v>
      </c>
      <c r="E4" s="51" t="s">
        <v>112</v>
      </c>
      <c r="F4" s="51" t="s">
        <v>113</v>
      </c>
      <c r="G4" s="51" t="s">
        <v>114</v>
      </c>
      <c r="H4" s="51" t="s">
        <v>115</v>
      </c>
      <c r="I4" s="51" t="s">
        <v>116</v>
      </c>
      <c r="J4" s="51" t="s">
        <v>117</v>
      </c>
    </row>
    <row r="5" spans="1:10" ht="16.5">
      <c r="A5" s="52"/>
      <c r="B5" s="52" t="s">
        <v>118</v>
      </c>
      <c r="C5" s="52"/>
      <c r="D5" s="53"/>
      <c r="E5" s="53"/>
      <c r="F5" s="54"/>
      <c r="G5" s="53"/>
      <c r="H5" s="55"/>
      <c r="I5" s="55"/>
      <c r="J5" s="55"/>
    </row>
    <row r="6" spans="1:10" ht="16.5">
      <c r="A6" s="52"/>
      <c r="B6" s="52" t="s">
        <v>119</v>
      </c>
      <c r="C6" s="52"/>
      <c r="D6" s="53"/>
      <c r="E6" s="53"/>
      <c r="F6" s="54"/>
      <c r="G6" s="53"/>
      <c r="H6" s="55"/>
      <c r="I6" s="55"/>
      <c r="J6" s="55"/>
    </row>
    <row r="7" spans="1:10" ht="16.5">
      <c r="A7" s="52"/>
      <c r="B7" s="52" t="s">
        <v>120</v>
      </c>
      <c r="C7" s="52"/>
      <c r="D7" s="53"/>
      <c r="E7" s="53"/>
      <c r="F7" s="54"/>
      <c r="G7" s="53"/>
      <c r="H7" s="55"/>
      <c r="I7" s="55"/>
      <c r="J7" s="55"/>
    </row>
    <row r="8" spans="1:10" ht="19.5">
      <c r="A8" s="271" t="s">
        <v>121</v>
      </c>
      <c r="B8" s="271"/>
      <c r="C8" s="56">
        <f>SUM(C5:C7)</f>
        <v>0</v>
      </c>
      <c r="D8" s="57"/>
      <c r="E8" s="57"/>
      <c r="F8" s="57"/>
      <c r="G8" s="57">
        <f t="shared" ref="G8:J8" si="0">SUM(G5:G7)</f>
        <v>0</v>
      </c>
      <c r="H8" s="58">
        <f t="shared" si="0"/>
        <v>0</v>
      </c>
      <c r="I8" s="58">
        <f t="shared" si="0"/>
        <v>0</v>
      </c>
      <c r="J8" s="58">
        <f t="shared" si="0"/>
        <v>0</v>
      </c>
    </row>
  </sheetData>
  <mergeCells count="6">
    <mergeCell ref="H3:J3"/>
    <mergeCell ref="A8:B8"/>
    <mergeCell ref="A1:J1"/>
    <mergeCell ref="A2:J2"/>
    <mergeCell ref="A3:D3"/>
    <mergeCell ref="E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M7" sqref="M7"/>
    </sheetView>
  </sheetViews>
  <sheetFormatPr defaultRowHeight="15"/>
  <sheetData>
    <row r="1" spans="1:7">
      <c r="A1" s="275" t="s">
        <v>153</v>
      </c>
      <c r="B1" s="275"/>
      <c r="C1" s="275"/>
      <c r="D1" s="275"/>
      <c r="E1" s="275"/>
      <c r="F1" s="275"/>
      <c r="G1" s="275"/>
    </row>
    <row r="2" spans="1:7">
      <c r="A2" s="276"/>
      <c r="B2" s="276"/>
      <c r="C2" s="276"/>
      <c r="D2" s="276"/>
      <c r="E2" s="276"/>
      <c r="F2" s="276"/>
      <c r="G2" s="276"/>
    </row>
    <row r="3" spans="1:7">
      <c r="A3" s="277" t="s">
        <v>7</v>
      </c>
      <c r="B3" s="277" t="s">
        <v>154</v>
      </c>
      <c r="C3" s="277" t="s">
        <v>155</v>
      </c>
      <c r="D3" s="278" t="s">
        <v>156</v>
      </c>
      <c r="E3" s="278" t="s">
        <v>157</v>
      </c>
      <c r="F3" s="278" t="s">
        <v>158</v>
      </c>
      <c r="G3" s="278"/>
    </row>
    <row r="4" spans="1:7" ht="30">
      <c r="A4" s="277"/>
      <c r="B4" s="277"/>
      <c r="C4" s="277"/>
      <c r="D4" s="278"/>
      <c r="E4" s="278"/>
      <c r="F4" s="39" t="s">
        <v>159</v>
      </c>
      <c r="G4" s="74" t="s">
        <v>160</v>
      </c>
    </row>
    <row r="5" spans="1:7" ht="78.75">
      <c r="A5" s="75">
        <v>1</v>
      </c>
      <c r="B5" s="76" t="s">
        <v>161</v>
      </c>
      <c r="C5" s="76" t="s">
        <v>162</v>
      </c>
      <c r="D5" s="6" t="s">
        <v>163</v>
      </c>
      <c r="E5" s="6"/>
      <c r="F5" s="39">
        <v>350</v>
      </c>
      <c r="G5" s="74">
        <v>552</v>
      </c>
    </row>
    <row r="6" spans="1:7" ht="60">
      <c r="A6" s="77">
        <v>2</v>
      </c>
      <c r="B6" s="11" t="s">
        <v>161</v>
      </c>
      <c r="C6" s="11" t="s">
        <v>164</v>
      </c>
      <c r="D6" s="11" t="s">
        <v>163</v>
      </c>
      <c r="E6" s="9">
        <v>700</v>
      </c>
      <c r="F6" s="78">
        <v>350</v>
      </c>
      <c r="G6" s="78">
        <v>735</v>
      </c>
    </row>
    <row r="7" spans="1:7" ht="75">
      <c r="A7" s="77">
        <v>3</v>
      </c>
      <c r="B7" s="11" t="s">
        <v>165</v>
      </c>
      <c r="C7" s="11" t="s">
        <v>166</v>
      </c>
      <c r="D7" s="11" t="s">
        <v>163</v>
      </c>
      <c r="E7" s="9"/>
      <c r="F7" s="78">
        <v>272</v>
      </c>
      <c r="G7" s="78">
        <v>401</v>
      </c>
    </row>
    <row r="8" spans="1:7" ht="75">
      <c r="A8" s="77">
        <v>4</v>
      </c>
      <c r="B8" s="11" t="s">
        <v>165</v>
      </c>
      <c r="C8" s="11" t="s">
        <v>167</v>
      </c>
      <c r="D8" s="11" t="s">
        <v>163</v>
      </c>
      <c r="E8" s="9">
        <v>700</v>
      </c>
      <c r="F8" s="78">
        <v>432</v>
      </c>
      <c r="G8" s="78">
        <v>607</v>
      </c>
    </row>
    <row r="9" spans="1:7" ht="60">
      <c r="A9" s="75">
        <v>5</v>
      </c>
      <c r="B9" s="11" t="s">
        <v>168</v>
      </c>
      <c r="C9" s="11" t="s">
        <v>169</v>
      </c>
      <c r="D9" s="11" t="s">
        <v>163</v>
      </c>
      <c r="E9" s="9">
        <v>700</v>
      </c>
      <c r="F9" s="78">
        <v>355</v>
      </c>
      <c r="G9" s="78">
        <v>509</v>
      </c>
    </row>
    <row r="10" spans="1:7" ht="60">
      <c r="A10" s="77">
        <v>6</v>
      </c>
      <c r="B10" s="11" t="s">
        <v>168</v>
      </c>
      <c r="C10" s="11" t="s">
        <v>170</v>
      </c>
      <c r="D10" s="11" t="s">
        <v>163</v>
      </c>
      <c r="E10" s="9"/>
      <c r="F10" s="78">
        <v>448</v>
      </c>
      <c r="G10" s="78">
        <v>602</v>
      </c>
    </row>
    <row r="11" spans="1:7" ht="90">
      <c r="A11" s="77">
        <v>7</v>
      </c>
      <c r="B11" s="11" t="s">
        <v>171</v>
      </c>
      <c r="C11" s="11" t="s">
        <v>172</v>
      </c>
      <c r="D11" s="11" t="s">
        <v>163</v>
      </c>
      <c r="E11" s="9"/>
      <c r="F11" s="78">
        <v>130</v>
      </c>
      <c r="G11" s="78">
        <v>291</v>
      </c>
    </row>
    <row r="12" spans="1:7" ht="90">
      <c r="A12" s="77">
        <v>8</v>
      </c>
      <c r="B12" s="11" t="s">
        <v>171</v>
      </c>
      <c r="C12" s="11" t="s">
        <v>173</v>
      </c>
      <c r="D12" s="11" t="s">
        <v>163</v>
      </c>
      <c r="E12" s="9">
        <v>700</v>
      </c>
      <c r="F12" s="78">
        <v>359</v>
      </c>
      <c r="G12" s="78">
        <v>889</v>
      </c>
    </row>
    <row r="13" spans="1:7" ht="60">
      <c r="A13" s="75">
        <v>9</v>
      </c>
      <c r="B13" s="11" t="s">
        <v>174</v>
      </c>
      <c r="C13" s="11" t="s">
        <v>175</v>
      </c>
      <c r="D13" s="11" t="s">
        <v>174</v>
      </c>
      <c r="E13" s="9">
        <v>700</v>
      </c>
      <c r="F13" s="78">
        <v>268</v>
      </c>
      <c r="G13" s="78">
        <v>420</v>
      </c>
    </row>
    <row r="14" spans="1:7" ht="60">
      <c r="A14" s="77">
        <v>10</v>
      </c>
      <c r="B14" s="11" t="s">
        <v>176</v>
      </c>
      <c r="C14" s="11" t="s">
        <v>177</v>
      </c>
      <c r="D14" s="11" t="s">
        <v>178</v>
      </c>
      <c r="E14" s="9">
        <v>2000</v>
      </c>
      <c r="F14" s="78">
        <v>1357</v>
      </c>
      <c r="G14" s="78">
        <v>1385</v>
      </c>
    </row>
    <row r="15" spans="1:7" ht="60">
      <c r="A15" s="77">
        <v>11</v>
      </c>
      <c r="B15" s="11" t="s">
        <v>179</v>
      </c>
      <c r="C15" s="11" t="s">
        <v>180</v>
      </c>
      <c r="D15" s="11" t="s">
        <v>181</v>
      </c>
      <c r="E15" s="9">
        <v>600</v>
      </c>
      <c r="F15" s="78">
        <v>600</v>
      </c>
      <c r="G15" s="78">
        <v>600</v>
      </c>
    </row>
    <row r="16" spans="1:7" ht="165">
      <c r="A16" s="77">
        <v>12</v>
      </c>
      <c r="B16" s="11" t="s">
        <v>182</v>
      </c>
      <c r="C16" s="11" t="s">
        <v>183</v>
      </c>
      <c r="D16" s="11" t="s">
        <v>184</v>
      </c>
      <c r="E16" s="9">
        <v>250</v>
      </c>
      <c r="F16" s="78">
        <v>397</v>
      </c>
      <c r="G16" s="78">
        <v>495</v>
      </c>
    </row>
    <row r="17" spans="1:7" ht="120">
      <c r="A17" s="75">
        <v>13</v>
      </c>
      <c r="B17" s="11" t="s">
        <v>185</v>
      </c>
      <c r="C17" s="11" t="s">
        <v>177</v>
      </c>
      <c r="D17" s="11" t="s">
        <v>184</v>
      </c>
      <c r="E17" s="9">
        <v>250</v>
      </c>
      <c r="F17" s="78">
        <v>0</v>
      </c>
      <c r="G17" s="78">
        <v>0</v>
      </c>
    </row>
    <row r="18" spans="1:7" ht="60">
      <c r="A18" s="77">
        <v>14</v>
      </c>
      <c r="B18" s="11" t="s">
        <v>186</v>
      </c>
      <c r="C18" s="11" t="s">
        <v>187</v>
      </c>
      <c r="D18" s="11" t="s">
        <v>188</v>
      </c>
      <c r="E18" s="9">
        <v>600</v>
      </c>
      <c r="F18" s="78">
        <v>599</v>
      </c>
      <c r="G18" s="78">
        <v>599</v>
      </c>
    </row>
    <row r="19" spans="1:7" ht="60">
      <c r="A19" s="77">
        <v>15</v>
      </c>
      <c r="B19" s="11" t="s">
        <v>189</v>
      </c>
      <c r="C19" s="11" t="s">
        <v>190</v>
      </c>
      <c r="D19" s="11" t="s">
        <v>188</v>
      </c>
      <c r="E19" s="9">
        <v>300</v>
      </c>
      <c r="F19" s="78">
        <v>500</v>
      </c>
      <c r="G19" s="78">
        <v>500</v>
      </c>
    </row>
    <row r="20" spans="1:7" ht="90">
      <c r="A20" s="77">
        <v>16</v>
      </c>
      <c r="B20" s="11" t="s">
        <v>191</v>
      </c>
      <c r="C20" s="11" t="s">
        <v>192</v>
      </c>
      <c r="D20" s="11" t="s">
        <v>188</v>
      </c>
      <c r="E20" s="9">
        <v>600</v>
      </c>
      <c r="F20" s="78">
        <v>600</v>
      </c>
      <c r="G20" s="78">
        <v>600</v>
      </c>
    </row>
    <row r="21" spans="1:7" ht="105">
      <c r="A21" s="75">
        <v>17</v>
      </c>
      <c r="B21" s="11" t="s">
        <v>193</v>
      </c>
      <c r="C21" s="11" t="s">
        <v>194</v>
      </c>
      <c r="D21" s="11" t="s">
        <v>195</v>
      </c>
      <c r="E21" s="9">
        <v>1200</v>
      </c>
      <c r="F21" s="78">
        <v>812</v>
      </c>
      <c r="G21" s="78">
        <v>1700</v>
      </c>
    </row>
    <row r="22" spans="1:7" ht="105">
      <c r="A22" s="77">
        <v>18</v>
      </c>
      <c r="B22" s="11" t="s">
        <v>196</v>
      </c>
      <c r="C22" s="11" t="s">
        <v>197</v>
      </c>
      <c r="D22" s="11" t="s">
        <v>198</v>
      </c>
      <c r="E22" s="9">
        <v>3200</v>
      </c>
      <c r="F22" s="78">
        <v>2002</v>
      </c>
      <c r="G22" s="79">
        <v>3700</v>
      </c>
    </row>
    <row r="23" spans="1:7" ht="105">
      <c r="A23" s="77"/>
      <c r="B23" s="11" t="s">
        <v>199</v>
      </c>
      <c r="C23" s="11" t="s">
        <v>197</v>
      </c>
      <c r="D23" s="11" t="s">
        <v>198</v>
      </c>
      <c r="E23" s="9"/>
      <c r="F23" s="78"/>
      <c r="G23" s="79"/>
    </row>
    <row r="24" spans="1:7" ht="105">
      <c r="A24" s="77">
        <v>19</v>
      </c>
      <c r="B24" s="11" t="s">
        <v>199</v>
      </c>
      <c r="C24" s="11" t="s">
        <v>200</v>
      </c>
      <c r="D24" s="11" t="s">
        <v>198</v>
      </c>
      <c r="E24" s="9"/>
      <c r="F24" s="78">
        <v>762</v>
      </c>
      <c r="G24" s="78">
        <v>1500</v>
      </c>
    </row>
    <row r="25" spans="1:7" ht="105">
      <c r="A25" s="77">
        <v>20</v>
      </c>
      <c r="B25" s="11" t="s">
        <v>199</v>
      </c>
      <c r="C25" s="11" t="s">
        <v>201</v>
      </c>
      <c r="D25" s="11" t="s">
        <v>198</v>
      </c>
      <c r="E25" s="9">
        <v>3000</v>
      </c>
      <c r="F25" s="78">
        <v>1274</v>
      </c>
      <c r="G25" s="78">
        <v>2100</v>
      </c>
    </row>
    <row r="26" spans="1:7" ht="75">
      <c r="A26" s="75">
        <v>21</v>
      </c>
      <c r="B26" s="11" t="s">
        <v>202</v>
      </c>
      <c r="C26" s="11" t="s">
        <v>203</v>
      </c>
      <c r="D26" s="11" t="s">
        <v>198</v>
      </c>
      <c r="E26" s="9">
        <v>3500</v>
      </c>
      <c r="F26" s="78">
        <v>2111</v>
      </c>
      <c r="G26" s="78">
        <v>2800</v>
      </c>
    </row>
    <row r="27" spans="1:7" ht="75">
      <c r="A27" s="77">
        <v>22</v>
      </c>
      <c r="B27" s="11" t="s">
        <v>202</v>
      </c>
      <c r="C27" s="11" t="s">
        <v>204</v>
      </c>
      <c r="D27" s="11"/>
      <c r="E27" s="9"/>
      <c r="F27" s="78">
        <v>350</v>
      </c>
      <c r="G27" s="78">
        <v>700</v>
      </c>
    </row>
    <row r="28" spans="1:7" ht="60">
      <c r="A28" s="77">
        <v>23</v>
      </c>
      <c r="B28" s="11" t="s">
        <v>205</v>
      </c>
      <c r="C28" s="11" t="s">
        <v>206</v>
      </c>
      <c r="D28" s="11" t="s">
        <v>198</v>
      </c>
      <c r="E28" s="9">
        <v>3500</v>
      </c>
      <c r="F28" s="78">
        <v>1261</v>
      </c>
      <c r="G28" s="78">
        <v>2100</v>
      </c>
    </row>
    <row r="29" spans="1:7" ht="75">
      <c r="A29" s="77">
        <v>24</v>
      </c>
      <c r="B29" s="11" t="s">
        <v>207</v>
      </c>
      <c r="C29" s="11" t="s">
        <v>208</v>
      </c>
      <c r="D29" s="11" t="s">
        <v>198</v>
      </c>
      <c r="E29" s="9">
        <v>3000</v>
      </c>
      <c r="F29" s="78">
        <v>1149</v>
      </c>
      <c r="G29" s="79">
        <v>1500</v>
      </c>
    </row>
    <row r="30" spans="1:7" ht="75">
      <c r="A30" s="75">
        <v>25</v>
      </c>
      <c r="B30" s="11" t="s">
        <v>209</v>
      </c>
      <c r="C30" s="11" t="s">
        <v>210</v>
      </c>
      <c r="D30" s="11" t="s">
        <v>198</v>
      </c>
      <c r="E30" s="9">
        <v>3500</v>
      </c>
      <c r="F30" s="78">
        <v>1576</v>
      </c>
      <c r="G30" s="79">
        <v>2800</v>
      </c>
    </row>
    <row r="31" spans="1:7" ht="75">
      <c r="A31" s="77">
        <v>26</v>
      </c>
      <c r="B31" s="11" t="s">
        <v>209</v>
      </c>
      <c r="C31" s="11" t="s">
        <v>166</v>
      </c>
      <c r="D31" s="11" t="s">
        <v>198</v>
      </c>
      <c r="E31" s="9"/>
      <c r="F31" s="78">
        <v>359</v>
      </c>
      <c r="G31" s="78">
        <v>700</v>
      </c>
    </row>
    <row r="32" spans="1:7" ht="75">
      <c r="A32" s="77">
        <v>27</v>
      </c>
      <c r="B32" s="11" t="s">
        <v>207</v>
      </c>
      <c r="C32" s="11" t="s">
        <v>211</v>
      </c>
      <c r="D32" s="11" t="s">
        <v>198</v>
      </c>
      <c r="E32" s="9"/>
      <c r="F32" s="78">
        <v>1063</v>
      </c>
      <c r="G32" s="78">
        <v>2100</v>
      </c>
    </row>
    <row r="33" spans="1:7" ht="120">
      <c r="A33" s="77">
        <v>28</v>
      </c>
      <c r="B33" s="11" t="s">
        <v>212</v>
      </c>
      <c r="C33" s="11" t="s">
        <v>213</v>
      </c>
      <c r="D33" s="11" t="s">
        <v>214</v>
      </c>
      <c r="E33" s="9">
        <v>1000</v>
      </c>
      <c r="F33" s="78">
        <v>595</v>
      </c>
      <c r="G33" s="78">
        <v>600</v>
      </c>
    </row>
    <row r="34" spans="1:7" ht="75">
      <c r="A34" s="75">
        <v>29</v>
      </c>
      <c r="B34" s="11" t="s">
        <v>215</v>
      </c>
      <c r="C34" s="11" t="s">
        <v>213</v>
      </c>
      <c r="D34" s="11" t="s">
        <v>214</v>
      </c>
      <c r="E34" s="9">
        <v>700</v>
      </c>
      <c r="F34" s="78">
        <v>287</v>
      </c>
      <c r="G34" s="78">
        <v>420</v>
      </c>
    </row>
    <row r="35" spans="1:7" ht="30">
      <c r="A35" s="77">
        <v>30</v>
      </c>
      <c r="B35" s="11" t="s">
        <v>216</v>
      </c>
      <c r="C35" s="11" t="s">
        <v>217</v>
      </c>
      <c r="D35" s="11" t="s">
        <v>218</v>
      </c>
      <c r="E35" s="9"/>
      <c r="F35" s="78">
        <v>543</v>
      </c>
      <c r="G35" s="78">
        <v>768</v>
      </c>
    </row>
    <row r="36" spans="1:7" ht="30">
      <c r="A36" s="77">
        <v>31</v>
      </c>
      <c r="B36" s="11" t="s">
        <v>216</v>
      </c>
      <c r="C36" s="11" t="s">
        <v>219</v>
      </c>
      <c r="D36" s="11" t="s">
        <v>218</v>
      </c>
      <c r="E36" s="9"/>
      <c r="F36" s="78">
        <v>377</v>
      </c>
      <c r="G36" s="78">
        <v>745</v>
      </c>
    </row>
    <row r="37" spans="1:7" ht="30">
      <c r="A37" s="77">
        <v>32</v>
      </c>
      <c r="B37" s="11" t="s">
        <v>216</v>
      </c>
      <c r="C37" s="80" t="s">
        <v>220</v>
      </c>
      <c r="D37" s="11" t="s">
        <v>218</v>
      </c>
      <c r="E37" s="9">
        <v>2000</v>
      </c>
      <c r="F37" s="78">
        <v>199</v>
      </c>
      <c r="G37" s="78">
        <v>395</v>
      </c>
    </row>
    <row r="38" spans="1:7" ht="45">
      <c r="A38" s="75">
        <v>33</v>
      </c>
      <c r="B38" s="11" t="s">
        <v>221</v>
      </c>
      <c r="C38" s="11" t="s">
        <v>222</v>
      </c>
      <c r="D38" s="11" t="s">
        <v>218</v>
      </c>
      <c r="E38" s="9">
        <v>500</v>
      </c>
      <c r="F38" s="78">
        <v>540</v>
      </c>
      <c r="G38" s="78">
        <v>768</v>
      </c>
    </row>
    <row r="39" spans="1:7" ht="75">
      <c r="A39" s="77">
        <v>34</v>
      </c>
      <c r="B39" s="11" t="s">
        <v>223</v>
      </c>
      <c r="C39" s="11" t="s">
        <v>224</v>
      </c>
      <c r="D39" s="11" t="s">
        <v>225</v>
      </c>
      <c r="E39" s="9">
        <v>500</v>
      </c>
      <c r="F39" s="78">
        <v>500</v>
      </c>
      <c r="G39" s="78">
        <v>500</v>
      </c>
    </row>
    <row r="40" spans="1:7" ht="45">
      <c r="A40" s="77">
        <v>35</v>
      </c>
      <c r="B40" s="11" t="s">
        <v>226</v>
      </c>
      <c r="C40" s="11" t="s">
        <v>177</v>
      </c>
      <c r="D40" s="11" t="s">
        <v>225</v>
      </c>
      <c r="E40" s="9">
        <v>500</v>
      </c>
      <c r="F40" s="78">
        <v>500</v>
      </c>
      <c r="G40" s="78">
        <v>500</v>
      </c>
    </row>
    <row r="41" spans="1:7" ht="45">
      <c r="A41" s="77">
        <v>36</v>
      </c>
      <c r="B41" s="11" t="s">
        <v>227</v>
      </c>
      <c r="C41" s="11" t="s">
        <v>228</v>
      </c>
      <c r="D41" s="11" t="s">
        <v>225</v>
      </c>
      <c r="E41" s="9">
        <v>500</v>
      </c>
      <c r="F41" s="78">
        <v>300</v>
      </c>
      <c r="G41" s="78">
        <v>300</v>
      </c>
    </row>
    <row r="42" spans="1:7" ht="45">
      <c r="A42" s="75">
        <v>37</v>
      </c>
      <c r="B42" s="11" t="s">
        <v>229</v>
      </c>
      <c r="C42" s="11" t="s">
        <v>213</v>
      </c>
      <c r="D42" s="11" t="s">
        <v>230</v>
      </c>
      <c r="E42" s="9">
        <v>800</v>
      </c>
      <c r="F42" s="78">
        <v>796</v>
      </c>
      <c r="G42" s="78">
        <v>1300</v>
      </c>
    </row>
    <row r="43" spans="1:7" ht="45">
      <c r="A43" s="77">
        <v>38</v>
      </c>
      <c r="B43" s="11" t="s">
        <v>231</v>
      </c>
      <c r="C43" s="11" t="s">
        <v>232</v>
      </c>
      <c r="D43" s="11" t="s">
        <v>233</v>
      </c>
      <c r="E43" s="9">
        <v>400</v>
      </c>
      <c r="F43" s="78">
        <v>400</v>
      </c>
      <c r="G43" s="78">
        <v>400</v>
      </c>
    </row>
    <row r="44" spans="1:7" ht="105">
      <c r="A44" s="77">
        <v>39</v>
      </c>
      <c r="B44" s="11" t="s">
        <v>234</v>
      </c>
      <c r="C44" s="11" t="s">
        <v>235</v>
      </c>
      <c r="D44" s="11" t="s">
        <v>236</v>
      </c>
      <c r="E44" s="9">
        <v>1000</v>
      </c>
      <c r="F44" s="78">
        <v>352</v>
      </c>
      <c r="G44" s="78">
        <v>626</v>
      </c>
    </row>
    <row r="45" spans="1:7" ht="90">
      <c r="A45" s="77">
        <v>40</v>
      </c>
      <c r="B45" s="11" t="s">
        <v>237</v>
      </c>
      <c r="C45" s="11" t="s">
        <v>238</v>
      </c>
      <c r="D45" s="11" t="s">
        <v>236</v>
      </c>
      <c r="E45" s="9">
        <v>500</v>
      </c>
      <c r="F45" s="78">
        <v>87</v>
      </c>
      <c r="G45" s="78">
        <v>140</v>
      </c>
    </row>
    <row r="46" spans="1:7" ht="105">
      <c r="A46" s="75">
        <v>41</v>
      </c>
      <c r="B46" s="11" t="s">
        <v>239</v>
      </c>
      <c r="C46" s="11" t="s">
        <v>240</v>
      </c>
      <c r="D46" s="11" t="s">
        <v>236</v>
      </c>
      <c r="E46" s="9">
        <v>500</v>
      </c>
      <c r="F46" s="78">
        <v>101</v>
      </c>
      <c r="G46" s="78">
        <v>352</v>
      </c>
    </row>
    <row r="47" spans="1:7" ht="60">
      <c r="A47" s="77">
        <v>42</v>
      </c>
      <c r="B47" s="11" t="s">
        <v>241</v>
      </c>
      <c r="C47" s="11" t="s">
        <v>242</v>
      </c>
      <c r="D47" s="11" t="s">
        <v>236</v>
      </c>
      <c r="E47" s="9">
        <v>600</v>
      </c>
      <c r="F47" s="78">
        <v>446</v>
      </c>
      <c r="G47" s="78">
        <v>1009</v>
      </c>
    </row>
    <row r="48" spans="1:7" ht="60">
      <c r="A48" s="77">
        <v>43</v>
      </c>
      <c r="B48" s="11" t="s">
        <v>243</v>
      </c>
      <c r="C48" s="11" t="s">
        <v>224</v>
      </c>
      <c r="D48" s="11" t="s">
        <v>236</v>
      </c>
      <c r="E48" s="9">
        <v>500</v>
      </c>
      <c r="F48" s="78">
        <v>172</v>
      </c>
      <c r="G48" s="78">
        <v>379</v>
      </c>
    </row>
    <row r="49" spans="1:7" ht="90">
      <c r="A49" s="77">
        <v>44</v>
      </c>
      <c r="B49" s="11" t="s">
        <v>244</v>
      </c>
      <c r="C49" s="11" t="s">
        <v>175</v>
      </c>
      <c r="D49" s="11" t="s">
        <v>236</v>
      </c>
      <c r="E49" s="9">
        <v>1100</v>
      </c>
      <c r="F49" s="78">
        <v>303</v>
      </c>
      <c r="G49" s="78">
        <v>494</v>
      </c>
    </row>
    <row r="50" spans="1:7" ht="45">
      <c r="A50" s="75">
        <v>45</v>
      </c>
      <c r="B50" s="11" t="s">
        <v>245</v>
      </c>
      <c r="C50" s="11" t="s">
        <v>246</v>
      </c>
      <c r="D50" s="11" t="s">
        <v>247</v>
      </c>
      <c r="E50" s="9">
        <v>200</v>
      </c>
      <c r="F50" s="78">
        <v>0</v>
      </c>
      <c r="G50" s="78">
        <v>0</v>
      </c>
    </row>
    <row r="51" spans="1:7" ht="120">
      <c r="A51" s="77">
        <v>46</v>
      </c>
      <c r="B51" s="11" t="s">
        <v>248</v>
      </c>
      <c r="C51" s="11" t="s">
        <v>249</v>
      </c>
      <c r="D51" s="11" t="s">
        <v>247</v>
      </c>
      <c r="E51" s="9">
        <v>600</v>
      </c>
      <c r="F51" s="78">
        <v>518</v>
      </c>
      <c r="G51" s="78">
        <v>750</v>
      </c>
    </row>
    <row r="52" spans="1:7" ht="135">
      <c r="A52" s="77">
        <v>47</v>
      </c>
      <c r="B52" s="11" t="s">
        <v>250</v>
      </c>
      <c r="C52" s="11" t="s">
        <v>240</v>
      </c>
      <c r="D52" s="11" t="s">
        <v>251</v>
      </c>
      <c r="E52" s="9">
        <v>1500</v>
      </c>
      <c r="F52" s="78">
        <v>816</v>
      </c>
      <c r="G52" s="78">
        <v>1006</v>
      </c>
    </row>
    <row r="53" spans="1:7" ht="135">
      <c r="A53" s="77">
        <v>48</v>
      </c>
      <c r="B53" s="11" t="s">
        <v>250</v>
      </c>
      <c r="C53" s="11" t="s">
        <v>252</v>
      </c>
      <c r="D53" s="11" t="s">
        <v>251</v>
      </c>
      <c r="E53" s="9"/>
      <c r="F53" s="78">
        <v>158</v>
      </c>
      <c r="G53" s="78">
        <v>161</v>
      </c>
    </row>
    <row r="54" spans="1:7" ht="45">
      <c r="A54" s="75">
        <v>49</v>
      </c>
      <c r="B54" s="11" t="s">
        <v>253</v>
      </c>
      <c r="C54" s="11" t="s">
        <v>254</v>
      </c>
      <c r="D54" s="11" t="s">
        <v>251</v>
      </c>
      <c r="E54" s="9">
        <v>1600</v>
      </c>
      <c r="F54" s="78">
        <v>1113</v>
      </c>
      <c r="G54" s="78">
        <v>1160</v>
      </c>
    </row>
    <row r="55" spans="1:7" ht="60">
      <c r="A55" s="77">
        <v>50</v>
      </c>
      <c r="B55" s="11" t="s">
        <v>255</v>
      </c>
      <c r="C55" s="11" t="s">
        <v>235</v>
      </c>
      <c r="D55" s="11" t="s">
        <v>251</v>
      </c>
      <c r="E55" s="9">
        <v>1500</v>
      </c>
      <c r="F55" s="78">
        <v>70</v>
      </c>
      <c r="G55" s="78">
        <v>70</v>
      </c>
    </row>
    <row r="56" spans="1:7" ht="105">
      <c r="A56" s="77">
        <v>51</v>
      </c>
      <c r="B56" s="11" t="s">
        <v>256</v>
      </c>
      <c r="C56" s="11" t="s">
        <v>228</v>
      </c>
      <c r="D56" s="11" t="s">
        <v>251</v>
      </c>
      <c r="E56" s="9">
        <v>800</v>
      </c>
      <c r="F56" s="78">
        <v>370</v>
      </c>
      <c r="G56" s="78">
        <v>432</v>
      </c>
    </row>
    <row r="57" spans="1:7" ht="105">
      <c r="A57" s="77">
        <v>52</v>
      </c>
      <c r="B57" s="11" t="s">
        <v>257</v>
      </c>
      <c r="C57" s="11" t="s">
        <v>164</v>
      </c>
      <c r="D57" s="11" t="s">
        <v>258</v>
      </c>
      <c r="E57" s="9">
        <v>1200</v>
      </c>
      <c r="F57" s="78">
        <v>371</v>
      </c>
      <c r="G57" s="78">
        <v>800</v>
      </c>
    </row>
    <row r="58" spans="1:7" ht="135">
      <c r="A58" s="75">
        <v>53</v>
      </c>
      <c r="B58" s="11" t="s">
        <v>259</v>
      </c>
      <c r="C58" s="11" t="s">
        <v>260</v>
      </c>
      <c r="D58" s="11" t="s">
        <v>258</v>
      </c>
      <c r="E58" s="9">
        <v>1000</v>
      </c>
      <c r="F58" s="78">
        <v>620</v>
      </c>
      <c r="G58" s="78">
        <v>1082</v>
      </c>
    </row>
    <row r="59" spans="1:7" ht="105">
      <c r="A59" s="77">
        <v>54</v>
      </c>
      <c r="B59" s="11" t="s">
        <v>261</v>
      </c>
      <c r="C59" s="11" t="s">
        <v>262</v>
      </c>
      <c r="D59" s="11" t="s">
        <v>258</v>
      </c>
      <c r="E59" s="9">
        <v>1000</v>
      </c>
      <c r="F59" s="78">
        <v>562</v>
      </c>
      <c r="G59" s="78">
        <v>1000</v>
      </c>
    </row>
    <row r="60" spans="1:7" ht="90">
      <c r="A60" s="77">
        <v>55</v>
      </c>
      <c r="B60" s="11" t="s">
        <v>263</v>
      </c>
      <c r="C60" s="11" t="s">
        <v>264</v>
      </c>
      <c r="D60" s="11" t="s">
        <v>265</v>
      </c>
      <c r="E60" s="9">
        <v>200</v>
      </c>
      <c r="F60" s="78">
        <v>120</v>
      </c>
      <c r="G60" s="78">
        <v>120</v>
      </c>
    </row>
    <row r="61" spans="1:7" ht="45">
      <c r="A61" s="77">
        <v>56</v>
      </c>
      <c r="B61" s="11" t="s">
        <v>266</v>
      </c>
      <c r="C61" s="11" t="s">
        <v>208</v>
      </c>
      <c r="D61" s="11" t="s">
        <v>265</v>
      </c>
      <c r="E61" s="9">
        <v>300</v>
      </c>
      <c r="F61" s="78">
        <v>180</v>
      </c>
      <c r="G61" s="78">
        <v>180</v>
      </c>
    </row>
    <row r="62" spans="1:7">
      <c r="A62" s="9"/>
      <c r="B62" s="9"/>
      <c r="C62" s="9"/>
      <c r="D62" s="9"/>
      <c r="E62" s="9">
        <f>SUM(E6:E61)</f>
        <v>50000</v>
      </c>
      <c r="F62" s="9">
        <f>SUM(F5:F61)</f>
        <v>31132</v>
      </c>
      <c r="G62" s="9">
        <f>SUM(G5:G61)</f>
        <v>47342</v>
      </c>
    </row>
  </sheetData>
  <mergeCells count="7">
    <mergeCell ref="A1:G2"/>
    <mergeCell ref="A3:A4"/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D15" sqref="D15"/>
    </sheetView>
  </sheetViews>
  <sheetFormatPr defaultRowHeight="15"/>
  <sheetData>
    <row r="1" spans="1:8" ht="21">
      <c r="A1" s="81" t="s">
        <v>267</v>
      </c>
      <c r="B1" s="82"/>
      <c r="C1" s="83" t="s">
        <v>268</v>
      </c>
      <c r="D1" s="82"/>
      <c r="E1" s="82"/>
      <c r="F1" s="82"/>
      <c r="G1" s="82"/>
      <c r="H1" s="82"/>
    </row>
    <row r="2" spans="1:8">
      <c r="A2" s="81" t="s">
        <v>269</v>
      </c>
      <c r="B2" s="282" t="s">
        <v>270</v>
      </c>
      <c r="C2" s="282"/>
      <c r="D2" s="282"/>
      <c r="E2" s="282"/>
      <c r="F2" s="282"/>
      <c r="G2" s="282"/>
      <c r="H2" s="82"/>
    </row>
    <row r="3" spans="1:8" ht="15.75">
      <c r="A3" s="283" t="s">
        <v>271</v>
      </c>
      <c r="B3" s="283"/>
      <c r="C3" s="283"/>
      <c r="D3" s="283"/>
      <c r="E3" s="82"/>
      <c r="F3" s="82"/>
      <c r="G3" s="82"/>
      <c r="H3" s="82"/>
    </row>
    <row r="4" spans="1:8">
      <c r="A4" s="84" t="s">
        <v>272</v>
      </c>
      <c r="B4" s="84" t="s">
        <v>273</v>
      </c>
      <c r="C4" s="85" t="s">
        <v>274</v>
      </c>
      <c r="D4" s="85" t="s">
        <v>275</v>
      </c>
      <c r="E4" s="82"/>
      <c r="F4" s="86" t="s">
        <v>274</v>
      </c>
      <c r="G4" s="86" t="s">
        <v>275</v>
      </c>
      <c r="H4" s="82"/>
    </row>
    <row r="5" spans="1:8" ht="18.75">
      <c r="A5" s="87" t="s">
        <v>276</v>
      </c>
      <c r="B5" s="88"/>
      <c r="C5" s="88"/>
      <c r="D5" s="88"/>
      <c r="E5" s="82"/>
      <c r="F5" s="284" t="s">
        <v>131</v>
      </c>
      <c r="G5" s="285"/>
      <c r="H5" s="82"/>
    </row>
    <row r="6" spans="1:8">
      <c r="A6" s="89" t="s">
        <v>277</v>
      </c>
      <c r="B6" s="90"/>
      <c r="C6" s="90"/>
      <c r="D6" s="90"/>
      <c r="E6" s="82"/>
      <c r="F6" s="90"/>
      <c r="G6" s="90"/>
      <c r="H6" s="82"/>
    </row>
    <row r="7" spans="1:8">
      <c r="A7" s="91" t="s">
        <v>278</v>
      </c>
      <c r="B7" s="91" t="s">
        <v>279</v>
      </c>
      <c r="C7" s="91">
        <v>1770</v>
      </c>
      <c r="D7" s="91">
        <v>1770</v>
      </c>
      <c r="E7" s="82"/>
      <c r="F7" s="92">
        <f>+C10*33%</f>
        <v>603.9</v>
      </c>
      <c r="G7" s="92">
        <f>+D10*33%</f>
        <v>584.1</v>
      </c>
      <c r="H7" s="82"/>
    </row>
    <row r="8" spans="1:8">
      <c r="A8" s="91" t="s">
        <v>280</v>
      </c>
      <c r="B8" s="91" t="s">
        <v>279</v>
      </c>
      <c r="C8" s="91">
        <v>1860</v>
      </c>
      <c r="D8" s="91">
        <v>1860</v>
      </c>
      <c r="E8" s="82"/>
      <c r="F8" s="92">
        <f>+C11*33%</f>
        <v>633.6</v>
      </c>
      <c r="G8" s="92">
        <f>+D11*33%</f>
        <v>613.80000000000007</v>
      </c>
      <c r="H8" s="82"/>
    </row>
    <row r="9" spans="1:8">
      <c r="A9" s="89" t="s">
        <v>281</v>
      </c>
      <c r="B9" s="93"/>
      <c r="C9" s="93"/>
      <c r="D9" s="93"/>
      <c r="E9" s="94"/>
      <c r="F9" s="94"/>
      <c r="G9" s="82"/>
      <c r="H9" s="82"/>
    </row>
    <row r="10" spans="1:8">
      <c r="A10" s="91" t="s">
        <v>278</v>
      </c>
      <c r="B10" s="91" t="s">
        <v>279</v>
      </c>
      <c r="C10" s="91">
        <v>1830</v>
      </c>
      <c r="D10" s="91">
        <v>1770</v>
      </c>
      <c r="E10" s="94"/>
      <c r="F10" s="94"/>
      <c r="G10" s="82"/>
      <c r="H10" s="82"/>
    </row>
    <row r="11" spans="1:8">
      <c r="A11" s="91" t="s">
        <v>280</v>
      </c>
      <c r="B11" s="91" t="s">
        <v>279</v>
      </c>
      <c r="C11" s="91">
        <v>1920</v>
      </c>
      <c r="D11" s="91">
        <v>1860</v>
      </c>
      <c r="E11" s="94"/>
      <c r="F11" s="94"/>
      <c r="G11" s="82"/>
      <c r="H11" s="82"/>
    </row>
    <row r="12" spans="1:8" ht="18.75">
      <c r="A12" s="87" t="s">
        <v>282</v>
      </c>
      <c r="B12" s="88"/>
      <c r="C12" s="286" t="s">
        <v>274</v>
      </c>
      <c r="D12" s="286"/>
      <c r="E12" s="286" t="s">
        <v>275</v>
      </c>
      <c r="F12" s="286"/>
      <c r="G12" s="284" t="s">
        <v>283</v>
      </c>
      <c r="H12" s="285"/>
    </row>
    <row r="13" spans="1:8" ht="15.75">
      <c r="A13" s="95" t="s">
        <v>284</v>
      </c>
      <c r="B13" s="96" t="s">
        <v>285</v>
      </c>
      <c r="C13" s="97" t="s">
        <v>286</v>
      </c>
      <c r="D13" s="97" t="s">
        <v>287</v>
      </c>
      <c r="E13" s="97" t="s">
        <v>286</v>
      </c>
      <c r="F13" s="97" t="s">
        <v>287</v>
      </c>
      <c r="G13" s="97" t="s">
        <v>286</v>
      </c>
      <c r="H13" s="97" t="s">
        <v>287</v>
      </c>
    </row>
    <row r="14" spans="1:8">
      <c r="A14" s="98" t="s">
        <v>278</v>
      </c>
      <c r="B14" s="99" t="s">
        <v>288</v>
      </c>
      <c r="C14" s="100">
        <v>922</v>
      </c>
      <c r="D14" s="101">
        <f>+C14*C7</f>
        <v>1631940</v>
      </c>
      <c r="E14" s="100">
        <v>0</v>
      </c>
      <c r="F14" s="101">
        <f>+E14*D7</f>
        <v>0</v>
      </c>
      <c r="G14" s="102">
        <f>+C14+E14</f>
        <v>922</v>
      </c>
      <c r="H14" s="99">
        <f>+D14+F14</f>
        <v>1631940</v>
      </c>
    </row>
    <row r="15" spans="1:8">
      <c r="A15" s="103" t="s">
        <v>280</v>
      </c>
      <c r="B15" s="104" t="s">
        <v>288</v>
      </c>
      <c r="C15" s="105">
        <v>45</v>
      </c>
      <c r="D15" s="106">
        <f>+C15*C8</f>
        <v>83700</v>
      </c>
      <c r="E15" s="105">
        <v>0</v>
      </c>
      <c r="F15" s="106">
        <f>+E15*D8</f>
        <v>0</v>
      </c>
      <c r="G15" s="107">
        <f>+C15+E15</f>
        <v>45</v>
      </c>
      <c r="H15" s="104">
        <f>+D15+F15</f>
        <v>83700</v>
      </c>
    </row>
    <row r="16" spans="1:8">
      <c r="A16" s="108" t="s">
        <v>289</v>
      </c>
      <c r="B16" s="108"/>
      <c r="C16" s="109">
        <f t="shared" ref="C16:H16" si="0">SUM(C14:C15)</f>
        <v>967</v>
      </c>
      <c r="D16" s="109">
        <f t="shared" si="0"/>
        <v>1715640</v>
      </c>
      <c r="E16" s="109">
        <f t="shared" si="0"/>
        <v>0</v>
      </c>
      <c r="F16" s="109">
        <f t="shared" si="0"/>
        <v>0</v>
      </c>
      <c r="G16" s="109">
        <f t="shared" si="0"/>
        <v>967</v>
      </c>
      <c r="H16" s="109">
        <f t="shared" si="0"/>
        <v>1715640</v>
      </c>
    </row>
    <row r="17" spans="1:8" ht="15.75">
      <c r="A17" s="95" t="s">
        <v>290</v>
      </c>
      <c r="B17" s="110"/>
      <c r="C17" s="97" t="s">
        <v>70</v>
      </c>
      <c r="D17" s="97" t="s">
        <v>70</v>
      </c>
      <c r="E17" s="97" t="s">
        <v>70</v>
      </c>
      <c r="F17" s="97" t="s">
        <v>70</v>
      </c>
      <c r="G17" s="97" t="s">
        <v>70</v>
      </c>
      <c r="H17" s="97" t="s">
        <v>70</v>
      </c>
    </row>
    <row r="18" spans="1:8">
      <c r="A18" s="99" t="s">
        <v>278</v>
      </c>
      <c r="B18" s="102" t="s">
        <v>288</v>
      </c>
      <c r="C18" s="111">
        <v>922</v>
      </c>
      <c r="D18" s="112">
        <f>+C18*C10</f>
        <v>1687260</v>
      </c>
      <c r="E18" s="111">
        <v>0</v>
      </c>
      <c r="F18" s="112">
        <f>+E18*D10</f>
        <v>0</v>
      </c>
      <c r="G18" s="99">
        <f>+C18+E18</f>
        <v>922</v>
      </c>
      <c r="H18" s="113">
        <f>+D18+F18</f>
        <v>1687260</v>
      </c>
    </row>
    <row r="19" spans="1:8">
      <c r="A19" s="104" t="s">
        <v>280</v>
      </c>
      <c r="B19" s="107" t="s">
        <v>288</v>
      </c>
      <c r="C19" s="114">
        <v>45</v>
      </c>
      <c r="D19" s="115">
        <f>+C19*C11</f>
        <v>86400</v>
      </c>
      <c r="E19" s="114">
        <v>0</v>
      </c>
      <c r="F19" s="115">
        <f>+E19*D11</f>
        <v>0</v>
      </c>
      <c r="G19" s="104">
        <f>+C19+E19</f>
        <v>45</v>
      </c>
      <c r="H19" s="116">
        <f>+D19+F19</f>
        <v>86400</v>
      </c>
    </row>
    <row r="20" spans="1:8">
      <c r="A20" s="117" t="s">
        <v>289</v>
      </c>
      <c r="B20" s="117"/>
      <c r="C20" s="118">
        <f>SUM(C18:C19)</f>
        <v>967</v>
      </c>
      <c r="D20" s="118">
        <f>SUM(D18:D19)</f>
        <v>1773660</v>
      </c>
      <c r="E20" s="118">
        <f t="shared" ref="E20:H20" si="1">SUM(E18:E19)</f>
        <v>0</v>
      </c>
      <c r="F20" s="118">
        <f t="shared" si="1"/>
        <v>0</v>
      </c>
      <c r="G20" s="118">
        <f t="shared" si="1"/>
        <v>967</v>
      </c>
      <c r="H20" s="118">
        <f t="shared" si="1"/>
        <v>1773660</v>
      </c>
    </row>
    <row r="21" spans="1:8" ht="15.75">
      <c r="A21" s="95" t="s">
        <v>291</v>
      </c>
      <c r="B21" s="110" t="s">
        <v>70</v>
      </c>
      <c r="C21" s="97" t="s">
        <v>70</v>
      </c>
      <c r="D21" s="97" t="s">
        <v>70</v>
      </c>
      <c r="E21" s="97" t="s">
        <v>70</v>
      </c>
      <c r="F21" s="97" t="s">
        <v>70</v>
      </c>
      <c r="G21" s="97" t="s">
        <v>70</v>
      </c>
      <c r="H21" s="97" t="s">
        <v>70</v>
      </c>
    </row>
    <row r="22" spans="1:8">
      <c r="A22" s="98" t="s">
        <v>278</v>
      </c>
      <c r="B22" s="99" t="s">
        <v>288</v>
      </c>
      <c r="C22" s="112">
        <f>+C14-C18</f>
        <v>0</v>
      </c>
      <c r="D22" s="101">
        <f>+C22*C7</f>
        <v>0</v>
      </c>
      <c r="E22" s="112">
        <f>+E14-E18</f>
        <v>0</v>
      </c>
      <c r="F22" s="101">
        <f>+E22*D7</f>
        <v>0</v>
      </c>
      <c r="G22" s="112">
        <f>+C22+E22</f>
        <v>0</v>
      </c>
      <c r="H22" s="101">
        <f>+D22+F22</f>
        <v>0</v>
      </c>
    </row>
    <row r="23" spans="1:8">
      <c r="A23" s="103" t="s">
        <v>280</v>
      </c>
      <c r="B23" s="104" t="s">
        <v>288</v>
      </c>
      <c r="C23" s="115">
        <f>+C15-C19</f>
        <v>0</v>
      </c>
      <c r="D23" s="106">
        <f>+C23*C8</f>
        <v>0</v>
      </c>
      <c r="E23" s="115">
        <f>+E15-E19</f>
        <v>0</v>
      </c>
      <c r="F23" s="106">
        <f>+E23*D8</f>
        <v>0</v>
      </c>
      <c r="G23" s="115">
        <f>+C23+E23</f>
        <v>0</v>
      </c>
      <c r="H23" s="106">
        <f>+D23+F23</f>
        <v>0</v>
      </c>
    </row>
    <row r="24" spans="1:8">
      <c r="A24" s="117" t="s">
        <v>289</v>
      </c>
      <c r="B24" s="117"/>
      <c r="C24" s="118">
        <f>SUM(C22:C23)</f>
        <v>0</v>
      </c>
      <c r="D24" s="118">
        <f>SUM(D22:D23)</f>
        <v>0</v>
      </c>
      <c r="E24" s="118">
        <f t="shared" ref="E24:H24" si="2">SUM(E22:E23)</f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</row>
    <row r="25" spans="1:8" ht="21">
      <c r="A25" s="279" t="s">
        <v>292</v>
      </c>
      <c r="B25" s="280"/>
      <c r="C25" s="281"/>
      <c r="D25" s="82"/>
      <c r="E25" s="82"/>
      <c r="F25" s="82"/>
      <c r="G25" s="82"/>
      <c r="H25" s="82"/>
    </row>
    <row r="26" spans="1:8" ht="15.75">
      <c r="A26" s="119" t="s">
        <v>293</v>
      </c>
      <c r="B26" s="120" t="s">
        <v>294</v>
      </c>
      <c r="C26" s="121"/>
      <c r="D26" s="82"/>
      <c r="E26" s="82"/>
      <c r="F26" s="82"/>
      <c r="G26" s="82"/>
      <c r="H26" s="82"/>
    </row>
    <row r="27" spans="1:8">
      <c r="A27" s="122" t="s">
        <v>295</v>
      </c>
      <c r="B27" s="123">
        <v>1600000</v>
      </c>
      <c r="C27" s="124"/>
      <c r="D27" s="125"/>
      <c r="E27" s="82"/>
      <c r="F27" s="82"/>
      <c r="G27" s="82"/>
      <c r="H27" s="82"/>
    </row>
    <row r="28" spans="1:8">
      <c r="A28" s="122" t="s">
        <v>296</v>
      </c>
      <c r="B28" s="126">
        <f>+D16</f>
        <v>1715640</v>
      </c>
      <c r="C28" s="127"/>
      <c r="D28" s="82"/>
      <c r="E28" s="82"/>
      <c r="F28" s="82"/>
      <c r="G28" s="82"/>
      <c r="H28" s="82"/>
    </row>
    <row r="29" spans="1:8">
      <c r="A29" s="122" t="s">
        <v>297</v>
      </c>
      <c r="B29" s="128">
        <v>1715640</v>
      </c>
      <c r="C29" s="129"/>
      <c r="D29" s="82"/>
      <c r="E29" s="82"/>
      <c r="F29" s="82"/>
      <c r="G29" s="82"/>
      <c r="H29" s="82"/>
    </row>
    <row r="30" spans="1:8">
      <c r="A30" s="122" t="s">
        <v>298</v>
      </c>
      <c r="B30" s="126">
        <f>+B28-B29</f>
        <v>0</v>
      </c>
      <c r="C30" s="127"/>
      <c r="D30" s="82"/>
      <c r="E30" s="82"/>
      <c r="F30" s="82"/>
      <c r="G30" s="82"/>
      <c r="H30" s="82"/>
    </row>
    <row r="31" spans="1:8">
      <c r="A31" s="104" t="s">
        <v>299</v>
      </c>
      <c r="B31" s="130">
        <f>+B27-B28</f>
        <v>-115640</v>
      </c>
      <c r="C31" s="131"/>
      <c r="D31" s="82"/>
      <c r="E31" s="82"/>
      <c r="F31" s="82"/>
      <c r="G31" s="82"/>
      <c r="H31" s="82"/>
    </row>
    <row r="32" spans="1:8" ht="15.75">
      <c r="A32" s="119" t="s">
        <v>300</v>
      </c>
      <c r="B32" s="120" t="s">
        <v>294</v>
      </c>
      <c r="C32" s="121"/>
      <c r="D32" s="82"/>
      <c r="E32" s="82"/>
      <c r="F32" s="82"/>
      <c r="G32" s="82"/>
      <c r="H32" s="82"/>
    </row>
    <row r="33" spans="1:8" ht="115.5">
      <c r="A33" s="132" t="s">
        <v>301</v>
      </c>
      <c r="B33" s="133">
        <f>+D20</f>
        <v>1773660</v>
      </c>
      <c r="C33" s="134"/>
      <c r="D33" s="82"/>
      <c r="E33" s="82"/>
      <c r="F33" s="82"/>
      <c r="G33" s="82"/>
      <c r="H33" s="82"/>
    </row>
    <row r="34" spans="1:8" ht="115.5">
      <c r="A34" s="132" t="s">
        <v>302</v>
      </c>
      <c r="B34" s="135">
        <f>+B33-SUM(B35:C36)</f>
        <v>1188352.2000000002</v>
      </c>
      <c r="C34" s="136"/>
      <c r="D34" s="82"/>
      <c r="E34" s="82"/>
      <c r="F34" s="82"/>
      <c r="G34" s="82"/>
      <c r="H34" s="82"/>
    </row>
    <row r="35" spans="1:8" ht="26.25">
      <c r="A35" s="132" t="s">
        <v>303</v>
      </c>
      <c r="B35" s="135">
        <f>+C18*F7</f>
        <v>556795.79999999993</v>
      </c>
      <c r="C35" s="136"/>
      <c r="D35" s="82" t="s">
        <v>70</v>
      </c>
      <c r="E35" s="137"/>
      <c r="F35" s="137"/>
      <c r="G35" s="137"/>
      <c r="H35" s="137"/>
    </row>
    <row r="36" spans="1:8" ht="26.25">
      <c r="A36" s="132" t="s">
        <v>304</v>
      </c>
      <c r="B36" s="135">
        <f>+C19*F8</f>
        <v>28512</v>
      </c>
      <c r="C36" s="136"/>
      <c r="D36" s="82"/>
      <c r="E36" s="137"/>
      <c r="F36" s="137"/>
      <c r="G36" s="137"/>
      <c r="H36" s="137"/>
    </row>
    <row r="37" spans="1:8">
      <c r="A37" s="104" t="s">
        <v>305</v>
      </c>
      <c r="B37" s="130">
        <f>+B33-SUM(B34:C36)</f>
        <v>0</v>
      </c>
      <c r="C37" s="131"/>
      <c r="D37" s="82"/>
      <c r="E37" s="137"/>
      <c r="F37" s="137"/>
      <c r="G37" s="137"/>
      <c r="H37" s="137"/>
    </row>
    <row r="38" spans="1:8">
      <c r="A38" s="103" t="s">
        <v>306</v>
      </c>
      <c r="B38" s="138">
        <v>0</v>
      </c>
      <c r="C38" s="139"/>
      <c r="D38" s="82"/>
      <c r="E38" s="137"/>
      <c r="F38" s="137"/>
      <c r="G38" s="137"/>
      <c r="H38" s="137"/>
    </row>
    <row r="39" spans="1:8" ht="18.75">
      <c r="A39" s="140" t="s">
        <v>307</v>
      </c>
      <c r="B39" s="141">
        <f>+D24</f>
        <v>0</v>
      </c>
      <c r="C39" s="142"/>
      <c r="D39" s="82"/>
      <c r="E39" s="137"/>
      <c r="F39" s="137"/>
      <c r="G39" s="137"/>
      <c r="H39" s="137"/>
    </row>
    <row r="40" spans="1:8" ht="18.75">
      <c r="A40" s="143" t="s">
        <v>308</v>
      </c>
      <c r="B40" s="144">
        <f>+B31+B34+B39-B38</f>
        <v>1072712.2000000002</v>
      </c>
      <c r="C40" s="145"/>
      <c r="D40" s="146"/>
      <c r="E40" s="147"/>
      <c r="F40" s="137"/>
      <c r="G40" s="137"/>
      <c r="H40" s="137"/>
    </row>
    <row r="41" spans="1:8" ht="18.75">
      <c r="A41" s="148" t="s">
        <v>309</v>
      </c>
      <c r="B41" s="149">
        <v>1546095</v>
      </c>
      <c r="C41" s="150"/>
      <c r="D41" s="82" t="s">
        <v>70</v>
      </c>
      <c r="E41" s="137"/>
      <c r="F41" s="137"/>
      <c r="G41" s="137"/>
      <c r="H41" s="137"/>
    </row>
  </sheetData>
  <mergeCells count="7">
    <mergeCell ref="A25:C25"/>
    <mergeCell ref="B2:G2"/>
    <mergeCell ref="A3:D3"/>
    <mergeCell ref="F5:G5"/>
    <mergeCell ref="C12:D12"/>
    <mergeCell ref="E12:F12"/>
    <mergeCell ref="G12:H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sqref="A1:O1"/>
    </sheetView>
  </sheetViews>
  <sheetFormatPr defaultRowHeight="15"/>
  <sheetData>
    <row r="1" spans="1:18">
      <c r="A1" s="287" t="s">
        <v>310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82"/>
      <c r="Q1" s="82"/>
      <c r="R1" s="82"/>
    </row>
    <row r="2" spans="1:18" ht="63.75">
      <c r="A2" s="151" t="s">
        <v>311</v>
      </c>
      <c r="B2" s="151" t="s">
        <v>312</v>
      </c>
      <c r="C2" s="151" t="s">
        <v>313</v>
      </c>
      <c r="D2" s="151" t="s">
        <v>314</v>
      </c>
      <c r="E2" s="151" t="s">
        <v>315</v>
      </c>
      <c r="F2" s="151" t="s">
        <v>316</v>
      </c>
      <c r="G2" s="151" t="s">
        <v>317</v>
      </c>
      <c r="H2" s="151" t="s">
        <v>318</v>
      </c>
      <c r="I2" s="151" t="s">
        <v>319</v>
      </c>
      <c r="J2" s="151" t="s">
        <v>320</v>
      </c>
      <c r="K2" s="151" t="s">
        <v>321</v>
      </c>
      <c r="L2" s="151" t="s">
        <v>322</v>
      </c>
      <c r="M2" s="151" t="s">
        <v>323</v>
      </c>
      <c r="N2" s="151" t="s">
        <v>324</v>
      </c>
      <c r="O2" s="151" t="s">
        <v>325</v>
      </c>
      <c r="P2" s="152" t="s">
        <v>326</v>
      </c>
      <c r="Q2" s="152" t="s">
        <v>327</v>
      </c>
      <c r="R2" s="151" t="s">
        <v>325</v>
      </c>
    </row>
    <row r="3" spans="1:18">
      <c r="A3" s="153">
        <v>1</v>
      </c>
      <c r="B3" s="92" t="s">
        <v>328</v>
      </c>
      <c r="C3" s="92" t="s">
        <v>329</v>
      </c>
      <c r="D3" s="92" t="s">
        <v>330</v>
      </c>
      <c r="E3" s="91">
        <f>+'[1]1'!C16</f>
        <v>565</v>
      </c>
      <c r="F3" s="91">
        <f>+'[1]1'!D16</f>
        <v>1000050</v>
      </c>
      <c r="G3" s="91">
        <f>+'[1]1'!C20</f>
        <v>565</v>
      </c>
      <c r="H3" s="91">
        <f>+'[1]1'!B34</f>
        <v>692746.5</v>
      </c>
      <c r="I3" s="91">
        <f>+'[1]1'!B35+'[1]1'!B36</f>
        <v>341203.5</v>
      </c>
      <c r="J3" s="91">
        <f>+'[1]1'!B27:B27</f>
        <v>1000000</v>
      </c>
      <c r="K3" s="91">
        <f>+'[1]1'!B31</f>
        <v>-50</v>
      </c>
      <c r="L3" s="91">
        <f>+'[1]1'!B39</f>
        <v>0</v>
      </c>
      <c r="M3" s="91">
        <f>+'[1]1'!B40</f>
        <v>692696.5</v>
      </c>
      <c r="N3" s="91">
        <f>+'[1]1'!B41</f>
        <v>799875</v>
      </c>
      <c r="O3" s="91">
        <f>+N3-M3</f>
        <v>107178.5</v>
      </c>
      <c r="P3" s="91">
        <v>692819</v>
      </c>
      <c r="Q3" s="154">
        <v>42466</v>
      </c>
      <c r="R3" s="91">
        <f>M3-P3</f>
        <v>-122.5</v>
      </c>
    </row>
    <row r="4" spans="1:18">
      <c r="A4" s="153">
        <v>2</v>
      </c>
      <c r="B4" s="92" t="s">
        <v>328</v>
      </c>
      <c r="C4" s="92" t="s">
        <v>240</v>
      </c>
      <c r="D4" s="92" t="s">
        <v>240</v>
      </c>
      <c r="E4" s="91">
        <f>+'[1]2'!C16</f>
        <v>563</v>
      </c>
      <c r="F4" s="91">
        <f>+'[1]2'!D16</f>
        <v>1000650</v>
      </c>
      <c r="G4" s="91">
        <f>+'[1]2'!C20</f>
        <v>563</v>
      </c>
      <c r="H4" s="91">
        <f>+'[1]2'!B34</f>
        <v>693068.10000000009</v>
      </c>
      <c r="I4" s="91">
        <f>+'[1]2'!B35+'[1]2'!B36</f>
        <v>341361.89999999997</v>
      </c>
      <c r="J4" s="91">
        <f>+'[1]2'!B27:B27</f>
        <v>1000000</v>
      </c>
      <c r="K4" s="91">
        <f>+'[1]2'!B31</f>
        <v>-650</v>
      </c>
      <c r="L4" s="91">
        <f>+'[1]2'!B39</f>
        <v>0</v>
      </c>
      <c r="M4" s="91">
        <f>+'[1]2'!B40</f>
        <v>692418.10000000009</v>
      </c>
      <c r="N4" s="91">
        <f>+'[1]2'!B41</f>
        <v>1021613</v>
      </c>
      <c r="O4" s="91">
        <f t="shared" ref="O4:O28" si="0">+N4-M4</f>
        <v>329194.89999999991</v>
      </c>
      <c r="P4" s="91">
        <v>693038</v>
      </c>
      <c r="Q4" s="154">
        <v>42466</v>
      </c>
      <c r="R4" s="91">
        <f t="shared" ref="R4:R50" si="1">M4-P4</f>
        <v>-619.89999999990687</v>
      </c>
    </row>
    <row r="5" spans="1:18">
      <c r="A5" s="153">
        <v>3</v>
      </c>
      <c r="B5" s="92" t="s">
        <v>328</v>
      </c>
      <c r="C5" s="92" t="s">
        <v>227</v>
      </c>
      <c r="D5" s="92" t="s">
        <v>228</v>
      </c>
      <c r="E5" s="91">
        <f>+'[1]3'!C16</f>
        <v>451</v>
      </c>
      <c r="F5" s="91">
        <f>+'[1]3'!D16</f>
        <v>798270</v>
      </c>
      <c r="G5" s="91">
        <f>+'[1]3'!C20</f>
        <v>451</v>
      </c>
      <c r="H5" s="91">
        <f>+'[1]3'!B34</f>
        <v>552971.10000000009</v>
      </c>
      <c r="I5" s="91">
        <f>+'[1]3'!B35+'[1]3'!B36</f>
        <v>272358.89999999997</v>
      </c>
      <c r="J5" s="91">
        <f>+'[1]3'!B27:B27</f>
        <v>800000</v>
      </c>
      <c r="K5" s="91">
        <f>+'[1]3'!B31</f>
        <v>1730</v>
      </c>
      <c r="L5" s="91">
        <f>+'[1]3'!B39</f>
        <v>0</v>
      </c>
      <c r="M5" s="91">
        <f>+'[1]3'!B40</f>
        <v>554701.10000000009</v>
      </c>
      <c r="N5" s="91">
        <f>+'[1]3'!B41</f>
        <v>556478</v>
      </c>
      <c r="O5" s="91">
        <f t="shared" si="0"/>
        <v>1776.8999999999069</v>
      </c>
      <c r="P5" s="91">
        <v>554702</v>
      </c>
      <c r="Q5" s="154">
        <v>42466</v>
      </c>
      <c r="R5" s="91">
        <f t="shared" si="1"/>
        <v>-0.89999999990686774</v>
      </c>
    </row>
    <row r="6" spans="1:18">
      <c r="A6" s="153">
        <v>4</v>
      </c>
      <c r="B6" s="92" t="s">
        <v>258</v>
      </c>
      <c r="C6" s="92" t="s">
        <v>331</v>
      </c>
      <c r="D6" s="92" t="s">
        <v>164</v>
      </c>
      <c r="E6" s="91">
        <f>+'[1]4'!C16</f>
        <v>94</v>
      </c>
      <c r="F6" s="91">
        <f>+'[1]4'!D16</f>
        <v>174840</v>
      </c>
      <c r="G6" s="91">
        <f>+'[1]4'!C20</f>
        <v>94</v>
      </c>
      <c r="H6" s="91">
        <f>+'[1]4'!B34</f>
        <v>120921.60000000001</v>
      </c>
      <c r="I6" s="91">
        <f>+'[1]4'!B35+'[1]4'!B36</f>
        <v>59558.400000000001</v>
      </c>
      <c r="J6" s="91">
        <f>+'[1]4'!B27:B27</f>
        <v>400000</v>
      </c>
      <c r="K6" s="91">
        <f>+'[1]4'!B31</f>
        <v>225160</v>
      </c>
      <c r="L6" s="91">
        <f>+'[1]4'!B39</f>
        <v>0</v>
      </c>
      <c r="M6" s="91">
        <f>+'[1]4'!B40</f>
        <v>346081.6</v>
      </c>
      <c r="N6" s="91">
        <f>+'[1]4'!B41</f>
        <v>439512</v>
      </c>
      <c r="O6" s="91">
        <f t="shared" si="0"/>
        <v>93430.400000000023</v>
      </c>
      <c r="P6" s="91">
        <v>348902</v>
      </c>
      <c r="Q6" s="154">
        <v>42435</v>
      </c>
      <c r="R6" s="91">
        <f t="shared" si="1"/>
        <v>-2820.4000000000233</v>
      </c>
    </row>
    <row r="7" spans="1:18">
      <c r="A7" s="153">
        <v>5</v>
      </c>
      <c r="B7" s="92" t="s">
        <v>258</v>
      </c>
      <c r="C7" s="92" t="s">
        <v>332</v>
      </c>
      <c r="D7" s="92" t="s">
        <v>260</v>
      </c>
      <c r="E7" s="91">
        <f>+'[1]5'!C16</f>
        <v>86</v>
      </c>
      <c r="F7" s="91">
        <f>+'[1]5'!D16</f>
        <v>159960</v>
      </c>
      <c r="G7" s="91">
        <f>+'[1]5'!C20</f>
        <v>86</v>
      </c>
      <c r="H7" s="91">
        <f>+'[1]5'!B34</f>
        <v>110630.39999999999</v>
      </c>
      <c r="I7" s="91">
        <f>+'[1]5'!B35+'[1]5'!B36</f>
        <v>54489.599999999999</v>
      </c>
      <c r="J7" s="91">
        <f>+'[1]5'!B27:B27</f>
        <v>500000</v>
      </c>
      <c r="K7" s="91">
        <f>+'[1]5'!B31</f>
        <v>340040</v>
      </c>
      <c r="L7" s="91">
        <f>+'[1]5'!B39</f>
        <v>0</v>
      </c>
      <c r="M7" s="91">
        <f>+'[1]5'!B40</f>
        <v>450670.4</v>
      </c>
      <c r="N7" s="91">
        <f>+'[1]5'!B41</f>
        <v>380926</v>
      </c>
      <c r="O7" s="91">
        <f t="shared" si="0"/>
        <v>-69744.400000000023</v>
      </c>
      <c r="P7" s="91">
        <v>450687</v>
      </c>
      <c r="Q7" s="154">
        <v>42557</v>
      </c>
      <c r="R7" s="91">
        <f t="shared" si="1"/>
        <v>-16.599999999976717</v>
      </c>
    </row>
    <row r="8" spans="1:18">
      <c r="A8" s="153">
        <v>6</v>
      </c>
      <c r="B8" s="92" t="s">
        <v>258</v>
      </c>
      <c r="C8" s="92" t="s">
        <v>333</v>
      </c>
      <c r="D8" s="92" t="s">
        <v>262</v>
      </c>
      <c r="E8" s="91">
        <f>+'[1]6'!C16</f>
        <v>67</v>
      </c>
      <c r="F8" s="91">
        <f>+'[1]6'!D16</f>
        <v>124620</v>
      </c>
      <c r="G8" s="91">
        <f>+'[1]6'!C20</f>
        <v>67</v>
      </c>
      <c r="H8" s="91">
        <f>+'[1]6'!B34</f>
        <v>86188.799999999988</v>
      </c>
      <c r="I8" s="91">
        <f>+'[1]6'!B35+'[1]6'!B36</f>
        <v>42451.200000000004</v>
      </c>
      <c r="J8" s="91">
        <f>+'[1]6'!B27:B27</f>
        <v>300000</v>
      </c>
      <c r="K8" s="91">
        <f>+'[1]6'!B31</f>
        <v>175380</v>
      </c>
      <c r="L8" s="91">
        <f>+'[1]6'!B39</f>
        <v>0</v>
      </c>
      <c r="M8" s="91">
        <f>+'[1]6'!B40</f>
        <v>261568.8</v>
      </c>
      <c r="N8" s="91">
        <f>+'[1]6'!B41</f>
        <v>415464</v>
      </c>
      <c r="O8" s="91">
        <f t="shared" si="0"/>
        <v>153895.20000000001</v>
      </c>
      <c r="P8" s="91"/>
      <c r="Q8" s="91"/>
      <c r="R8" s="91">
        <f t="shared" si="1"/>
        <v>261568.8</v>
      </c>
    </row>
    <row r="9" spans="1:18">
      <c r="A9" s="153">
        <v>7</v>
      </c>
      <c r="B9" s="92" t="s">
        <v>334</v>
      </c>
      <c r="C9" s="92" t="s">
        <v>335</v>
      </c>
      <c r="D9" s="92" t="s">
        <v>336</v>
      </c>
      <c r="E9" s="91">
        <f>+'[1]7'!C16</f>
        <v>1065</v>
      </c>
      <c r="F9" s="91">
        <f>+'[1]7'!D16</f>
        <v>1885050</v>
      </c>
      <c r="G9" s="91">
        <f>+'[1]7'!C20</f>
        <v>1065</v>
      </c>
      <c r="H9" s="91">
        <f>+'[1]7'!B34</f>
        <v>1305796.5</v>
      </c>
      <c r="I9" s="91">
        <f>+'[1]7'!B35+'[1]7'!B36</f>
        <v>643153.5</v>
      </c>
      <c r="J9" s="91">
        <f>+'[1]7'!B27:B27</f>
        <v>1900000</v>
      </c>
      <c r="K9" s="91">
        <f>+'[1]7'!B31</f>
        <v>14950</v>
      </c>
      <c r="L9" s="91">
        <f>+'[1]7'!B39</f>
        <v>0</v>
      </c>
      <c r="M9" s="91">
        <f>+'[1]7'!B40</f>
        <v>1320746.5</v>
      </c>
      <c r="N9" s="91" t="str">
        <f>+'[1]7'!B41</f>
        <v>?</v>
      </c>
      <c r="O9" s="91" t="e">
        <f t="shared" si="0"/>
        <v>#VALUE!</v>
      </c>
      <c r="P9" s="91">
        <v>1320866</v>
      </c>
      <c r="Q9" s="154">
        <v>42435</v>
      </c>
      <c r="R9" s="91">
        <f t="shared" si="1"/>
        <v>-119.5</v>
      </c>
    </row>
    <row r="10" spans="1:18">
      <c r="A10" s="153">
        <v>8</v>
      </c>
      <c r="B10" s="92" t="s">
        <v>230</v>
      </c>
      <c r="C10" s="92" t="s">
        <v>337</v>
      </c>
      <c r="D10" s="92" t="s">
        <v>213</v>
      </c>
      <c r="E10" s="91">
        <f>+'[1]8'!C16</f>
        <v>1602</v>
      </c>
      <c r="F10" s="91">
        <f>+'[1]8'!D16</f>
        <v>2835540</v>
      </c>
      <c r="G10" s="91">
        <f>+'[1]8'!C20</f>
        <v>1602</v>
      </c>
      <c r="H10" s="91">
        <f>+'[1]8'!B34</f>
        <v>1964212.2000000002</v>
      </c>
      <c r="I10" s="91">
        <f>+'[1]8'!B35+'[1]8'!B36</f>
        <v>967447.79999999993</v>
      </c>
      <c r="J10" s="91">
        <f>+'[1]8'!B27:B27</f>
        <v>2800000</v>
      </c>
      <c r="K10" s="91">
        <f>+'[1]8'!B31</f>
        <v>-35540</v>
      </c>
      <c r="L10" s="91">
        <f>+'[1]8'!B39</f>
        <v>0</v>
      </c>
      <c r="M10" s="91">
        <f>+'[1]8'!B40</f>
        <v>1928672.2000000002</v>
      </c>
      <c r="N10" s="91">
        <f>+'[1]8'!B41</f>
        <v>1976956</v>
      </c>
      <c r="O10" s="91">
        <f t="shared" si="0"/>
        <v>48283.799999999814</v>
      </c>
      <c r="P10" s="91">
        <v>1928672</v>
      </c>
      <c r="Q10" s="154">
        <v>42588</v>
      </c>
      <c r="R10" s="91">
        <f t="shared" si="1"/>
        <v>0.20000000018626451</v>
      </c>
    </row>
    <row r="11" spans="1:18">
      <c r="A11" s="153">
        <v>9</v>
      </c>
      <c r="B11" s="92" t="s">
        <v>251</v>
      </c>
      <c r="C11" s="92" t="s">
        <v>338</v>
      </c>
      <c r="D11" s="92" t="s">
        <v>240</v>
      </c>
      <c r="E11" s="91">
        <f>+'[1]9'!C16</f>
        <v>883</v>
      </c>
      <c r="F11" s="91">
        <f>+'[1]9'!D16</f>
        <v>1562910</v>
      </c>
      <c r="G11" s="91">
        <f>+'[1]9'!C20</f>
        <v>883</v>
      </c>
      <c r="H11" s="91">
        <f>+'[1]9'!B34</f>
        <v>1082646.3</v>
      </c>
      <c r="I11" s="91">
        <f>+'[1]9'!B35+'[1]9'!B36</f>
        <v>533243.69999999995</v>
      </c>
      <c r="J11" s="91">
        <f>+'[1]9'!B27:B27</f>
        <v>2000000</v>
      </c>
      <c r="K11" s="91">
        <f>+'[1]9'!B31</f>
        <v>437090</v>
      </c>
      <c r="L11" s="91">
        <f>+'[1]9'!B39</f>
        <v>0</v>
      </c>
      <c r="M11" s="91">
        <f>+'[1]9'!B40</f>
        <v>1519736.3</v>
      </c>
      <c r="N11" s="91">
        <f>+'[1]9'!B41</f>
        <v>1251628</v>
      </c>
      <c r="O11" s="91">
        <f t="shared" si="0"/>
        <v>-268108.30000000005</v>
      </c>
      <c r="P11" s="91">
        <v>1519736.3</v>
      </c>
      <c r="Q11" s="154">
        <v>42649</v>
      </c>
      <c r="R11" s="91">
        <f>M11-P11</f>
        <v>0</v>
      </c>
    </row>
    <row r="12" spans="1:18">
      <c r="A12" s="153">
        <v>10</v>
      </c>
      <c r="B12" s="92" t="s">
        <v>334</v>
      </c>
      <c r="C12" s="92" t="s">
        <v>339</v>
      </c>
      <c r="D12" s="92" t="s">
        <v>340</v>
      </c>
      <c r="E12" s="91">
        <f>+'[1]10'!C16</f>
        <v>904</v>
      </c>
      <c r="F12" s="91">
        <f>+'[1]10'!D16</f>
        <v>1600080</v>
      </c>
      <c r="G12" s="91">
        <f>+'[1]10'!C20</f>
        <v>904</v>
      </c>
      <c r="H12" s="91">
        <f>+'[1]10'!B34</f>
        <v>1108394.3999999999</v>
      </c>
      <c r="I12" s="91">
        <f>+'[1]10'!B35+'[1]10'!B36</f>
        <v>545925.6</v>
      </c>
      <c r="J12" s="91">
        <f>+'[1]10'!B27:B27</f>
        <v>1600000</v>
      </c>
      <c r="K12" s="91">
        <f>+'[1]10'!B31</f>
        <v>-80</v>
      </c>
      <c r="L12" s="91">
        <f>+'[1]10'!B39</f>
        <v>0</v>
      </c>
      <c r="M12" s="91">
        <f>+'[1]10'!B40</f>
        <v>1108314.3999999999</v>
      </c>
      <c r="N12" s="91">
        <f>+'[1]10'!B41</f>
        <v>1018840</v>
      </c>
      <c r="O12" s="91">
        <f t="shared" si="0"/>
        <v>-89474.399999999907</v>
      </c>
      <c r="P12" s="91">
        <v>1108394</v>
      </c>
      <c r="Q12" s="154">
        <v>42557</v>
      </c>
      <c r="R12" s="91">
        <f t="shared" si="1"/>
        <v>-79.600000000093132</v>
      </c>
    </row>
    <row r="13" spans="1:18">
      <c r="A13" s="153">
        <v>11</v>
      </c>
      <c r="B13" s="92" t="s">
        <v>251</v>
      </c>
      <c r="C13" s="92" t="s">
        <v>341</v>
      </c>
      <c r="D13" s="92" t="s">
        <v>235</v>
      </c>
      <c r="E13" s="91">
        <f>+'[1]11'!C16</f>
        <v>567</v>
      </c>
      <c r="F13" s="91">
        <f>+'[1]11'!D16</f>
        <v>1003590</v>
      </c>
      <c r="G13" s="91">
        <f>+'[1]11'!C20</f>
        <v>567</v>
      </c>
      <c r="H13" s="91">
        <f>+'[1]11'!B34</f>
        <v>695198.7</v>
      </c>
      <c r="I13" s="91">
        <f>+'[1]11'!B35+'[1]11'!B36</f>
        <v>342411.3</v>
      </c>
      <c r="J13" s="91">
        <f>+'[1]11'!B27:B27</f>
        <v>2500000</v>
      </c>
      <c r="K13" s="91">
        <f>+'[1]11'!B31</f>
        <v>1496410</v>
      </c>
      <c r="L13" s="91">
        <f>+'[1]11'!B39</f>
        <v>0</v>
      </c>
      <c r="M13" s="91">
        <f>+'[1]11'!B40</f>
        <v>2191608.7000000002</v>
      </c>
      <c r="N13" s="155" t="str">
        <f>+'[1]11'!B41</f>
        <v>?</v>
      </c>
      <c r="O13" s="91" t="e">
        <f t="shared" si="0"/>
        <v>#VALUE!</v>
      </c>
      <c r="P13" s="91">
        <v>2191494</v>
      </c>
      <c r="Q13" s="154">
        <v>42649</v>
      </c>
      <c r="R13" s="91">
        <f t="shared" si="1"/>
        <v>114.70000000018626</v>
      </c>
    </row>
    <row r="14" spans="1:18">
      <c r="A14" s="153">
        <v>12</v>
      </c>
      <c r="B14" s="92" t="s">
        <v>251</v>
      </c>
      <c r="C14" s="92" t="s">
        <v>342</v>
      </c>
      <c r="D14" s="92" t="s">
        <v>343</v>
      </c>
      <c r="E14" s="91">
        <f>+'[1]12'!C16</f>
        <v>252</v>
      </c>
      <c r="F14" s="91">
        <f>+'[1]12'!D16</f>
        <v>446040</v>
      </c>
      <c r="G14" s="91">
        <f>+'[1]12'!C20</f>
        <v>252</v>
      </c>
      <c r="H14" s="91">
        <f>+'[1]12'!B34</f>
        <v>308977.2</v>
      </c>
      <c r="I14" s="91">
        <f>+'[1]12'!B35+'[1]12'!B36</f>
        <v>152182.79999999999</v>
      </c>
      <c r="J14" s="91">
        <f>+'[1]12'!B27:B27</f>
        <v>500000</v>
      </c>
      <c r="K14" s="91">
        <f>+'[1]12'!B31</f>
        <v>53960</v>
      </c>
      <c r="L14" s="91">
        <f>+'[1]12'!B39</f>
        <v>0</v>
      </c>
      <c r="M14" s="91">
        <f>+'[1]12'!B40</f>
        <v>362937.2</v>
      </c>
      <c r="N14" s="91">
        <f>+'[1]12'!B41</f>
        <v>389698</v>
      </c>
      <c r="O14" s="91">
        <f t="shared" si="0"/>
        <v>26760.799999999988</v>
      </c>
      <c r="P14" s="91">
        <v>362847</v>
      </c>
      <c r="Q14" s="154">
        <v>42527</v>
      </c>
      <c r="R14" s="91">
        <f t="shared" si="1"/>
        <v>90.200000000011642</v>
      </c>
    </row>
    <row r="15" spans="1:18">
      <c r="A15" s="153">
        <v>13</v>
      </c>
      <c r="B15" s="92" t="s">
        <v>251</v>
      </c>
      <c r="C15" s="92" t="s">
        <v>344</v>
      </c>
      <c r="D15" s="92" t="s">
        <v>228</v>
      </c>
      <c r="E15" s="91">
        <f>+'[1]13'!C16</f>
        <v>237</v>
      </c>
      <c r="F15" s="91">
        <f>+'[1]13'!D16</f>
        <v>419490</v>
      </c>
      <c r="G15" s="91">
        <f>+'[1]13'!C20</f>
        <v>237</v>
      </c>
      <c r="H15" s="91">
        <f>+'[1]13'!B34</f>
        <v>290585.7</v>
      </c>
      <c r="I15" s="91">
        <f>+'[1]13'!B35+'[1]13'!B36</f>
        <v>143124.29999999999</v>
      </c>
      <c r="J15" s="91">
        <f>+'[1]13'!B27:B27</f>
        <v>500000</v>
      </c>
      <c r="K15" s="91">
        <f>+'[1]13'!B31</f>
        <v>80510</v>
      </c>
      <c r="L15" s="91">
        <f>+'[1]13'!B39</f>
        <v>0</v>
      </c>
      <c r="M15" s="91">
        <f>+'[1]13'!B40</f>
        <v>371095.7</v>
      </c>
      <c r="N15" s="91">
        <f>+'[1]13'!B41</f>
        <v>356702</v>
      </c>
      <c r="O15" s="91">
        <f t="shared" si="0"/>
        <v>-14393.700000000012</v>
      </c>
      <c r="P15" s="91">
        <v>371000</v>
      </c>
      <c r="Q15" s="154">
        <v>42557</v>
      </c>
      <c r="R15" s="91">
        <f t="shared" si="1"/>
        <v>95.700000000011642</v>
      </c>
    </row>
    <row r="16" spans="1:18">
      <c r="A16" s="153">
        <v>14</v>
      </c>
      <c r="B16" s="92" t="s">
        <v>188</v>
      </c>
      <c r="C16" s="92" t="s">
        <v>345</v>
      </c>
      <c r="D16" s="92" t="s">
        <v>190</v>
      </c>
      <c r="E16" s="91">
        <f>+'[1]14'!C16</f>
        <v>840</v>
      </c>
      <c r="F16" s="91">
        <f>+'[1]14'!D16</f>
        <v>1486800</v>
      </c>
      <c r="G16" s="91">
        <f>+'[1]14'!C20</f>
        <v>840</v>
      </c>
      <c r="H16" s="91">
        <f>+'[1]14'!B34</f>
        <v>1029924</v>
      </c>
      <c r="I16" s="91">
        <f>+'[1]14'!B35+'[1]14'!B36</f>
        <v>507276</v>
      </c>
      <c r="J16" s="91">
        <f>+'[1]14'!B27:B27</f>
        <v>1486000</v>
      </c>
      <c r="K16" s="91">
        <f>+'[1]14'!B31</f>
        <v>-800</v>
      </c>
      <c r="L16" s="91">
        <f>+'[1]14'!B39</f>
        <v>0</v>
      </c>
      <c r="M16" s="91">
        <f>+'[1]14'!B40</f>
        <v>1029124</v>
      </c>
      <c r="N16" s="155" t="str">
        <f>+'[1]14'!B41</f>
        <v>?</v>
      </c>
      <c r="O16" s="91" t="e">
        <f t="shared" si="0"/>
        <v>#VALUE!</v>
      </c>
      <c r="P16" s="91">
        <v>1029924</v>
      </c>
      <c r="Q16" s="154">
        <v>42557</v>
      </c>
      <c r="R16" s="91">
        <f t="shared" si="1"/>
        <v>-800</v>
      </c>
    </row>
    <row r="17" spans="1:18">
      <c r="A17" s="153">
        <v>15</v>
      </c>
      <c r="B17" s="92" t="s">
        <v>346</v>
      </c>
      <c r="C17" s="92" t="s">
        <v>347</v>
      </c>
      <c r="D17" s="92" t="s">
        <v>348</v>
      </c>
      <c r="E17" s="91">
        <f>+'[1]15'!C16</f>
        <v>1092</v>
      </c>
      <c r="F17" s="91">
        <f>+'[1]15'!D16</f>
        <v>1932840</v>
      </c>
      <c r="G17" s="91">
        <f>+'[1]15'!C20</f>
        <v>1092</v>
      </c>
      <c r="H17" s="91">
        <f>+'[1]15'!B34</f>
        <v>1338901.2000000002</v>
      </c>
      <c r="I17" s="91">
        <f>+'[1]15'!B35+'[1]15'!B36</f>
        <v>659458.79999999993</v>
      </c>
      <c r="J17" s="91">
        <f>+'[1]15'!B27:B27</f>
        <v>2000000</v>
      </c>
      <c r="K17" s="91">
        <f>+'[1]15'!B31</f>
        <v>67160</v>
      </c>
      <c r="L17" s="91">
        <f>+'[1]15'!B39</f>
        <v>0</v>
      </c>
      <c r="M17" s="91">
        <f>+'[1]15'!B40</f>
        <v>1406061.2000000002</v>
      </c>
      <c r="N17" s="155" t="str">
        <f>+'[1]15'!B41</f>
        <v>?</v>
      </c>
      <c r="O17" s="91" t="e">
        <f t="shared" si="0"/>
        <v>#VALUE!</v>
      </c>
      <c r="P17" s="91">
        <v>1406061</v>
      </c>
      <c r="Q17" s="154">
        <v>42375</v>
      </c>
      <c r="R17" s="91">
        <f t="shared" si="1"/>
        <v>0.20000000018626451</v>
      </c>
    </row>
    <row r="18" spans="1:18">
      <c r="A18" s="153">
        <v>16</v>
      </c>
      <c r="B18" s="92" t="s">
        <v>349</v>
      </c>
      <c r="C18" s="92" t="s">
        <v>350</v>
      </c>
      <c r="D18" s="92" t="s">
        <v>194</v>
      </c>
      <c r="E18" s="91">
        <f>+'[1]16'!C16</f>
        <v>106</v>
      </c>
      <c r="F18" s="91">
        <f>+'[1]16'!D16</f>
        <v>187620</v>
      </c>
      <c r="G18" s="91">
        <f>+'[1]16'!C20</f>
        <v>106</v>
      </c>
      <c r="H18" s="91">
        <f>+'[1]16'!B34</f>
        <v>129966.6</v>
      </c>
      <c r="I18" s="91">
        <f>+'[1]16'!B35+'[1]16'!B36</f>
        <v>64013.399999999994</v>
      </c>
      <c r="J18" s="91">
        <f>+'[1]16'!B27:B27</f>
        <v>500000</v>
      </c>
      <c r="K18" s="91">
        <f>+'[1]16'!B31</f>
        <v>312380</v>
      </c>
      <c r="L18" s="91">
        <f>+'[1]16'!B39</f>
        <v>0</v>
      </c>
      <c r="M18" s="91">
        <f>+'[1]16'!B40</f>
        <v>442346.6</v>
      </c>
      <c r="N18" s="91">
        <f>+'[1]16'!B41</f>
        <v>434402</v>
      </c>
      <c r="O18" s="91">
        <f t="shared" si="0"/>
        <v>-7944.5999999999767</v>
      </c>
      <c r="P18" s="91">
        <v>435986</v>
      </c>
      <c r="Q18" s="154">
        <v>42527</v>
      </c>
      <c r="R18" s="91">
        <f t="shared" si="1"/>
        <v>6360.5999999999767</v>
      </c>
    </row>
    <row r="19" spans="1:18">
      <c r="A19" s="153">
        <v>17</v>
      </c>
      <c r="B19" s="92" t="s">
        <v>236</v>
      </c>
      <c r="C19" s="92" t="s">
        <v>351</v>
      </c>
      <c r="D19" s="92" t="s">
        <v>348</v>
      </c>
      <c r="E19" s="91">
        <f>+'[1]17'!C16</f>
        <v>294</v>
      </c>
      <c r="F19" s="91">
        <f>+'[1]17'!D16</f>
        <v>520380</v>
      </c>
      <c r="G19" s="91">
        <f>+'[1]17'!C20</f>
        <v>294</v>
      </c>
      <c r="H19" s="91">
        <f>+'[1]17'!B34</f>
        <v>360473.4</v>
      </c>
      <c r="I19" s="91">
        <f>+'[1]17'!B35+'[1]17'!B36</f>
        <v>177546.6</v>
      </c>
      <c r="J19" s="91">
        <f>+'[1]17'!B27:B27</f>
        <v>300000</v>
      </c>
      <c r="K19" s="91">
        <f>+'[1]17'!B31</f>
        <v>-220380</v>
      </c>
      <c r="L19" s="91">
        <f>+'[1]17'!B39</f>
        <v>0</v>
      </c>
      <c r="M19" s="91">
        <f>+'[1]17'!B40</f>
        <v>140093.40000000002</v>
      </c>
      <c r="N19" s="91">
        <f>+'[1]17'!B41</f>
        <v>68389</v>
      </c>
      <c r="O19" s="91">
        <f t="shared" si="0"/>
        <v>-71704.400000000023</v>
      </c>
      <c r="P19" s="91">
        <v>140093</v>
      </c>
      <c r="Q19" s="154">
        <v>42527</v>
      </c>
      <c r="R19" s="91">
        <f t="shared" si="1"/>
        <v>0.40000000002328306</v>
      </c>
    </row>
    <row r="20" spans="1:18">
      <c r="A20" s="153">
        <v>18</v>
      </c>
      <c r="B20" s="92" t="s">
        <v>236</v>
      </c>
      <c r="C20" s="92" t="s">
        <v>352</v>
      </c>
      <c r="D20" s="92" t="s">
        <v>242</v>
      </c>
      <c r="E20" s="91">
        <f>+'[1]18'!C16</f>
        <v>301</v>
      </c>
      <c r="F20" s="91">
        <f>+'[1]18'!D16</f>
        <v>532770</v>
      </c>
      <c r="G20" s="91">
        <f>+'[1]18'!C20</f>
        <v>301</v>
      </c>
      <c r="H20" s="91">
        <f>+'[1]18'!B34</f>
        <v>369056.1</v>
      </c>
      <c r="I20" s="91">
        <f>+'[1]18'!B35+'[1]18'!B36</f>
        <v>181773.9</v>
      </c>
      <c r="J20" s="91">
        <f>+'[1]18'!B27:B27</f>
        <v>700000</v>
      </c>
      <c r="K20" s="91">
        <f>+'[1]18'!B31</f>
        <v>167230</v>
      </c>
      <c r="L20" s="91">
        <f>+'[1]18'!B39</f>
        <v>0</v>
      </c>
      <c r="M20" s="91">
        <f>+'[1]18'!B40</f>
        <v>536286.1</v>
      </c>
      <c r="N20" s="91">
        <f>+'[1]18'!B41</f>
        <v>552300</v>
      </c>
      <c r="O20" s="91">
        <f t="shared" si="0"/>
        <v>16013.900000000023</v>
      </c>
      <c r="P20" s="91">
        <v>536286</v>
      </c>
      <c r="Q20" s="154">
        <v>42527</v>
      </c>
      <c r="R20" s="91">
        <f t="shared" si="1"/>
        <v>9.9999999976716936E-2</v>
      </c>
    </row>
    <row r="21" spans="1:18">
      <c r="A21" s="153">
        <v>19</v>
      </c>
      <c r="B21" s="92" t="s">
        <v>236</v>
      </c>
      <c r="C21" s="92" t="s">
        <v>353</v>
      </c>
      <c r="D21" s="92" t="s">
        <v>235</v>
      </c>
      <c r="E21" s="91">
        <f>+'[1]19'!C16</f>
        <v>1879</v>
      </c>
      <c r="F21" s="91">
        <f>+'[1]19'!D16</f>
        <v>3325830</v>
      </c>
      <c r="G21" s="91">
        <f>+'[1]19'!C20</f>
        <v>1879</v>
      </c>
      <c r="H21" s="91">
        <f>+'[1]19'!B34</f>
        <v>2303841.9000000004</v>
      </c>
      <c r="I21" s="91">
        <f>+'[1]19'!B35+'[1]19'!B36</f>
        <v>1134728.0999999999</v>
      </c>
      <c r="J21" s="91">
        <f>+'[1]19'!B27:B27</f>
        <v>4000000</v>
      </c>
      <c r="K21" s="91">
        <f>+'[1]19'!B31</f>
        <v>674170</v>
      </c>
      <c r="L21" s="91">
        <f>+'[1]19'!B39</f>
        <v>0</v>
      </c>
      <c r="M21" s="91">
        <f>+'[1]19'!B40</f>
        <v>2978011.9000000004</v>
      </c>
      <c r="N21" s="91">
        <f>+'[1]19'!B41</f>
        <v>2763563</v>
      </c>
      <c r="O21" s="91">
        <f t="shared" si="0"/>
        <v>-214448.90000000037</v>
      </c>
      <c r="P21" s="91">
        <v>2978612</v>
      </c>
      <c r="Q21" s="154">
        <v>42527</v>
      </c>
      <c r="R21" s="91">
        <f t="shared" si="1"/>
        <v>-600.09999999962747</v>
      </c>
    </row>
    <row r="22" spans="1:18">
      <c r="A22" s="153">
        <v>20</v>
      </c>
      <c r="B22" s="92" t="s">
        <v>236</v>
      </c>
      <c r="C22" s="92" t="s">
        <v>354</v>
      </c>
      <c r="D22" s="92" t="s">
        <v>330</v>
      </c>
      <c r="E22" s="91">
        <f>+'[1]20'!C16</f>
        <v>449</v>
      </c>
      <c r="F22" s="91">
        <f>+'[1]20'!D16</f>
        <v>794730</v>
      </c>
      <c r="G22" s="91">
        <f>+'[1]20'!C20</f>
        <v>449</v>
      </c>
      <c r="H22" s="91">
        <f>+'[1]20'!B34</f>
        <v>550518.9</v>
      </c>
      <c r="I22" s="91">
        <f>+'[1]20'!B35+'[1]20'!B36</f>
        <v>271151.09999999998</v>
      </c>
      <c r="J22" s="91">
        <f>+'[1]20'!B27:B27</f>
        <v>1030000</v>
      </c>
      <c r="K22" s="91">
        <f>+'[1]20'!B31</f>
        <v>235270</v>
      </c>
      <c r="L22" s="91">
        <f>+'[1]20'!B39</f>
        <v>0</v>
      </c>
      <c r="M22" s="91">
        <f>+'[1]20'!B40</f>
        <v>785788.9</v>
      </c>
      <c r="N22" s="91">
        <f>+'[1]20'!B41</f>
        <v>828910</v>
      </c>
      <c r="O22" s="91">
        <f t="shared" si="0"/>
        <v>43121.099999999977</v>
      </c>
      <c r="P22" s="91">
        <v>785789</v>
      </c>
      <c r="Q22" s="154">
        <v>42527</v>
      </c>
      <c r="R22" s="91">
        <f t="shared" si="1"/>
        <v>-9.9999999976716936E-2</v>
      </c>
    </row>
    <row r="23" spans="1:18">
      <c r="A23" s="153">
        <v>21</v>
      </c>
      <c r="B23" s="92" t="s">
        <v>236</v>
      </c>
      <c r="C23" s="92" t="s">
        <v>355</v>
      </c>
      <c r="D23" s="92" t="s">
        <v>356</v>
      </c>
      <c r="E23" s="91">
        <f>+'[1]21'!C16</f>
        <v>534</v>
      </c>
      <c r="F23" s="91">
        <f>+'[1]21'!D16</f>
        <v>945180</v>
      </c>
      <c r="G23" s="91">
        <f>+'[1]21'!C20</f>
        <v>534</v>
      </c>
      <c r="H23" s="91">
        <f>+'[1]21'!B34</f>
        <v>654737.4</v>
      </c>
      <c r="I23" s="91">
        <f>+'[1]21'!B35+'[1]21'!B36</f>
        <v>322482.59999999998</v>
      </c>
      <c r="J23" s="91">
        <f>+'[1]21'!B27:B27</f>
        <v>1220000</v>
      </c>
      <c r="K23" s="91">
        <f>+'[1]21'!B31</f>
        <v>274820</v>
      </c>
      <c r="L23" s="91">
        <f>+'[1]21'!B39</f>
        <v>0</v>
      </c>
      <c r="M23" s="91">
        <f>+'[1]21'!B40</f>
        <v>929557.4</v>
      </c>
      <c r="N23" s="91">
        <f>+'[1]21'!B41</f>
        <v>1211652</v>
      </c>
      <c r="O23" s="91">
        <f t="shared" si="0"/>
        <v>282094.59999999998</v>
      </c>
      <c r="P23" s="91">
        <v>929557</v>
      </c>
      <c r="Q23" s="154">
        <v>42527</v>
      </c>
      <c r="R23" s="91">
        <f t="shared" si="1"/>
        <v>0.40000000002328306</v>
      </c>
    </row>
    <row r="24" spans="1:18">
      <c r="A24" s="153">
        <v>22</v>
      </c>
      <c r="B24" s="92" t="s">
        <v>247</v>
      </c>
      <c r="C24" s="92" t="s">
        <v>357</v>
      </c>
      <c r="D24" s="92" t="s">
        <v>358</v>
      </c>
      <c r="E24" s="91">
        <f>+'[1]22'!C16</f>
        <v>112</v>
      </c>
      <c r="F24" s="91">
        <f>+'[1]22'!D16</f>
        <v>199320</v>
      </c>
      <c r="G24" s="91">
        <f>+'[1]22'!C20</f>
        <v>112</v>
      </c>
      <c r="H24" s="91">
        <f>+'[1]22'!B34</f>
        <v>138046.79999999999</v>
      </c>
      <c r="I24" s="91">
        <f>+'[1]22'!B35+'[1]22'!B36</f>
        <v>67993.2</v>
      </c>
      <c r="J24" s="91">
        <f>+'[1]22'!B27:B27</f>
        <v>200000</v>
      </c>
      <c r="K24" s="91">
        <f>+'[1]22'!B31</f>
        <v>680</v>
      </c>
      <c r="L24" s="91">
        <f>+'[1]22'!B39</f>
        <v>0</v>
      </c>
      <c r="M24" s="91">
        <f>+'[1]22'!B40</f>
        <v>138726.79999999999</v>
      </c>
      <c r="N24" s="91">
        <f>+'[1]22'!B41</f>
        <v>132963</v>
      </c>
      <c r="O24" s="91">
        <f t="shared" si="0"/>
        <v>-5763.7999999999884</v>
      </c>
      <c r="P24" s="91">
        <v>132010</v>
      </c>
      <c r="Q24" s="154">
        <v>42527</v>
      </c>
      <c r="R24" s="91">
        <f t="shared" si="1"/>
        <v>6716.7999999999884</v>
      </c>
    </row>
    <row r="25" spans="1:18">
      <c r="A25" s="153">
        <v>23</v>
      </c>
      <c r="B25" s="92" t="s">
        <v>247</v>
      </c>
      <c r="C25" s="92" t="s">
        <v>359</v>
      </c>
      <c r="D25" s="92" t="s">
        <v>249</v>
      </c>
      <c r="E25" s="91">
        <f>+'[1]23'!C16</f>
        <v>110</v>
      </c>
      <c r="F25" s="91">
        <f>+'[1]23'!D16</f>
        <v>194700</v>
      </c>
      <c r="G25" s="91">
        <f>+'[1]23'!C20</f>
        <v>110</v>
      </c>
      <c r="H25" s="91">
        <f>+'[1]23'!B34</f>
        <v>134871</v>
      </c>
      <c r="I25" s="91">
        <f>+'[1]23'!B35+'[1]23'!B36</f>
        <v>66429</v>
      </c>
      <c r="J25" s="91">
        <f>+'[1]23'!B27:B27</f>
        <v>200000</v>
      </c>
      <c r="K25" s="91">
        <f>+'[1]23'!B31</f>
        <v>5300</v>
      </c>
      <c r="L25" s="91">
        <f>+'[1]23'!B39</f>
        <v>0</v>
      </c>
      <c r="M25" s="91">
        <f>+'[1]23'!B40</f>
        <v>140171</v>
      </c>
      <c r="N25" s="91">
        <f>+'[1]23'!B41</f>
        <v>136377</v>
      </c>
      <c r="O25" s="91">
        <f t="shared" si="0"/>
        <v>-3794</v>
      </c>
      <c r="P25" s="91">
        <v>134000</v>
      </c>
      <c r="Q25" s="154">
        <v>42557</v>
      </c>
      <c r="R25" s="91">
        <f t="shared" si="1"/>
        <v>6171</v>
      </c>
    </row>
    <row r="26" spans="1:18">
      <c r="A26" s="153">
        <v>24</v>
      </c>
      <c r="B26" s="92" t="s">
        <v>236</v>
      </c>
      <c r="C26" s="92" t="s">
        <v>360</v>
      </c>
      <c r="D26" s="92" t="s">
        <v>238</v>
      </c>
      <c r="E26" s="91">
        <f>+'[1]24'!C16</f>
        <v>385</v>
      </c>
      <c r="F26" s="91">
        <f>+'[1]24'!D16</f>
        <v>681450</v>
      </c>
      <c r="G26" s="91">
        <f>+'[1]24'!C20</f>
        <v>385</v>
      </c>
      <c r="H26" s="91">
        <f>+'[1]24'!B34</f>
        <v>472048.5</v>
      </c>
      <c r="I26" s="91">
        <f>+'[1]24'!B35+'[1]24'!B36</f>
        <v>232501.5</v>
      </c>
      <c r="J26" s="91">
        <f>+'[1]24'!B27:B27</f>
        <v>850000</v>
      </c>
      <c r="K26" s="91">
        <f>+'[1]24'!B31</f>
        <v>168550</v>
      </c>
      <c r="L26" s="91">
        <f>+'[1]24'!B39</f>
        <v>0</v>
      </c>
      <c r="M26" s="91">
        <f>+'[1]24'!B40</f>
        <v>640598.5</v>
      </c>
      <c r="N26" s="91">
        <f>+'[1]24'!B41</f>
        <v>786394</v>
      </c>
      <c r="O26" s="91">
        <f t="shared" si="0"/>
        <v>145795.5</v>
      </c>
      <c r="P26" s="91">
        <v>640598</v>
      </c>
      <c r="Q26" s="154">
        <v>42557</v>
      </c>
      <c r="R26" s="91">
        <f t="shared" si="1"/>
        <v>0.5</v>
      </c>
    </row>
    <row r="27" spans="1:18">
      <c r="A27" s="153">
        <v>25</v>
      </c>
      <c r="B27" s="92" t="s">
        <v>188</v>
      </c>
      <c r="C27" s="92" t="s">
        <v>359</v>
      </c>
      <c r="D27" s="92" t="s">
        <v>361</v>
      </c>
      <c r="E27" s="91">
        <f>+'[1]25'!C16</f>
        <v>700</v>
      </c>
      <c r="F27" s="91">
        <f>+'[1]25'!D16</f>
        <v>1239000</v>
      </c>
      <c r="G27" s="91">
        <f>+'[1]25'!C20</f>
        <v>700</v>
      </c>
      <c r="H27" s="91">
        <f>+'[1]25'!B34</f>
        <v>858270</v>
      </c>
      <c r="I27" s="91">
        <f>+'[1]25'!B35+'[1]25'!B36</f>
        <v>422730</v>
      </c>
      <c r="J27" s="91">
        <f>+'[1]25'!B27:B27</f>
        <v>1239000</v>
      </c>
      <c r="K27" s="91">
        <f>+'[1]25'!B31</f>
        <v>0</v>
      </c>
      <c r="L27" s="91">
        <f>+'[1]25'!B39</f>
        <v>0</v>
      </c>
      <c r="M27" s="91">
        <f>+'[1]25'!B40</f>
        <v>858270</v>
      </c>
      <c r="N27" s="155">
        <f>'[1]25'!B41</f>
        <v>0</v>
      </c>
      <c r="O27" s="91">
        <f>+N27-M27</f>
        <v>-858270</v>
      </c>
      <c r="P27" s="91">
        <v>858270</v>
      </c>
      <c r="Q27" s="154">
        <v>42375</v>
      </c>
      <c r="R27" s="91">
        <f t="shared" si="1"/>
        <v>0</v>
      </c>
    </row>
    <row r="28" spans="1:18">
      <c r="A28" s="153">
        <v>26</v>
      </c>
      <c r="B28" s="92" t="s">
        <v>188</v>
      </c>
      <c r="C28" s="92" t="s">
        <v>362</v>
      </c>
      <c r="D28" s="92" t="s">
        <v>187</v>
      </c>
      <c r="E28" s="91">
        <f>+'[1]26'!C16</f>
        <v>700</v>
      </c>
      <c r="F28" s="91">
        <f>+'[1]26'!D16</f>
        <v>1239000</v>
      </c>
      <c r="G28" s="91">
        <f>+'[1]26'!C20</f>
        <v>700</v>
      </c>
      <c r="H28" s="91">
        <f>+'[1]26'!B34</f>
        <v>858270</v>
      </c>
      <c r="I28" s="91">
        <f>+'[1]26'!B35+'[1]26'!B36</f>
        <v>422730</v>
      </c>
      <c r="J28" s="91">
        <f>+'[1]26'!B27:B27</f>
        <v>1239000</v>
      </c>
      <c r="K28" s="91">
        <f>+'[1]26'!B31</f>
        <v>0</v>
      </c>
      <c r="L28" s="91">
        <f>+'[1]26'!B39</f>
        <v>0</v>
      </c>
      <c r="M28" s="91">
        <f>'[1]26'!B40</f>
        <v>858270</v>
      </c>
      <c r="N28" s="91">
        <f>+'[1]26'!B41</f>
        <v>39360</v>
      </c>
      <c r="O28" s="91">
        <f t="shared" si="0"/>
        <v>-818910</v>
      </c>
      <c r="P28" s="91">
        <v>939193</v>
      </c>
      <c r="Q28" s="154">
        <v>42406</v>
      </c>
      <c r="R28" s="91">
        <f t="shared" si="1"/>
        <v>-80923</v>
      </c>
    </row>
    <row r="29" spans="1:18">
      <c r="A29" s="153">
        <v>27</v>
      </c>
      <c r="B29" s="92" t="s">
        <v>363</v>
      </c>
      <c r="C29" s="92" t="s">
        <v>181</v>
      </c>
      <c r="D29" s="92" t="s">
        <v>364</v>
      </c>
      <c r="E29" s="91">
        <f>+'[1]27'!C16</f>
        <v>1400</v>
      </c>
      <c r="F29" s="91">
        <f>+'[1]27'!D16</f>
        <v>2478000</v>
      </c>
      <c r="G29" s="91">
        <f>+'[1]27'!C20</f>
        <v>1400</v>
      </c>
      <c r="H29" s="91">
        <f>+'[1]27'!B34</f>
        <v>1716540</v>
      </c>
      <c r="I29" s="91">
        <f>+'[1]27'!B35+'[1]27'!B36</f>
        <v>845460</v>
      </c>
      <c r="J29" s="91">
        <f>+'[1]27'!B27:B27</f>
        <v>2478000</v>
      </c>
      <c r="K29" s="91">
        <f>+'[1]27'!B31</f>
        <v>0</v>
      </c>
      <c r="L29" s="91">
        <f>+'[1]27'!B39</f>
        <v>0</v>
      </c>
      <c r="M29" s="91">
        <f>'[1]27'!B40</f>
        <v>1716540</v>
      </c>
      <c r="N29" s="155" t="str">
        <f>+'[1]27'!B41</f>
        <v>?</v>
      </c>
      <c r="O29" s="91" t="e">
        <f>+N29-M29</f>
        <v>#VALUE!</v>
      </c>
      <c r="P29" s="91">
        <v>1716540</v>
      </c>
      <c r="Q29" s="154">
        <v>42527</v>
      </c>
      <c r="R29" s="91">
        <f t="shared" si="1"/>
        <v>0</v>
      </c>
    </row>
    <row r="30" spans="1:18">
      <c r="A30" s="153">
        <v>28</v>
      </c>
      <c r="B30" s="92" t="s">
        <v>365</v>
      </c>
      <c r="C30" s="92" t="s">
        <v>366</v>
      </c>
      <c r="D30" s="92" t="s">
        <v>177</v>
      </c>
      <c r="E30" s="91">
        <f>+'[1]28'!C16</f>
        <v>967</v>
      </c>
      <c r="F30" s="91">
        <f>+'[1]28'!D16</f>
        <v>1715640</v>
      </c>
      <c r="G30" s="91">
        <f>+'[1]28'!C20</f>
        <v>967</v>
      </c>
      <c r="H30" s="91">
        <f>+'[1]28'!B34</f>
        <v>1188352.2000000002</v>
      </c>
      <c r="I30" s="91">
        <f>+'[1]28'!B35+'[1]28'!B36</f>
        <v>585307.79999999993</v>
      </c>
      <c r="J30" s="91">
        <f>+'[1]28'!B27:B27</f>
        <v>1600000</v>
      </c>
      <c r="K30" s="91">
        <f>+'[1]28'!B31</f>
        <v>-115640</v>
      </c>
      <c r="L30" s="91">
        <f>+'[1]28'!B39</f>
        <v>0</v>
      </c>
      <c r="M30" s="91">
        <f>+'[1]28'!B40</f>
        <v>1072712.2000000002</v>
      </c>
      <c r="N30" s="91">
        <f>+'[1]28'!B41</f>
        <v>1546095</v>
      </c>
      <c r="O30" s="91">
        <f>+N30-M30</f>
        <v>473382.79999999981</v>
      </c>
      <c r="P30" s="91">
        <v>1072713</v>
      </c>
      <c r="Q30" s="154">
        <v>42527</v>
      </c>
      <c r="R30" s="91">
        <f t="shared" si="1"/>
        <v>-0.79999999981373549</v>
      </c>
    </row>
    <row r="31" spans="1:18">
      <c r="A31" s="153">
        <v>29</v>
      </c>
      <c r="B31" s="92" t="s">
        <v>367</v>
      </c>
      <c r="C31" s="92" t="s">
        <v>368</v>
      </c>
      <c r="D31" s="92" t="s">
        <v>369</v>
      </c>
      <c r="E31" s="91">
        <f>'[1]29'!C14</f>
        <v>96</v>
      </c>
      <c r="F31" s="91">
        <f>'[1]29'!H14</f>
        <v>169920</v>
      </c>
      <c r="G31" s="91">
        <f>'[1]29'!C18</f>
        <v>96</v>
      </c>
      <c r="H31" s="91">
        <f>'[1]29'!H18</f>
        <v>175680</v>
      </c>
      <c r="I31" s="91">
        <f>'[1]29'!B35</f>
        <v>57974.399999999994</v>
      </c>
      <c r="J31" s="91">
        <f>'[1]29'!B27</f>
        <v>500000</v>
      </c>
      <c r="K31" s="91">
        <f>'[1]29'!B31</f>
        <v>330080</v>
      </c>
      <c r="L31" s="91">
        <f>'[1]29'!H22</f>
        <v>0</v>
      </c>
      <c r="M31" s="91">
        <f>'[1]29'!B40</f>
        <v>447785.6</v>
      </c>
      <c r="N31" s="91">
        <f>'[1]29'!B41</f>
        <v>0</v>
      </c>
      <c r="O31" s="91">
        <f t="shared" ref="O31:O49" si="2">M31-N31</f>
        <v>447785.6</v>
      </c>
      <c r="P31" s="91">
        <v>447785</v>
      </c>
      <c r="Q31" s="154">
        <v>42527</v>
      </c>
      <c r="R31" s="91">
        <f t="shared" si="1"/>
        <v>0.59999999997671694</v>
      </c>
    </row>
    <row r="32" spans="1:18">
      <c r="A32" s="153">
        <v>30</v>
      </c>
      <c r="B32" s="92" t="s">
        <v>367</v>
      </c>
      <c r="C32" s="92" t="s">
        <v>370</v>
      </c>
      <c r="D32" s="92" t="s">
        <v>264</v>
      </c>
      <c r="E32" s="91">
        <f>'[1]30'!G14</f>
        <v>396</v>
      </c>
      <c r="F32" s="91">
        <f>'[1]30'!H14</f>
        <v>700920</v>
      </c>
      <c r="G32" s="91">
        <f>'[1]30'!G18</f>
        <v>396</v>
      </c>
      <c r="H32" s="91">
        <f>'[1]30'!H18</f>
        <v>724680</v>
      </c>
      <c r="I32" s="91">
        <f>'[1]30'!B35</f>
        <v>239144.4</v>
      </c>
      <c r="J32" s="91">
        <f>'[1]30'!B27</f>
        <v>900000</v>
      </c>
      <c r="K32" s="91">
        <f>'[1]30'!B31</f>
        <v>199080</v>
      </c>
      <c r="L32" s="91">
        <f>'[1]30'!G22</f>
        <v>0</v>
      </c>
      <c r="M32" s="91">
        <f>'[1]30'!B40</f>
        <v>684615.6</v>
      </c>
      <c r="N32" s="91">
        <f>'[1]30'!B41</f>
        <v>0</v>
      </c>
      <c r="O32" s="91">
        <f t="shared" si="2"/>
        <v>684615.6</v>
      </c>
      <c r="P32" s="91">
        <v>684616</v>
      </c>
      <c r="Q32" s="154">
        <v>42466</v>
      </c>
      <c r="R32" s="91">
        <f t="shared" si="1"/>
        <v>-0.40000000002328306</v>
      </c>
    </row>
    <row r="33" spans="1:18">
      <c r="A33" s="153">
        <v>31</v>
      </c>
      <c r="B33" s="92" t="s">
        <v>371</v>
      </c>
      <c r="C33" s="92" t="s">
        <v>372</v>
      </c>
      <c r="D33" s="92" t="s">
        <v>217</v>
      </c>
      <c r="E33" s="91">
        <f>'[1]31'!C14</f>
        <v>1512</v>
      </c>
      <c r="F33" s="91">
        <f>'[1]31'!D14</f>
        <v>2676240</v>
      </c>
      <c r="G33" s="91">
        <f>'[1]31'!C18</f>
        <v>1512</v>
      </c>
      <c r="H33" s="91">
        <f>'[1]31'!D18</f>
        <v>2766960</v>
      </c>
      <c r="I33" s="91">
        <f>'[1]31'!B35</f>
        <v>913096.79999999993</v>
      </c>
      <c r="J33" s="91">
        <f>'[1]31'!B27</f>
        <v>2500000</v>
      </c>
      <c r="K33" s="91">
        <f>'[1]31'!B31</f>
        <v>-176240</v>
      </c>
      <c r="L33" s="91">
        <f>'[1]31'!D22</f>
        <v>0</v>
      </c>
      <c r="M33" s="91">
        <f>'[1]31'!B40</f>
        <v>1677623.2000000002</v>
      </c>
      <c r="N33" s="91">
        <f>'[1]31'!B41</f>
        <v>0</v>
      </c>
      <c r="O33" s="91">
        <f t="shared" si="2"/>
        <v>1677623.2000000002</v>
      </c>
      <c r="P33" s="91">
        <v>1853864</v>
      </c>
      <c r="Q33" s="154">
        <v>42406</v>
      </c>
      <c r="R33" s="91">
        <f t="shared" si="1"/>
        <v>-176240.79999999981</v>
      </c>
    </row>
    <row r="34" spans="1:18">
      <c r="A34" s="153">
        <v>32</v>
      </c>
      <c r="B34" s="92" t="s">
        <v>371</v>
      </c>
      <c r="C34" s="92" t="s">
        <v>373</v>
      </c>
      <c r="D34" s="92" t="s">
        <v>374</v>
      </c>
      <c r="E34" s="91">
        <f>'[1]32'!C14</f>
        <v>295</v>
      </c>
      <c r="F34" s="91">
        <f>'[1]32'!D16</f>
        <v>522150</v>
      </c>
      <c r="G34" s="91">
        <f>'[1]32'!C18</f>
        <v>295</v>
      </c>
      <c r="H34" s="91">
        <f>'[1]32'!D20</f>
        <v>539850</v>
      </c>
      <c r="I34" s="91">
        <f>'[1]32'!B35</f>
        <v>178150.5</v>
      </c>
      <c r="J34" s="91">
        <f>'[1]32'!B27</f>
        <v>700000</v>
      </c>
      <c r="K34" s="91">
        <f>'[1]32'!B31</f>
        <v>177850</v>
      </c>
      <c r="L34" s="91">
        <f>'[1]32'!D24</f>
        <v>0</v>
      </c>
      <c r="M34" s="91">
        <f>'[1]32'!B40</f>
        <v>539549.5</v>
      </c>
      <c r="N34" s="91">
        <f>'[1]32'!B41</f>
        <v>0</v>
      </c>
      <c r="O34" s="91">
        <f t="shared" si="2"/>
        <v>539549.5</v>
      </c>
      <c r="P34" s="91">
        <v>361700</v>
      </c>
      <c r="Q34" s="154">
        <v>42435</v>
      </c>
      <c r="R34" s="91">
        <f t="shared" si="1"/>
        <v>177849.5</v>
      </c>
    </row>
    <row r="35" spans="1:18">
      <c r="A35" s="153">
        <v>33</v>
      </c>
      <c r="B35" s="92" t="s">
        <v>375</v>
      </c>
      <c r="C35" s="92" t="s">
        <v>376</v>
      </c>
      <c r="D35" s="92" t="s">
        <v>246</v>
      </c>
      <c r="E35" s="91">
        <f>'[1]33'!C14</f>
        <v>282</v>
      </c>
      <c r="F35" s="91">
        <f>'[1]33'!D16</f>
        <v>499140</v>
      </c>
      <c r="G35" s="91">
        <f>'[1]33'!C18</f>
        <v>282</v>
      </c>
      <c r="H35" s="91">
        <f>'[1]33'!D20</f>
        <v>516060</v>
      </c>
      <c r="I35" s="91">
        <f>'[1]33'!B35</f>
        <v>170299.8</v>
      </c>
      <c r="J35" s="91">
        <f>'[1]33'!B27</f>
        <v>500000</v>
      </c>
      <c r="K35" s="91">
        <f>'[1]33'!B31</f>
        <v>860</v>
      </c>
      <c r="L35" s="91">
        <f>'[1]33'!C24</f>
        <v>0</v>
      </c>
      <c r="M35" s="91">
        <f>'[1]33'!B40</f>
        <v>346620.2</v>
      </c>
      <c r="N35" s="91">
        <f>'[1]33'!B41</f>
        <v>0</v>
      </c>
      <c r="O35" s="91">
        <f t="shared" si="2"/>
        <v>346620.2</v>
      </c>
      <c r="P35" s="91">
        <v>329710</v>
      </c>
      <c r="Q35" s="154">
        <v>42466</v>
      </c>
      <c r="R35" s="91">
        <f t="shared" si="1"/>
        <v>16910.200000000012</v>
      </c>
    </row>
    <row r="36" spans="1:18">
      <c r="A36" s="153">
        <v>34</v>
      </c>
      <c r="B36" s="92" t="s">
        <v>377</v>
      </c>
      <c r="C36" s="92" t="s">
        <v>378</v>
      </c>
      <c r="D36" s="92" t="s">
        <v>194</v>
      </c>
      <c r="E36" s="91">
        <f>'[1]34'!C14</f>
        <v>234</v>
      </c>
      <c r="F36" s="91">
        <f>'[1]34'!D16</f>
        <v>414180</v>
      </c>
      <c r="G36" s="91">
        <f>'[1]34'!C18</f>
        <v>234</v>
      </c>
      <c r="H36" s="91">
        <f>'[1]34'!D20</f>
        <v>428220</v>
      </c>
      <c r="I36" s="91">
        <f>'[1]34'!B35</f>
        <v>141312.6</v>
      </c>
      <c r="J36" s="91">
        <f>'[1]34'!B27</f>
        <v>500000</v>
      </c>
      <c r="K36" s="91">
        <f>'[1]34'!B31</f>
        <v>85820</v>
      </c>
      <c r="L36" s="91">
        <f>'[1]34'!C24</f>
        <v>0</v>
      </c>
      <c r="M36" s="91">
        <f>'[1]34'!B40</f>
        <v>372727.4</v>
      </c>
      <c r="N36" s="91">
        <f>'[1]34'!B41</f>
        <v>0</v>
      </c>
      <c r="O36" s="91">
        <f t="shared" si="2"/>
        <v>372727.4</v>
      </c>
      <c r="P36" s="91">
        <v>358688</v>
      </c>
      <c r="Q36" s="154">
        <v>42466</v>
      </c>
      <c r="R36" s="91">
        <f t="shared" si="1"/>
        <v>14039.400000000023</v>
      </c>
    </row>
    <row r="37" spans="1:18">
      <c r="A37" s="153">
        <v>35</v>
      </c>
      <c r="B37" s="92" t="s">
        <v>377</v>
      </c>
      <c r="C37" s="92" t="s">
        <v>379</v>
      </c>
      <c r="D37" s="92" t="s">
        <v>340</v>
      </c>
      <c r="E37" s="91">
        <f>'[1]35'!C14</f>
        <v>170</v>
      </c>
      <c r="F37" s="91">
        <f>'[1]35'!D16</f>
        <v>300900</v>
      </c>
      <c r="G37" s="91">
        <f>'[1]35'!C18</f>
        <v>170</v>
      </c>
      <c r="H37" s="91">
        <f>'[1]35'!D20</f>
        <v>311100</v>
      </c>
      <c r="I37" s="91">
        <f>'[1]35'!B35</f>
        <v>102663</v>
      </c>
      <c r="J37" s="91">
        <f>'[1]35'!B27</f>
        <v>300000</v>
      </c>
      <c r="K37" s="91">
        <f>'[1]35'!B31</f>
        <v>-900</v>
      </c>
      <c r="L37" s="91">
        <f>'[1]35'!C24</f>
        <v>0</v>
      </c>
      <c r="M37" s="91">
        <f>'[1]35'!B40</f>
        <v>207537</v>
      </c>
      <c r="N37" s="91">
        <f>'[1]35'!B41</f>
        <v>0</v>
      </c>
      <c r="O37" s="91">
        <f t="shared" si="2"/>
        <v>207537</v>
      </c>
      <c r="P37" s="91">
        <v>197337</v>
      </c>
      <c r="Q37" s="154">
        <v>42466</v>
      </c>
      <c r="R37" s="91">
        <f t="shared" si="1"/>
        <v>10200</v>
      </c>
    </row>
    <row r="38" spans="1:18">
      <c r="A38" s="153">
        <v>36</v>
      </c>
      <c r="B38" s="92" t="s">
        <v>380</v>
      </c>
      <c r="C38" s="92" t="s">
        <v>381</v>
      </c>
      <c r="D38" s="92" t="s">
        <v>382</v>
      </c>
      <c r="E38" s="91">
        <f>'[1]36'!C16</f>
        <v>296</v>
      </c>
      <c r="F38" s="91">
        <f>'[1]36'!D16</f>
        <v>531120</v>
      </c>
      <c r="G38" s="91">
        <f>'[1]36'!C20</f>
        <v>296</v>
      </c>
      <c r="H38" s="91">
        <f>'[1]36'!B34</f>
        <v>367749.6</v>
      </c>
      <c r="I38" s="91">
        <f>'[1]36'!B35+'[1]36'!B36</f>
        <v>181130.4</v>
      </c>
      <c r="J38" s="91">
        <f>'[1]36'!B27</f>
        <v>500000</v>
      </c>
      <c r="K38" s="91">
        <f>'[1]36'!B31</f>
        <v>-31120</v>
      </c>
      <c r="L38" s="91">
        <f>'[1]36'!C24</f>
        <v>0</v>
      </c>
      <c r="M38" s="91">
        <f>'[1]36'!B40</f>
        <v>336629.6</v>
      </c>
      <c r="N38" s="91">
        <f>'[1]36'!B41</f>
        <v>0</v>
      </c>
      <c r="O38" s="91">
        <f t="shared" si="2"/>
        <v>336629.6</v>
      </c>
      <c r="P38" s="91">
        <v>365855</v>
      </c>
      <c r="Q38" s="154">
        <v>42649</v>
      </c>
      <c r="R38" s="91">
        <f t="shared" si="1"/>
        <v>-29225.400000000023</v>
      </c>
    </row>
    <row r="39" spans="1:18">
      <c r="A39" s="153">
        <v>37</v>
      </c>
      <c r="B39" s="92" t="s">
        <v>380</v>
      </c>
      <c r="C39" s="92" t="s">
        <v>383</v>
      </c>
      <c r="D39" s="92" t="s">
        <v>383</v>
      </c>
      <c r="E39" s="91">
        <f>'[1]37'!C16</f>
        <v>265</v>
      </c>
      <c r="F39" s="91">
        <f>'[1]37'!D16</f>
        <v>475530</v>
      </c>
      <c r="G39" s="91">
        <f>'[1]37'!C20</f>
        <v>265</v>
      </c>
      <c r="H39" s="91">
        <f>'[1]37'!B34</f>
        <v>329258.09999999998</v>
      </c>
      <c r="I39" s="91">
        <f>'[1]37'!B35+'[1]37'!B36</f>
        <v>162171.9</v>
      </c>
      <c r="J39" s="91">
        <f>'[1]37'!B27</f>
        <v>500000</v>
      </c>
      <c r="K39" s="91">
        <f>'[1]37'!B31</f>
        <v>24470</v>
      </c>
      <c r="L39" s="91">
        <f>'[1]37'!C24</f>
        <v>0</v>
      </c>
      <c r="M39" s="91">
        <f>'[1]37'!B40</f>
        <v>353728.1</v>
      </c>
      <c r="N39" s="91">
        <f>'[1]37'!B41</f>
        <v>0</v>
      </c>
      <c r="O39" s="91">
        <f t="shared" si="2"/>
        <v>353728.1</v>
      </c>
      <c r="P39" s="91">
        <v>353730</v>
      </c>
      <c r="Q39" s="154" t="s">
        <v>384</v>
      </c>
      <c r="R39" s="91">
        <f t="shared" si="1"/>
        <v>-1.9000000000232831</v>
      </c>
    </row>
    <row r="40" spans="1:18">
      <c r="A40" s="153">
        <v>38</v>
      </c>
      <c r="B40" s="92" t="s">
        <v>380</v>
      </c>
      <c r="C40" s="92" t="s">
        <v>164</v>
      </c>
      <c r="D40" s="92" t="s">
        <v>164</v>
      </c>
      <c r="E40" s="91">
        <f>'[1]38'!C16</f>
        <v>333</v>
      </c>
      <c r="F40" s="91">
        <f>'[1]38'!D16</f>
        <v>592650</v>
      </c>
      <c r="G40" s="91">
        <f>'[1]38'!C20</f>
        <v>333</v>
      </c>
      <c r="H40" s="91">
        <f>'[1]38'!B34</f>
        <v>410462.1</v>
      </c>
      <c r="I40" s="91">
        <f>'[1]38'!B35+'[1]38'!B36</f>
        <v>202167.9</v>
      </c>
      <c r="J40" s="91">
        <f>'[1]38'!B27</f>
        <v>1000000</v>
      </c>
      <c r="K40" s="91">
        <f>'[1]38'!B31</f>
        <v>407350</v>
      </c>
      <c r="L40" s="91">
        <f>'[1]38'!C24</f>
        <v>0</v>
      </c>
      <c r="M40" s="91">
        <f>'[1]38'!B40</f>
        <v>817812.1</v>
      </c>
      <c r="N40" s="91">
        <f>'[1]38'!B41</f>
        <v>0</v>
      </c>
      <c r="O40" s="91">
        <f t="shared" si="2"/>
        <v>817812.1</v>
      </c>
      <c r="P40" s="91">
        <v>0</v>
      </c>
      <c r="Q40" s="154"/>
      <c r="R40" s="91">
        <f t="shared" si="1"/>
        <v>817812.1</v>
      </c>
    </row>
    <row r="41" spans="1:18">
      <c r="A41" s="153">
        <v>39</v>
      </c>
      <c r="B41" s="92" t="s">
        <v>380</v>
      </c>
      <c r="C41" s="92" t="s">
        <v>385</v>
      </c>
      <c r="D41" s="92" t="s">
        <v>172</v>
      </c>
      <c r="E41" s="91">
        <f>'[1]39'!C14</f>
        <v>322</v>
      </c>
      <c r="F41" s="91">
        <f>'[1]39'!D16</f>
        <v>569940</v>
      </c>
      <c r="G41" s="91">
        <f>'[1]39'!C20</f>
        <v>322</v>
      </c>
      <c r="H41" s="91">
        <f>'[1]39'!D20</f>
        <v>589260</v>
      </c>
      <c r="I41" s="91">
        <f>'[1]39'!B35</f>
        <v>194455.8</v>
      </c>
      <c r="J41" s="91">
        <f>'[1]39'!B27</f>
        <v>1000000</v>
      </c>
      <c r="K41" s="91">
        <f>'[1]39'!B31</f>
        <v>430060</v>
      </c>
      <c r="L41" s="91">
        <f>'[1]39'!C24</f>
        <v>0</v>
      </c>
      <c r="M41" s="91">
        <f>'[1]39'!B40</f>
        <v>824864.2</v>
      </c>
      <c r="N41" s="91">
        <f>'[1]39'!B41</f>
        <v>0</v>
      </c>
      <c r="O41" s="91">
        <f t="shared" si="2"/>
        <v>824864.2</v>
      </c>
      <c r="P41" s="91"/>
      <c r="Q41" s="154"/>
      <c r="R41" s="91">
        <f t="shared" si="1"/>
        <v>824864.2</v>
      </c>
    </row>
    <row r="42" spans="1:18">
      <c r="A42" s="153">
        <v>40</v>
      </c>
      <c r="B42" s="92" t="s">
        <v>386</v>
      </c>
      <c r="C42" s="92" t="s">
        <v>387</v>
      </c>
      <c r="D42" s="92" t="s">
        <v>197</v>
      </c>
      <c r="E42" s="91">
        <f>'[1]40'!C16</f>
        <v>1514</v>
      </c>
      <c r="F42" s="91">
        <f>'[1]40'!D16</f>
        <v>2724420</v>
      </c>
      <c r="G42" s="91">
        <f>'[1]40'!C20</f>
        <v>1514</v>
      </c>
      <c r="H42" s="91">
        <f>'[1]40'!D20</f>
        <v>2815260</v>
      </c>
      <c r="I42" s="91">
        <f>'[1]40'!B34</f>
        <v>1886224.2</v>
      </c>
      <c r="J42" s="91">
        <f>'[1]40'!B27</f>
        <v>1000000</v>
      </c>
      <c r="K42" s="91">
        <f>'[1]40'!B31</f>
        <v>-1724420</v>
      </c>
      <c r="L42" s="91">
        <f>'[1]40'!C24</f>
        <v>0</v>
      </c>
      <c r="M42" s="91">
        <f>'[1]40'!B40</f>
        <v>161804.19999999995</v>
      </c>
      <c r="N42" s="91">
        <f>'[1]40'!B41</f>
        <v>0</v>
      </c>
      <c r="O42" s="91">
        <f t="shared" si="2"/>
        <v>161804.19999999995</v>
      </c>
      <c r="P42" s="91">
        <v>70965</v>
      </c>
      <c r="Q42" s="154"/>
      <c r="R42" s="91">
        <f t="shared" si="1"/>
        <v>90839.199999999953</v>
      </c>
    </row>
    <row r="43" spans="1:18">
      <c r="A43" s="153">
        <v>41</v>
      </c>
      <c r="B43" s="92" t="s">
        <v>386</v>
      </c>
      <c r="C43" s="92" t="s">
        <v>388</v>
      </c>
      <c r="D43" s="92" t="s">
        <v>389</v>
      </c>
      <c r="E43" s="91">
        <f>'[1]41'!C16</f>
        <v>1345</v>
      </c>
      <c r="F43" s="91">
        <f>'[1]41'!D16</f>
        <v>2391630</v>
      </c>
      <c r="G43" s="91">
        <f>'[1]41'!C20</f>
        <v>1345</v>
      </c>
      <c r="H43" s="91">
        <f>'[1]41'!D20</f>
        <v>2472330</v>
      </c>
      <c r="I43" s="91">
        <f>'[1]41'!B35+'[1]41'!B36</f>
        <v>815868.89999999991</v>
      </c>
      <c r="J43" s="91">
        <f>'[1]41'!B27</f>
        <v>1000000</v>
      </c>
      <c r="K43" s="91">
        <f>'[1]41'!B31</f>
        <v>-1391630</v>
      </c>
      <c r="L43" s="91">
        <f>'[1]41'!C24</f>
        <v>0</v>
      </c>
      <c r="M43" s="91">
        <f>'[1]41'!B40</f>
        <v>264831.10000000009</v>
      </c>
      <c r="N43" s="91">
        <f>'[1]41'!B41</f>
        <v>0</v>
      </c>
      <c r="O43" s="91">
        <f t="shared" si="2"/>
        <v>264831.10000000009</v>
      </c>
      <c r="P43" s="91">
        <v>184131</v>
      </c>
      <c r="Q43" s="154">
        <v>42406</v>
      </c>
      <c r="R43" s="91">
        <f t="shared" si="1"/>
        <v>80700.100000000093</v>
      </c>
    </row>
    <row r="44" spans="1:18">
      <c r="A44" s="153">
        <v>42</v>
      </c>
      <c r="B44" s="92" t="s">
        <v>386</v>
      </c>
      <c r="C44" s="92" t="s">
        <v>390</v>
      </c>
      <c r="D44" s="92" t="s">
        <v>369</v>
      </c>
      <c r="E44" s="91">
        <f>'[1]42'!C16</f>
        <v>1178</v>
      </c>
      <c r="F44" s="91">
        <f>'[1]42'!D16</f>
        <v>2095860</v>
      </c>
      <c r="G44" s="91">
        <f>'[1]42'!C20</f>
        <v>1178</v>
      </c>
      <c r="H44" s="91">
        <f>'[1]42'!D20</f>
        <v>2166540</v>
      </c>
      <c r="I44" s="91">
        <f>'[1]42'!B35</f>
        <v>638926.19999999995</v>
      </c>
      <c r="J44" s="91">
        <f>'[1]42'!B27</f>
        <v>1000000</v>
      </c>
      <c r="K44" s="91">
        <f>'[1]42'!B37</f>
        <v>0</v>
      </c>
      <c r="L44" s="91">
        <f>'[1]42'!C24</f>
        <v>0</v>
      </c>
      <c r="M44" s="91">
        <f>'[1]42'!B40</f>
        <v>355721.80000000005</v>
      </c>
      <c r="N44" s="91">
        <f>'[1]42'!B41</f>
        <v>0</v>
      </c>
      <c r="O44" s="91">
        <f t="shared" si="2"/>
        <v>355721.80000000005</v>
      </c>
      <c r="P44" s="91">
        <v>285042</v>
      </c>
      <c r="Q44" s="154">
        <v>42527</v>
      </c>
      <c r="R44" s="91">
        <f t="shared" si="1"/>
        <v>70679.800000000047</v>
      </c>
    </row>
    <row r="45" spans="1:18">
      <c r="A45" s="153">
        <v>43</v>
      </c>
      <c r="B45" s="92" t="s">
        <v>386</v>
      </c>
      <c r="C45" s="92" t="s">
        <v>391</v>
      </c>
      <c r="D45" s="92" t="s">
        <v>392</v>
      </c>
      <c r="E45" s="91">
        <f>'[1]43'!C16</f>
        <v>1128</v>
      </c>
      <c r="F45" s="91">
        <f>'[1]43'!D16</f>
        <v>2022300</v>
      </c>
      <c r="G45" s="91">
        <f>'[1]43'!C20</f>
        <v>1128</v>
      </c>
      <c r="H45" s="91">
        <f>'[1]43'!D20</f>
        <v>2089980</v>
      </c>
      <c r="I45" s="91">
        <f>'[1]43'!B35+'[1]43'!B36</f>
        <v>689693.4</v>
      </c>
      <c r="J45" s="91">
        <f>'[1]43'!B27</f>
        <v>1000000</v>
      </c>
      <c r="K45" s="91">
        <f>'[1]43'!B31</f>
        <v>-1022300</v>
      </c>
      <c r="L45" s="91">
        <f>'[1]43'!C24</f>
        <v>0</v>
      </c>
      <c r="M45" s="91">
        <f>'[1]43'!B40</f>
        <v>377986.60000000009</v>
      </c>
      <c r="N45" s="91">
        <f>'[1]43'!B41</f>
        <v>0</v>
      </c>
      <c r="O45" s="91">
        <f t="shared" si="2"/>
        <v>377986.60000000009</v>
      </c>
      <c r="P45" s="91">
        <v>310307</v>
      </c>
      <c r="Q45" s="154"/>
      <c r="R45" s="91">
        <f t="shared" si="1"/>
        <v>67679.600000000093</v>
      </c>
    </row>
    <row r="46" spans="1:18">
      <c r="A46" s="153">
        <v>44</v>
      </c>
      <c r="B46" s="92" t="s">
        <v>386</v>
      </c>
      <c r="C46" s="92" t="s">
        <v>393</v>
      </c>
      <c r="D46" s="92" t="s">
        <v>394</v>
      </c>
      <c r="E46" s="91">
        <f>'[1]44'!C16</f>
        <v>1302</v>
      </c>
      <c r="F46" s="91">
        <f>'[1]44'!D16</f>
        <v>2401110</v>
      </c>
      <c r="G46" s="91">
        <f>'[1]44'!C20</f>
        <v>1302</v>
      </c>
      <c r="H46" s="91">
        <f>'[1]44'!D20</f>
        <v>2479230</v>
      </c>
      <c r="I46" s="91">
        <f>'[1]44'!B35+'[1]44'!B36</f>
        <v>818145.9</v>
      </c>
      <c r="J46" s="91">
        <f>'[1]44'!B27</f>
        <v>1000000</v>
      </c>
      <c r="K46" s="91">
        <f>'[1]44'!B31</f>
        <v>-1401110</v>
      </c>
      <c r="L46" s="91">
        <f>'[1]44'!C24</f>
        <v>0</v>
      </c>
      <c r="M46" s="91">
        <f>'[1]44'!B40</f>
        <v>259974.10000000009</v>
      </c>
      <c r="N46" s="91">
        <f>'[1]44'!B41</f>
        <v>0</v>
      </c>
      <c r="O46" s="91">
        <f t="shared" si="2"/>
        <v>259974.10000000009</v>
      </c>
      <c r="P46" s="91">
        <v>182310</v>
      </c>
      <c r="Q46" s="154">
        <v>42527</v>
      </c>
      <c r="R46" s="91">
        <f t="shared" si="1"/>
        <v>77664.100000000093</v>
      </c>
    </row>
    <row r="47" spans="1:18">
      <c r="A47" s="153">
        <v>45</v>
      </c>
      <c r="B47" s="92" t="s">
        <v>386</v>
      </c>
      <c r="C47" s="92" t="s">
        <v>395</v>
      </c>
      <c r="D47" s="92" t="s">
        <v>206</v>
      </c>
      <c r="E47" s="91">
        <f>'[1]45'!C16</f>
        <v>855</v>
      </c>
      <c r="F47" s="91">
        <f>'[1]45'!D16</f>
        <v>1567260</v>
      </c>
      <c r="G47" s="91">
        <f>'[1]45'!C20</f>
        <v>855</v>
      </c>
      <c r="H47" s="91">
        <f>'[1]45'!D20</f>
        <v>1618560</v>
      </c>
      <c r="I47" s="91">
        <f>'[1]45'!B35+'[1]45'!B36</f>
        <v>534124.80000000005</v>
      </c>
      <c r="J47" s="91">
        <f>'[1]45'!B27</f>
        <v>1000000</v>
      </c>
      <c r="K47" s="91">
        <f>'[1]45'!B31</f>
        <v>-567260</v>
      </c>
      <c r="L47" s="91">
        <f>'[1]45'!C24</f>
        <v>0</v>
      </c>
      <c r="M47" s="91">
        <f>'[1]45'!B40</f>
        <v>517175.19999999995</v>
      </c>
      <c r="N47" s="91">
        <f>'[1]45'!B41</f>
        <v>0</v>
      </c>
      <c r="O47" s="91">
        <f t="shared" si="2"/>
        <v>517175.19999999995</v>
      </c>
      <c r="P47" s="91">
        <v>465876</v>
      </c>
      <c r="Q47" s="154">
        <v>42527</v>
      </c>
      <c r="R47" s="91">
        <f t="shared" si="1"/>
        <v>51299.199999999953</v>
      </c>
    </row>
    <row r="48" spans="1:18">
      <c r="A48" s="153">
        <v>46</v>
      </c>
      <c r="B48" s="92" t="s">
        <v>396</v>
      </c>
      <c r="C48" s="92" t="s">
        <v>397</v>
      </c>
      <c r="D48" s="92" t="s">
        <v>340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200000</v>
      </c>
      <c r="K48" s="91">
        <v>0</v>
      </c>
      <c r="L48" s="91">
        <v>0</v>
      </c>
      <c r="M48" s="91">
        <v>200000</v>
      </c>
      <c r="N48" s="91">
        <v>0</v>
      </c>
      <c r="O48" s="91">
        <f t="shared" si="2"/>
        <v>200000</v>
      </c>
      <c r="P48" s="91">
        <v>200000</v>
      </c>
      <c r="Q48" s="154"/>
      <c r="R48" s="91">
        <f t="shared" si="1"/>
        <v>0</v>
      </c>
    </row>
    <row r="49" spans="1:18">
      <c r="A49" s="153">
        <v>47</v>
      </c>
      <c r="B49" s="92" t="s">
        <v>398</v>
      </c>
      <c r="C49" s="92" t="s">
        <v>399</v>
      </c>
      <c r="D49" s="92" t="s">
        <v>232</v>
      </c>
      <c r="E49" s="91"/>
      <c r="F49" s="91"/>
      <c r="G49" s="91">
        <v>0</v>
      </c>
      <c r="H49" s="91">
        <v>0</v>
      </c>
      <c r="I49" s="91">
        <v>0</v>
      </c>
      <c r="J49" s="91">
        <v>200000</v>
      </c>
      <c r="K49" s="91">
        <v>0</v>
      </c>
      <c r="L49" s="91">
        <v>0</v>
      </c>
      <c r="M49" s="91">
        <v>200000</v>
      </c>
      <c r="N49" s="91">
        <v>0</v>
      </c>
      <c r="O49" s="91">
        <f t="shared" si="2"/>
        <v>200000</v>
      </c>
      <c r="P49" s="91">
        <v>200000</v>
      </c>
      <c r="Q49" s="154">
        <v>42527</v>
      </c>
      <c r="R49" s="91">
        <f t="shared" si="1"/>
        <v>0</v>
      </c>
    </row>
    <row r="50" spans="1:18">
      <c r="A50" s="153">
        <v>48</v>
      </c>
      <c r="B50" s="92" t="s">
        <v>400</v>
      </c>
      <c r="C50" s="92" t="s">
        <v>401</v>
      </c>
      <c r="D50" s="92" t="s">
        <v>402</v>
      </c>
      <c r="E50" s="91">
        <f>'[1]48'!C16</f>
        <v>1521</v>
      </c>
      <c r="F50" s="91">
        <f>'[1]48'!D16</f>
        <v>2692170</v>
      </c>
      <c r="G50" s="91">
        <f>'[1]48'!C20</f>
        <v>1520</v>
      </c>
      <c r="H50" s="91">
        <f>'[1]48'!B28</f>
        <v>2692170</v>
      </c>
      <c r="I50" s="91">
        <f>'[1]48'!B34</f>
        <v>1863672</v>
      </c>
      <c r="J50" s="91">
        <f>'[1]48'!B27</f>
        <v>2600000</v>
      </c>
      <c r="K50" s="91">
        <f>'[1]48'!B31</f>
        <v>-92170</v>
      </c>
      <c r="L50" s="91">
        <f>'[1]48'!C24</f>
        <v>1</v>
      </c>
      <c r="M50" s="91">
        <f>'[1]48'!B40</f>
        <v>1773272</v>
      </c>
      <c r="N50" s="91">
        <f>'[1]48'!B41</f>
        <v>0</v>
      </c>
      <c r="O50" s="91">
        <v>0</v>
      </c>
      <c r="P50" s="91">
        <v>1773120</v>
      </c>
      <c r="Q50" s="154">
        <v>42375</v>
      </c>
      <c r="R50" s="91">
        <f t="shared" si="1"/>
        <v>152</v>
      </c>
    </row>
    <row r="51" spans="1:18">
      <c r="A51" s="156"/>
      <c r="B51" s="157"/>
      <c r="C51" s="157" t="s">
        <v>121</v>
      </c>
      <c r="D51" s="157"/>
      <c r="E51" s="157">
        <f>SUM(E3:E50)</f>
        <v>30249</v>
      </c>
      <c r="F51" s="157">
        <f t="shared" ref="F51:R51" si="3">SUM(F3:F50)</f>
        <v>53831790</v>
      </c>
      <c r="G51" s="157">
        <f t="shared" si="3"/>
        <v>30248</v>
      </c>
      <c r="H51" s="157">
        <f t="shared" si="3"/>
        <v>44609505.300000004</v>
      </c>
      <c r="I51" s="157">
        <f t="shared" si="3"/>
        <v>20189717.400000002</v>
      </c>
      <c r="J51" s="157">
        <f t="shared" si="3"/>
        <v>52742000</v>
      </c>
      <c r="K51" s="157">
        <f t="shared" si="3"/>
        <v>-393930</v>
      </c>
      <c r="L51" s="157">
        <f t="shared" si="3"/>
        <v>1</v>
      </c>
      <c r="M51" s="157">
        <f t="shared" si="3"/>
        <v>36194063.000000007</v>
      </c>
      <c r="N51" s="157">
        <f t="shared" si="3"/>
        <v>17108097</v>
      </c>
      <c r="O51" s="157" t="e">
        <f t="shared" si="3"/>
        <v>#VALUE!</v>
      </c>
      <c r="P51" s="157">
        <f t="shared" si="3"/>
        <v>33903825.299999997</v>
      </c>
      <c r="Q51" s="157">
        <f t="shared" si="3"/>
        <v>1742692</v>
      </c>
      <c r="R51" s="157">
        <f t="shared" si="3"/>
        <v>2290237.7000000011</v>
      </c>
    </row>
  </sheetData>
  <mergeCells count="1">
    <mergeCell ref="A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5"/>
  <sheetViews>
    <sheetView workbookViewId="0">
      <selection activeCell="A3" sqref="A3:A4"/>
    </sheetView>
  </sheetViews>
  <sheetFormatPr defaultRowHeight="15"/>
  <cols>
    <col min="2" max="2" width="26.625" customWidth="1"/>
    <col min="3" max="3" width="11.75" customWidth="1"/>
    <col min="4" max="4" width="20" customWidth="1"/>
    <col min="7" max="7" width="13.25" customWidth="1"/>
    <col min="10" max="10" width="11.125" customWidth="1"/>
    <col min="11" max="11" width="11.375" customWidth="1"/>
    <col min="12" max="12" width="22.875" customWidth="1"/>
    <col min="13" max="13" width="22" customWidth="1"/>
  </cols>
  <sheetData>
    <row r="1" spans="1:13" ht="18">
      <c r="A1" s="290" t="s">
        <v>403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3" ht="18">
      <c r="A2" s="291" t="s">
        <v>576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18">
      <c r="A3" s="288" t="s">
        <v>404</v>
      </c>
      <c r="B3" s="288" t="s">
        <v>154</v>
      </c>
      <c r="C3" s="288" t="s">
        <v>32</v>
      </c>
      <c r="D3" s="288" t="s">
        <v>156</v>
      </c>
      <c r="E3" s="292" t="s">
        <v>405</v>
      </c>
      <c r="F3" s="292"/>
      <c r="G3" s="292"/>
      <c r="H3" s="292" t="s">
        <v>406</v>
      </c>
      <c r="I3" s="292"/>
      <c r="J3" s="292"/>
      <c r="K3" s="288" t="s">
        <v>407</v>
      </c>
      <c r="L3" s="288" t="s">
        <v>408</v>
      </c>
      <c r="M3" s="288" t="s">
        <v>409</v>
      </c>
    </row>
    <row r="4" spans="1:13" ht="38.25">
      <c r="A4" s="288"/>
      <c r="B4" s="288"/>
      <c r="C4" s="288"/>
      <c r="D4" s="288"/>
      <c r="E4" s="158" t="s">
        <v>410</v>
      </c>
      <c r="F4" s="158" t="s">
        <v>411</v>
      </c>
      <c r="G4" s="158" t="s">
        <v>412</v>
      </c>
      <c r="H4" s="158" t="s">
        <v>410</v>
      </c>
      <c r="I4" s="158" t="s">
        <v>411</v>
      </c>
      <c r="J4" s="158" t="s">
        <v>413</v>
      </c>
      <c r="K4" s="288"/>
      <c r="L4" s="288"/>
      <c r="M4" s="288"/>
    </row>
    <row r="5" spans="1:13">
      <c r="A5" s="158">
        <v>1</v>
      </c>
      <c r="B5" s="158">
        <v>2</v>
      </c>
      <c r="C5" s="158">
        <v>3</v>
      </c>
      <c r="D5" s="158">
        <v>4</v>
      </c>
      <c r="E5" s="158">
        <v>5</v>
      </c>
      <c r="F5" s="158">
        <v>6</v>
      </c>
      <c r="G5" s="158" t="s">
        <v>414</v>
      </c>
      <c r="H5" s="158">
        <v>8</v>
      </c>
      <c r="I5" s="158">
        <v>9</v>
      </c>
      <c r="J5" s="158" t="s">
        <v>415</v>
      </c>
      <c r="K5" s="158" t="s">
        <v>416</v>
      </c>
      <c r="L5" s="158" t="s">
        <v>417</v>
      </c>
      <c r="M5" s="158">
        <v>13</v>
      </c>
    </row>
    <row r="6" spans="1:13" ht="37.5" customHeight="1">
      <c r="A6" s="159">
        <v>1</v>
      </c>
      <c r="B6" s="160" t="s">
        <v>161</v>
      </c>
      <c r="C6" s="161" t="s">
        <v>164</v>
      </c>
      <c r="D6" s="160" t="s">
        <v>163</v>
      </c>
      <c r="E6" s="162">
        <v>297</v>
      </c>
      <c r="F6" s="163">
        <f>E6*30/100</f>
        <v>89.1</v>
      </c>
      <c r="G6" s="163">
        <f>F6*5900</f>
        <v>525690</v>
      </c>
      <c r="H6" s="164">
        <v>36</v>
      </c>
      <c r="I6" s="163">
        <f>H6*30/100</f>
        <v>10.8</v>
      </c>
      <c r="J6" s="163">
        <f>I6*6200</f>
        <v>66960</v>
      </c>
      <c r="K6" s="163">
        <f>G6+J6</f>
        <v>592650</v>
      </c>
      <c r="L6" s="163">
        <f>M6-K6</f>
        <v>407350</v>
      </c>
      <c r="M6" s="163">
        <v>1000000</v>
      </c>
    </row>
    <row r="7" spans="1:13" ht="37.5" customHeight="1">
      <c r="A7" s="159">
        <v>2</v>
      </c>
      <c r="B7" s="160" t="s">
        <v>165</v>
      </c>
      <c r="C7" s="161" t="s">
        <v>167</v>
      </c>
      <c r="D7" s="160" t="s">
        <v>163</v>
      </c>
      <c r="E7" s="162">
        <v>276</v>
      </c>
      <c r="F7" s="163">
        <f t="shared" ref="F7:F53" si="0">E7*30/100</f>
        <v>82.8</v>
      </c>
      <c r="G7" s="163">
        <f t="shared" ref="G7:G53" si="1">F7*5900</f>
        <v>488520</v>
      </c>
      <c r="H7" s="164">
        <v>80</v>
      </c>
      <c r="I7" s="163">
        <f t="shared" ref="I7:I53" si="2">H7*30/100</f>
        <v>24</v>
      </c>
      <c r="J7" s="163">
        <f t="shared" ref="J7:J53" si="3">I7*6200</f>
        <v>148800</v>
      </c>
      <c r="K7" s="163">
        <f t="shared" ref="K7:K53" si="4">G7+J7</f>
        <v>637320</v>
      </c>
      <c r="L7" s="163">
        <f t="shared" ref="L7:L53" si="5">M7-K7</f>
        <v>-137320</v>
      </c>
      <c r="M7" s="163">
        <v>500000</v>
      </c>
    </row>
    <row r="8" spans="1:13" ht="37.5" customHeight="1">
      <c r="A8" s="159">
        <v>3</v>
      </c>
      <c r="B8" s="160" t="s">
        <v>168</v>
      </c>
      <c r="C8" s="161" t="s">
        <v>169</v>
      </c>
      <c r="D8" s="160" t="s">
        <v>163</v>
      </c>
      <c r="E8" s="162">
        <v>193</v>
      </c>
      <c r="F8" s="163">
        <f t="shared" si="0"/>
        <v>57.9</v>
      </c>
      <c r="G8" s="163">
        <f t="shared" si="1"/>
        <v>341610</v>
      </c>
      <c r="H8" s="164">
        <v>72</v>
      </c>
      <c r="I8" s="163">
        <f t="shared" si="2"/>
        <v>21.6</v>
      </c>
      <c r="J8" s="163">
        <f t="shared" si="3"/>
        <v>133920</v>
      </c>
      <c r="K8" s="163">
        <f t="shared" si="4"/>
        <v>475530</v>
      </c>
      <c r="L8" s="163">
        <f t="shared" si="5"/>
        <v>24470</v>
      </c>
      <c r="M8" s="163">
        <v>500000</v>
      </c>
    </row>
    <row r="9" spans="1:13" ht="37.5" customHeight="1">
      <c r="A9" s="159">
        <v>4</v>
      </c>
      <c r="B9" s="160" t="s">
        <v>171</v>
      </c>
      <c r="C9" s="161" t="s">
        <v>172</v>
      </c>
      <c r="D9" s="160" t="s">
        <v>163</v>
      </c>
      <c r="E9" s="162">
        <v>322</v>
      </c>
      <c r="F9" s="163">
        <f t="shared" si="0"/>
        <v>96.6</v>
      </c>
      <c r="G9" s="163">
        <f t="shared" si="1"/>
        <v>569940</v>
      </c>
      <c r="H9" s="164">
        <v>0</v>
      </c>
      <c r="I9" s="163">
        <f t="shared" si="2"/>
        <v>0</v>
      </c>
      <c r="J9" s="163">
        <f t="shared" si="3"/>
        <v>0</v>
      </c>
      <c r="K9" s="163">
        <f t="shared" si="4"/>
        <v>569940</v>
      </c>
      <c r="L9" s="163">
        <f t="shared" si="5"/>
        <v>430060</v>
      </c>
      <c r="M9" s="163">
        <v>1000000</v>
      </c>
    </row>
    <row r="10" spans="1:13" ht="37.5" customHeight="1">
      <c r="A10" s="159">
        <v>5</v>
      </c>
      <c r="B10" s="160" t="s">
        <v>174</v>
      </c>
      <c r="C10" s="161" t="s">
        <v>175</v>
      </c>
      <c r="D10" s="160" t="s">
        <v>174</v>
      </c>
      <c r="E10" s="162">
        <v>1092</v>
      </c>
      <c r="F10" s="163">
        <f t="shared" si="0"/>
        <v>327.60000000000002</v>
      </c>
      <c r="G10" s="163">
        <f t="shared" si="1"/>
        <v>1932840.0000000002</v>
      </c>
      <c r="H10" s="164">
        <v>0</v>
      </c>
      <c r="I10" s="163">
        <f t="shared" si="2"/>
        <v>0</v>
      </c>
      <c r="J10" s="163">
        <f t="shared" si="3"/>
        <v>0</v>
      </c>
      <c r="K10" s="163">
        <f t="shared" si="4"/>
        <v>1932840.0000000002</v>
      </c>
      <c r="L10" s="163">
        <f t="shared" si="5"/>
        <v>67159.999999999767</v>
      </c>
      <c r="M10" s="163">
        <v>2000000</v>
      </c>
    </row>
    <row r="11" spans="1:13" ht="37.5" customHeight="1">
      <c r="A11" s="159">
        <v>6</v>
      </c>
      <c r="B11" s="165" t="s">
        <v>179</v>
      </c>
      <c r="C11" s="159" t="s">
        <v>180</v>
      </c>
      <c r="D11" s="165" t="s">
        <v>181</v>
      </c>
      <c r="E11" s="162">
        <v>1400</v>
      </c>
      <c r="F11" s="163">
        <f t="shared" si="0"/>
        <v>420</v>
      </c>
      <c r="G11" s="163">
        <f t="shared" si="1"/>
        <v>2478000</v>
      </c>
      <c r="H11" s="164">
        <v>0</v>
      </c>
      <c r="I11" s="163">
        <f t="shared" si="2"/>
        <v>0</v>
      </c>
      <c r="J11" s="163">
        <f t="shared" si="3"/>
        <v>0</v>
      </c>
      <c r="K11" s="163">
        <f t="shared" si="4"/>
        <v>2478000</v>
      </c>
      <c r="L11" s="163">
        <f t="shared" si="5"/>
        <v>0</v>
      </c>
      <c r="M11" s="163">
        <v>2478000</v>
      </c>
    </row>
    <row r="12" spans="1:13" ht="37.5" customHeight="1">
      <c r="A12" s="159">
        <v>7</v>
      </c>
      <c r="B12" s="160" t="s">
        <v>186</v>
      </c>
      <c r="C12" s="161" t="s">
        <v>187</v>
      </c>
      <c r="D12" s="160" t="s">
        <v>188</v>
      </c>
      <c r="E12" s="162">
        <v>700</v>
      </c>
      <c r="F12" s="163">
        <f t="shared" si="0"/>
        <v>210</v>
      </c>
      <c r="G12" s="163">
        <f t="shared" si="1"/>
        <v>1239000</v>
      </c>
      <c r="H12" s="164">
        <v>0</v>
      </c>
      <c r="I12" s="163">
        <f t="shared" si="2"/>
        <v>0</v>
      </c>
      <c r="J12" s="163">
        <f t="shared" si="3"/>
        <v>0</v>
      </c>
      <c r="K12" s="163">
        <f t="shared" si="4"/>
        <v>1239000</v>
      </c>
      <c r="L12" s="163">
        <f t="shared" si="5"/>
        <v>0</v>
      </c>
      <c r="M12" s="163">
        <v>1239000</v>
      </c>
    </row>
    <row r="13" spans="1:13" ht="37.5" customHeight="1">
      <c r="A13" s="159">
        <v>8</v>
      </c>
      <c r="B13" s="160" t="s">
        <v>189</v>
      </c>
      <c r="C13" s="161" t="s">
        <v>190</v>
      </c>
      <c r="D13" s="160" t="s">
        <v>188</v>
      </c>
      <c r="E13" s="162">
        <v>840</v>
      </c>
      <c r="F13" s="163">
        <f t="shared" si="0"/>
        <v>252</v>
      </c>
      <c r="G13" s="163">
        <f t="shared" si="1"/>
        <v>1486800</v>
      </c>
      <c r="H13" s="164">
        <v>0</v>
      </c>
      <c r="I13" s="163">
        <f t="shared" si="2"/>
        <v>0</v>
      </c>
      <c r="J13" s="163">
        <f t="shared" si="3"/>
        <v>0</v>
      </c>
      <c r="K13" s="163">
        <f t="shared" si="4"/>
        <v>1486800</v>
      </c>
      <c r="L13" s="163">
        <f t="shared" si="5"/>
        <v>-800</v>
      </c>
      <c r="M13" s="163">
        <v>1486000</v>
      </c>
    </row>
    <row r="14" spans="1:13" ht="37.5" customHeight="1">
      <c r="A14" s="159">
        <v>9</v>
      </c>
      <c r="B14" s="160" t="s">
        <v>191</v>
      </c>
      <c r="C14" s="161" t="s">
        <v>192</v>
      </c>
      <c r="D14" s="160" t="s">
        <v>188</v>
      </c>
      <c r="E14" s="162">
        <v>700</v>
      </c>
      <c r="F14" s="163">
        <f t="shared" si="0"/>
        <v>210</v>
      </c>
      <c r="G14" s="163">
        <f t="shared" si="1"/>
        <v>1239000</v>
      </c>
      <c r="H14" s="164">
        <v>0</v>
      </c>
      <c r="I14" s="163">
        <f t="shared" si="2"/>
        <v>0</v>
      </c>
      <c r="J14" s="163">
        <f t="shared" si="3"/>
        <v>0</v>
      </c>
      <c r="K14" s="163">
        <f t="shared" si="4"/>
        <v>1239000</v>
      </c>
      <c r="L14" s="163">
        <f t="shared" si="5"/>
        <v>0</v>
      </c>
      <c r="M14" s="163">
        <v>1239000</v>
      </c>
    </row>
    <row r="15" spans="1:13" ht="37.5" customHeight="1">
      <c r="A15" s="159">
        <v>10</v>
      </c>
      <c r="B15" s="160" t="s">
        <v>196</v>
      </c>
      <c r="C15" s="161" t="s">
        <v>197</v>
      </c>
      <c r="D15" s="160" t="s">
        <v>198</v>
      </c>
      <c r="E15" s="162">
        <v>1018</v>
      </c>
      <c r="F15" s="163">
        <f t="shared" si="0"/>
        <v>305.39999999999998</v>
      </c>
      <c r="G15" s="163">
        <f t="shared" si="1"/>
        <v>1801859.9999999998</v>
      </c>
      <c r="H15" s="164">
        <v>496</v>
      </c>
      <c r="I15" s="163">
        <f t="shared" si="2"/>
        <v>148.80000000000001</v>
      </c>
      <c r="J15" s="163">
        <f t="shared" si="3"/>
        <v>922560.00000000012</v>
      </c>
      <c r="K15" s="163">
        <f t="shared" si="4"/>
        <v>2724420</v>
      </c>
      <c r="L15" s="163">
        <f t="shared" si="5"/>
        <v>-1724420</v>
      </c>
      <c r="M15" s="163">
        <v>1000000</v>
      </c>
    </row>
    <row r="16" spans="1:13" ht="37.5" customHeight="1">
      <c r="A16" s="159">
        <v>11</v>
      </c>
      <c r="B16" s="160" t="s">
        <v>199</v>
      </c>
      <c r="C16" s="161" t="s">
        <v>197</v>
      </c>
      <c r="D16" s="160" t="s">
        <v>198</v>
      </c>
      <c r="E16" s="162">
        <v>229</v>
      </c>
      <c r="F16" s="163">
        <f t="shared" si="0"/>
        <v>68.7</v>
      </c>
      <c r="G16" s="163">
        <f t="shared" si="1"/>
        <v>405330</v>
      </c>
      <c r="H16" s="164">
        <v>1073</v>
      </c>
      <c r="I16" s="163">
        <f t="shared" si="2"/>
        <v>321.89999999999998</v>
      </c>
      <c r="J16" s="163">
        <f t="shared" si="3"/>
        <v>1995779.9999999998</v>
      </c>
      <c r="K16" s="163">
        <f t="shared" si="4"/>
        <v>2401110</v>
      </c>
      <c r="L16" s="163">
        <f t="shared" si="5"/>
        <v>-1401110</v>
      </c>
      <c r="M16" s="163">
        <v>1000000</v>
      </c>
    </row>
    <row r="17" spans="1:13" ht="37.5" customHeight="1">
      <c r="A17" s="159">
        <v>12</v>
      </c>
      <c r="B17" s="160" t="s">
        <v>202</v>
      </c>
      <c r="C17" s="161" t="s">
        <v>203</v>
      </c>
      <c r="D17" s="160" t="s">
        <v>198</v>
      </c>
      <c r="E17" s="162">
        <v>1223</v>
      </c>
      <c r="F17" s="163">
        <f t="shared" si="0"/>
        <v>366.9</v>
      </c>
      <c r="G17" s="163">
        <f t="shared" si="1"/>
        <v>2164710</v>
      </c>
      <c r="H17" s="164">
        <v>122</v>
      </c>
      <c r="I17" s="163">
        <f t="shared" si="2"/>
        <v>36.6</v>
      </c>
      <c r="J17" s="163">
        <f t="shared" si="3"/>
        <v>226920</v>
      </c>
      <c r="K17" s="163">
        <f t="shared" si="4"/>
        <v>2391630</v>
      </c>
      <c r="L17" s="163">
        <f t="shared" si="5"/>
        <v>-1391630</v>
      </c>
      <c r="M17" s="163">
        <v>1000000</v>
      </c>
    </row>
    <row r="18" spans="1:13" ht="37.5" customHeight="1">
      <c r="A18" s="159">
        <v>13</v>
      </c>
      <c r="B18" s="160" t="s">
        <v>418</v>
      </c>
      <c r="C18" s="161" t="s">
        <v>206</v>
      </c>
      <c r="D18" s="160" t="s">
        <v>198</v>
      </c>
      <c r="E18" s="162">
        <v>256</v>
      </c>
      <c r="F18" s="163">
        <f t="shared" si="0"/>
        <v>76.8</v>
      </c>
      <c r="G18" s="163">
        <f t="shared" si="1"/>
        <v>453120</v>
      </c>
      <c r="H18" s="164">
        <v>559</v>
      </c>
      <c r="I18" s="163">
        <f t="shared" si="2"/>
        <v>167.7</v>
      </c>
      <c r="J18" s="163">
        <f t="shared" si="3"/>
        <v>1039739.9999999999</v>
      </c>
      <c r="K18" s="163">
        <f t="shared" si="4"/>
        <v>1492860</v>
      </c>
      <c r="L18" s="163">
        <f t="shared" si="5"/>
        <v>-492860</v>
      </c>
      <c r="M18" s="163">
        <v>1000000</v>
      </c>
    </row>
    <row r="19" spans="1:13" ht="37.5" customHeight="1">
      <c r="A19" s="159">
        <v>14</v>
      </c>
      <c r="B19" s="160" t="s">
        <v>207</v>
      </c>
      <c r="C19" s="161" t="s">
        <v>208</v>
      </c>
      <c r="D19" s="160" t="s">
        <v>198</v>
      </c>
      <c r="E19" s="162">
        <v>1058</v>
      </c>
      <c r="F19" s="163">
        <f t="shared" si="0"/>
        <v>317.39999999999998</v>
      </c>
      <c r="G19" s="163">
        <f t="shared" si="1"/>
        <v>1872659.9999999998</v>
      </c>
      <c r="H19" s="164">
        <v>120</v>
      </c>
      <c r="I19" s="163">
        <f t="shared" si="2"/>
        <v>36</v>
      </c>
      <c r="J19" s="163">
        <f t="shared" si="3"/>
        <v>223200</v>
      </c>
      <c r="K19" s="163">
        <f t="shared" si="4"/>
        <v>2095859.9999999998</v>
      </c>
      <c r="L19" s="163">
        <f t="shared" si="5"/>
        <v>-1095859.9999999998</v>
      </c>
      <c r="M19" s="163">
        <v>1000000</v>
      </c>
    </row>
    <row r="20" spans="1:13" ht="37.5" customHeight="1">
      <c r="A20" s="159">
        <v>15</v>
      </c>
      <c r="B20" s="160" t="s">
        <v>209</v>
      </c>
      <c r="C20" s="161" t="s">
        <v>210</v>
      </c>
      <c r="D20" s="160" t="s">
        <v>198</v>
      </c>
      <c r="E20" s="162">
        <v>842</v>
      </c>
      <c r="F20" s="163">
        <f t="shared" si="0"/>
        <v>252.6</v>
      </c>
      <c r="G20" s="163">
        <f t="shared" si="1"/>
        <v>1490340</v>
      </c>
      <c r="H20" s="164">
        <v>286</v>
      </c>
      <c r="I20" s="163">
        <f t="shared" si="2"/>
        <v>85.8</v>
      </c>
      <c r="J20" s="163">
        <f t="shared" si="3"/>
        <v>531960</v>
      </c>
      <c r="K20" s="163">
        <f t="shared" si="4"/>
        <v>2022300</v>
      </c>
      <c r="L20" s="163">
        <f t="shared" si="5"/>
        <v>-1022300</v>
      </c>
      <c r="M20" s="163">
        <v>1000000</v>
      </c>
    </row>
    <row r="21" spans="1:13" ht="37.5" customHeight="1">
      <c r="A21" s="159">
        <v>16</v>
      </c>
      <c r="B21" s="160" t="s">
        <v>419</v>
      </c>
      <c r="C21" s="161" t="s">
        <v>340</v>
      </c>
      <c r="D21" s="160" t="s">
        <v>214</v>
      </c>
      <c r="E21" s="162">
        <v>0</v>
      </c>
      <c r="F21" s="163">
        <f t="shared" si="0"/>
        <v>0</v>
      </c>
      <c r="G21" s="163">
        <f t="shared" si="1"/>
        <v>0</v>
      </c>
      <c r="H21" s="164">
        <v>0</v>
      </c>
      <c r="I21" s="163">
        <f t="shared" si="2"/>
        <v>0</v>
      </c>
      <c r="J21" s="163">
        <f t="shared" si="3"/>
        <v>0</v>
      </c>
      <c r="K21" s="163">
        <f t="shared" si="4"/>
        <v>0</v>
      </c>
      <c r="L21" s="163">
        <f t="shared" si="5"/>
        <v>200000</v>
      </c>
      <c r="M21" s="163">
        <v>200000</v>
      </c>
    </row>
    <row r="22" spans="1:13" ht="37.5" customHeight="1">
      <c r="A22" s="159">
        <v>17</v>
      </c>
      <c r="B22" s="160" t="s">
        <v>212</v>
      </c>
      <c r="C22" s="161" t="s">
        <v>213</v>
      </c>
      <c r="D22" s="160" t="s">
        <v>214</v>
      </c>
      <c r="E22" s="162">
        <v>1065</v>
      </c>
      <c r="F22" s="163">
        <f t="shared" si="0"/>
        <v>319.5</v>
      </c>
      <c r="G22" s="163">
        <f t="shared" si="1"/>
        <v>1885050</v>
      </c>
      <c r="H22" s="164">
        <v>0</v>
      </c>
      <c r="I22" s="163">
        <f t="shared" si="2"/>
        <v>0</v>
      </c>
      <c r="J22" s="163">
        <f t="shared" si="3"/>
        <v>0</v>
      </c>
      <c r="K22" s="163">
        <f t="shared" si="4"/>
        <v>1885050</v>
      </c>
      <c r="L22" s="163">
        <f t="shared" si="5"/>
        <v>14950</v>
      </c>
      <c r="M22" s="163">
        <v>1900000</v>
      </c>
    </row>
    <row r="23" spans="1:13" ht="37.5" customHeight="1">
      <c r="A23" s="159">
        <v>18</v>
      </c>
      <c r="B23" s="160" t="s">
        <v>215</v>
      </c>
      <c r="C23" s="161" t="s">
        <v>213</v>
      </c>
      <c r="D23" s="160" t="s">
        <v>214</v>
      </c>
      <c r="E23" s="162">
        <v>904</v>
      </c>
      <c r="F23" s="163">
        <f t="shared" si="0"/>
        <v>271.2</v>
      </c>
      <c r="G23" s="163">
        <f t="shared" si="1"/>
        <v>1600080</v>
      </c>
      <c r="H23" s="164">
        <v>0</v>
      </c>
      <c r="I23" s="163">
        <f t="shared" si="2"/>
        <v>0</v>
      </c>
      <c r="J23" s="163">
        <f t="shared" si="3"/>
        <v>0</v>
      </c>
      <c r="K23" s="163">
        <f t="shared" si="4"/>
        <v>1600080</v>
      </c>
      <c r="L23" s="163">
        <f t="shared" si="5"/>
        <v>-80</v>
      </c>
      <c r="M23" s="163">
        <v>1600000</v>
      </c>
    </row>
    <row r="24" spans="1:13" ht="37.5" customHeight="1">
      <c r="A24" s="159">
        <v>19</v>
      </c>
      <c r="B24" s="165" t="s">
        <v>216</v>
      </c>
      <c r="C24" s="159" t="s">
        <v>217</v>
      </c>
      <c r="D24" s="165" t="s">
        <v>218</v>
      </c>
      <c r="E24" s="162">
        <v>1512</v>
      </c>
      <c r="F24" s="163">
        <f t="shared" si="0"/>
        <v>453.6</v>
      </c>
      <c r="G24" s="163">
        <f t="shared" si="1"/>
        <v>2676240</v>
      </c>
      <c r="H24" s="164">
        <v>0</v>
      </c>
      <c r="I24" s="163">
        <f t="shared" si="2"/>
        <v>0</v>
      </c>
      <c r="J24" s="163">
        <f t="shared" si="3"/>
        <v>0</v>
      </c>
      <c r="K24" s="163">
        <f t="shared" si="4"/>
        <v>2676240</v>
      </c>
      <c r="L24" s="163">
        <f t="shared" si="5"/>
        <v>-176240</v>
      </c>
      <c r="M24" s="163">
        <v>2500000</v>
      </c>
    </row>
    <row r="25" spans="1:13" ht="37.5" customHeight="1">
      <c r="A25" s="159">
        <v>20</v>
      </c>
      <c r="B25" s="165" t="s">
        <v>221</v>
      </c>
      <c r="C25" s="159" t="s">
        <v>222</v>
      </c>
      <c r="D25" s="165" t="s">
        <v>218</v>
      </c>
      <c r="E25" s="162">
        <v>295</v>
      </c>
      <c r="F25" s="163">
        <f t="shared" si="0"/>
        <v>88.5</v>
      </c>
      <c r="G25" s="163">
        <f t="shared" si="1"/>
        <v>522150</v>
      </c>
      <c r="H25" s="164">
        <v>0</v>
      </c>
      <c r="I25" s="163">
        <f t="shared" si="2"/>
        <v>0</v>
      </c>
      <c r="J25" s="163">
        <f t="shared" si="3"/>
        <v>0</v>
      </c>
      <c r="K25" s="163">
        <f t="shared" si="4"/>
        <v>522150</v>
      </c>
      <c r="L25" s="163">
        <f t="shared" si="5"/>
        <v>177850</v>
      </c>
      <c r="M25" s="163">
        <v>700000</v>
      </c>
    </row>
    <row r="26" spans="1:13" ht="37.5" customHeight="1">
      <c r="A26" s="159">
        <v>21</v>
      </c>
      <c r="B26" s="165" t="s">
        <v>223</v>
      </c>
      <c r="C26" s="159" t="s">
        <v>224</v>
      </c>
      <c r="D26" s="165" t="s">
        <v>225</v>
      </c>
      <c r="E26" s="162">
        <v>565</v>
      </c>
      <c r="F26" s="163">
        <f t="shared" si="0"/>
        <v>169.5</v>
      </c>
      <c r="G26" s="163">
        <f t="shared" si="1"/>
        <v>1000050</v>
      </c>
      <c r="H26" s="164">
        <v>0</v>
      </c>
      <c r="I26" s="163">
        <f t="shared" si="2"/>
        <v>0</v>
      </c>
      <c r="J26" s="163">
        <f t="shared" si="3"/>
        <v>0</v>
      </c>
      <c r="K26" s="163">
        <f t="shared" si="4"/>
        <v>1000050</v>
      </c>
      <c r="L26" s="163">
        <f t="shared" si="5"/>
        <v>-50</v>
      </c>
      <c r="M26" s="163">
        <v>1000000</v>
      </c>
    </row>
    <row r="27" spans="1:13" ht="37.5" customHeight="1">
      <c r="A27" s="159">
        <v>22</v>
      </c>
      <c r="B27" s="165" t="s">
        <v>226</v>
      </c>
      <c r="C27" s="159" t="s">
        <v>177</v>
      </c>
      <c r="D27" s="165" t="s">
        <v>225</v>
      </c>
      <c r="E27" s="162">
        <v>517</v>
      </c>
      <c r="F27" s="163">
        <f t="shared" si="0"/>
        <v>155.1</v>
      </c>
      <c r="G27" s="163">
        <f t="shared" si="1"/>
        <v>915090</v>
      </c>
      <c r="H27" s="164">
        <v>46</v>
      </c>
      <c r="I27" s="163">
        <f t="shared" si="2"/>
        <v>13.8</v>
      </c>
      <c r="J27" s="163">
        <f t="shared" si="3"/>
        <v>85560</v>
      </c>
      <c r="K27" s="163">
        <f t="shared" si="4"/>
        <v>1000650</v>
      </c>
      <c r="L27" s="163">
        <f t="shared" si="5"/>
        <v>-650</v>
      </c>
      <c r="M27" s="163">
        <v>1000000</v>
      </c>
    </row>
    <row r="28" spans="1:13" ht="37.5" customHeight="1">
      <c r="A28" s="159">
        <v>23</v>
      </c>
      <c r="B28" s="165" t="s">
        <v>227</v>
      </c>
      <c r="C28" s="159" t="s">
        <v>228</v>
      </c>
      <c r="D28" s="165" t="s">
        <v>225</v>
      </c>
      <c r="E28" s="162">
        <v>451</v>
      </c>
      <c r="F28" s="163">
        <f t="shared" si="0"/>
        <v>135.30000000000001</v>
      </c>
      <c r="G28" s="163">
        <f t="shared" si="1"/>
        <v>798270.00000000012</v>
      </c>
      <c r="H28" s="164">
        <v>0</v>
      </c>
      <c r="I28" s="163">
        <f t="shared" si="2"/>
        <v>0</v>
      </c>
      <c r="J28" s="163">
        <f t="shared" si="3"/>
        <v>0</v>
      </c>
      <c r="K28" s="163">
        <f t="shared" si="4"/>
        <v>798270.00000000012</v>
      </c>
      <c r="L28" s="163">
        <f t="shared" si="5"/>
        <v>1729.9999999998836</v>
      </c>
      <c r="M28" s="163">
        <v>800000</v>
      </c>
    </row>
    <row r="29" spans="1:13" ht="37.5" customHeight="1">
      <c r="A29" s="159">
        <v>24</v>
      </c>
      <c r="B29" s="165" t="s">
        <v>420</v>
      </c>
      <c r="C29" s="159" t="s">
        <v>194</v>
      </c>
      <c r="D29" s="165" t="s">
        <v>421</v>
      </c>
      <c r="E29" s="162">
        <v>234</v>
      </c>
      <c r="F29" s="163">
        <f t="shared" si="0"/>
        <v>70.2</v>
      </c>
      <c r="G29" s="163">
        <f t="shared" si="1"/>
        <v>414180</v>
      </c>
      <c r="H29" s="164">
        <v>0</v>
      </c>
      <c r="I29" s="163">
        <f t="shared" si="2"/>
        <v>0</v>
      </c>
      <c r="J29" s="163">
        <f t="shared" si="3"/>
        <v>0</v>
      </c>
      <c r="K29" s="163">
        <f t="shared" si="4"/>
        <v>414180</v>
      </c>
      <c r="L29" s="163">
        <f t="shared" si="5"/>
        <v>85820</v>
      </c>
      <c r="M29" s="163">
        <v>500000</v>
      </c>
    </row>
    <row r="30" spans="1:13" ht="37.5" customHeight="1">
      <c r="A30" s="159">
        <v>25</v>
      </c>
      <c r="B30" s="165" t="s">
        <v>422</v>
      </c>
      <c r="C30" s="159" t="s">
        <v>246</v>
      </c>
      <c r="D30" s="165" t="s">
        <v>421</v>
      </c>
      <c r="E30" s="162">
        <v>282</v>
      </c>
      <c r="F30" s="163">
        <f t="shared" si="0"/>
        <v>84.6</v>
      </c>
      <c r="G30" s="163">
        <f t="shared" si="1"/>
        <v>499139.99999999994</v>
      </c>
      <c r="H30" s="164">
        <v>0</v>
      </c>
      <c r="I30" s="163">
        <f t="shared" si="2"/>
        <v>0</v>
      </c>
      <c r="J30" s="163">
        <f t="shared" si="3"/>
        <v>0</v>
      </c>
      <c r="K30" s="163">
        <f t="shared" si="4"/>
        <v>499139.99999999994</v>
      </c>
      <c r="L30" s="163">
        <f t="shared" si="5"/>
        <v>860.00000000005821</v>
      </c>
      <c r="M30" s="163">
        <v>500000</v>
      </c>
    </row>
    <row r="31" spans="1:13" ht="37.5" customHeight="1">
      <c r="A31" s="159">
        <v>26</v>
      </c>
      <c r="B31" s="165" t="s">
        <v>423</v>
      </c>
      <c r="C31" s="159" t="s">
        <v>340</v>
      </c>
      <c r="D31" s="165" t="s">
        <v>421</v>
      </c>
      <c r="E31" s="162">
        <v>170</v>
      </c>
      <c r="F31" s="163">
        <f t="shared" si="0"/>
        <v>51</v>
      </c>
      <c r="G31" s="163">
        <f t="shared" si="1"/>
        <v>300900</v>
      </c>
      <c r="H31" s="164">
        <v>0</v>
      </c>
      <c r="I31" s="163">
        <f t="shared" si="2"/>
        <v>0</v>
      </c>
      <c r="J31" s="163">
        <f t="shared" si="3"/>
        <v>0</v>
      </c>
      <c r="K31" s="163">
        <f t="shared" si="4"/>
        <v>300900</v>
      </c>
      <c r="L31" s="163">
        <f t="shared" si="5"/>
        <v>-900</v>
      </c>
      <c r="M31" s="163">
        <v>300000</v>
      </c>
    </row>
    <row r="32" spans="1:13" ht="37.5" customHeight="1">
      <c r="A32" s="159">
        <v>27</v>
      </c>
      <c r="B32" s="160" t="s">
        <v>229</v>
      </c>
      <c r="C32" s="161" t="s">
        <v>213</v>
      </c>
      <c r="D32" s="160" t="s">
        <v>230</v>
      </c>
      <c r="E32" s="162">
        <v>1602</v>
      </c>
      <c r="F32" s="163">
        <f t="shared" si="0"/>
        <v>480.6</v>
      </c>
      <c r="G32" s="163">
        <f t="shared" si="1"/>
        <v>2835540</v>
      </c>
      <c r="H32" s="164">
        <v>0</v>
      </c>
      <c r="I32" s="163">
        <f t="shared" si="2"/>
        <v>0</v>
      </c>
      <c r="J32" s="163">
        <f t="shared" si="3"/>
        <v>0</v>
      </c>
      <c r="K32" s="163">
        <f t="shared" si="4"/>
        <v>2835540</v>
      </c>
      <c r="L32" s="163">
        <f t="shared" si="5"/>
        <v>-35540</v>
      </c>
      <c r="M32" s="163">
        <v>2800000</v>
      </c>
    </row>
    <row r="33" spans="1:13" ht="37.5" customHeight="1">
      <c r="A33" s="159">
        <v>28</v>
      </c>
      <c r="B33" s="165" t="s">
        <v>231</v>
      </c>
      <c r="C33" s="159" t="s">
        <v>232</v>
      </c>
      <c r="D33" s="165" t="s">
        <v>233</v>
      </c>
      <c r="E33" s="162">
        <v>0</v>
      </c>
      <c r="F33" s="163">
        <f t="shared" si="0"/>
        <v>0</v>
      </c>
      <c r="G33" s="163">
        <f t="shared" si="1"/>
        <v>0</v>
      </c>
      <c r="H33" s="164">
        <v>0</v>
      </c>
      <c r="I33" s="163">
        <f t="shared" si="2"/>
        <v>0</v>
      </c>
      <c r="J33" s="163">
        <f t="shared" si="3"/>
        <v>0</v>
      </c>
      <c r="K33" s="163">
        <f t="shared" si="4"/>
        <v>0</v>
      </c>
      <c r="L33" s="163">
        <f t="shared" si="5"/>
        <v>200000</v>
      </c>
      <c r="M33" s="163">
        <v>200000</v>
      </c>
    </row>
    <row r="34" spans="1:13" ht="37.5" customHeight="1">
      <c r="A34" s="159">
        <v>29</v>
      </c>
      <c r="B34" s="160" t="s">
        <v>234</v>
      </c>
      <c r="C34" s="161" t="s">
        <v>235</v>
      </c>
      <c r="D34" s="160" t="s">
        <v>236</v>
      </c>
      <c r="E34" s="162">
        <v>1879</v>
      </c>
      <c r="F34" s="163">
        <f t="shared" si="0"/>
        <v>563.70000000000005</v>
      </c>
      <c r="G34" s="163">
        <f t="shared" si="1"/>
        <v>3325830.0000000005</v>
      </c>
      <c r="H34" s="164">
        <v>0</v>
      </c>
      <c r="I34" s="163">
        <f t="shared" si="2"/>
        <v>0</v>
      </c>
      <c r="J34" s="163">
        <f t="shared" si="3"/>
        <v>0</v>
      </c>
      <c r="K34" s="163">
        <f t="shared" si="4"/>
        <v>3325830.0000000005</v>
      </c>
      <c r="L34" s="163">
        <f t="shared" si="5"/>
        <v>674169.99999999953</v>
      </c>
      <c r="M34" s="163">
        <v>4000000</v>
      </c>
    </row>
    <row r="35" spans="1:13" ht="37.5" customHeight="1">
      <c r="A35" s="159">
        <v>30</v>
      </c>
      <c r="B35" s="160" t="s">
        <v>237</v>
      </c>
      <c r="C35" s="161" t="s">
        <v>238</v>
      </c>
      <c r="D35" s="160" t="s">
        <v>236</v>
      </c>
      <c r="E35" s="162">
        <v>385</v>
      </c>
      <c r="F35" s="163">
        <f t="shared" si="0"/>
        <v>115.5</v>
      </c>
      <c r="G35" s="163">
        <f t="shared" si="1"/>
        <v>681450</v>
      </c>
      <c r="H35" s="164">
        <v>0</v>
      </c>
      <c r="I35" s="163">
        <f t="shared" si="2"/>
        <v>0</v>
      </c>
      <c r="J35" s="163">
        <f t="shared" si="3"/>
        <v>0</v>
      </c>
      <c r="K35" s="163">
        <f t="shared" si="4"/>
        <v>681450</v>
      </c>
      <c r="L35" s="163">
        <f t="shared" si="5"/>
        <v>168550</v>
      </c>
      <c r="M35" s="163">
        <v>850000</v>
      </c>
    </row>
    <row r="36" spans="1:13" ht="37.5" customHeight="1">
      <c r="A36" s="159">
        <v>31</v>
      </c>
      <c r="B36" s="160" t="s">
        <v>239</v>
      </c>
      <c r="C36" s="161" t="s">
        <v>240</v>
      </c>
      <c r="D36" s="160" t="s">
        <v>236</v>
      </c>
      <c r="E36" s="162">
        <v>534</v>
      </c>
      <c r="F36" s="163">
        <f t="shared" si="0"/>
        <v>160.19999999999999</v>
      </c>
      <c r="G36" s="163">
        <f t="shared" si="1"/>
        <v>945179.99999999988</v>
      </c>
      <c r="H36" s="164">
        <v>0</v>
      </c>
      <c r="I36" s="163">
        <f t="shared" si="2"/>
        <v>0</v>
      </c>
      <c r="J36" s="163">
        <f t="shared" si="3"/>
        <v>0</v>
      </c>
      <c r="K36" s="163">
        <f t="shared" si="4"/>
        <v>945179.99999999988</v>
      </c>
      <c r="L36" s="163">
        <f t="shared" si="5"/>
        <v>274820.00000000012</v>
      </c>
      <c r="M36" s="163">
        <v>1220000</v>
      </c>
    </row>
    <row r="37" spans="1:13" ht="37.5" customHeight="1">
      <c r="A37" s="159">
        <v>32</v>
      </c>
      <c r="B37" s="165" t="s">
        <v>241</v>
      </c>
      <c r="C37" s="159" t="s">
        <v>242</v>
      </c>
      <c r="D37" s="165" t="s">
        <v>236</v>
      </c>
      <c r="E37" s="162">
        <v>301</v>
      </c>
      <c r="F37" s="163">
        <f t="shared" si="0"/>
        <v>90.3</v>
      </c>
      <c r="G37" s="163">
        <f t="shared" si="1"/>
        <v>532770</v>
      </c>
      <c r="H37" s="164">
        <v>0</v>
      </c>
      <c r="I37" s="163">
        <f t="shared" si="2"/>
        <v>0</v>
      </c>
      <c r="J37" s="163">
        <f t="shared" si="3"/>
        <v>0</v>
      </c>
      <c r="K37" s="163">
        <f t="shared" si="4"/>
        <v>532770</v>
      </c>
      <c r="L37" s="163">
        <f t="shared" si="5"/>
        <v>167230</v>
      </c>
      <c r="M37" s="163">
        <v>700000</v>
      </c>
    </row>
    <row r="38" spans="1:13" ht="37.5" customHeight="1">
      <c r="A38" s="159">
        <v>33</v>
      </c>
      <c r="B38" s="160" t="s">
        <v>243</v>
      </c>
      <c r="C38" s="161" t="s">
        <v>224</v>
      </c>
      <c r="D38" s="160" t="s">
        <v>236</v>
      </c>
      <c r="E38" s="162">
        <v>449</v>
      </c>
      <c r="F38" s="163">
        <f t="shared" si="0"/>
        <v>134.69999999999999</v>
      </c>
      <c r="G38" s="163">
        <f t="shared" si="1"/>
        <v>794729.99999999988</v>
      </c>
      <c r="H38" s="164">
        <v>0</v>
      </c>
      <c r="I38" s="163">
        <f t="shared" si="2"/>
        <v>0</v>
      </c>
      <c r="J38" s="163">
        <f t="shared" si="3"/>
        <v>0</v>
      </c>
      <c r="K38" s="163">
        <f t="shared" si="4"/>
        <v>794729.99999999988</v>
      </c>
      <c r="L38" s="163">
        <f t="shared" si="5"/>
        <v>235270.00000000012</v>
      </c>
      <c r="M38" s="163">
        <v>1030000</v>
      </c>
    </row>
    <row r="39" spans="1:13" ht="37.5" customHeight="1">
      <c r="A39" s="159">
        <v>34</v>
      </c>
      <c r="B39" s="160" t="s">
        <v>244</v>
      </c>
      <c r="C39" s="161" t="s">
        <v>175</v>
      </c>
      <c r="D39" s="160" t="s">
        <v>236</v>
      </c>
      <c r="E39" s="162">
        <v>294</v>
      </c>
      <c r="F39" s="163">
        <f t="shared" si="0"/>
        <v>88.2</v>
      </c>
      <c r="G39" s="163">
        <f t="shared" si="1"/>
        <v>520380</v>
      </c>
      <c r="H39" s="164">
        <v>0</v>
      </c>
      <c r="I39" s="163">
        <f t="shared" si="2"/>
        <v>0</v>
      </c>
      <c r="J39" s="163">
        <f t="shared" si="3"/>
        <v>0</v>
      </c>
      <c r="K39" s="163">
        <f t="shared" si="4"/>
        <v>520380</v>
      </c>
      <c r="L39" s="163">
        <f t="shared" si="5"/>
        <v>-220380</v>
      </c>
      <c r="M39" s="163">
        <v>300000</v>
      </c>
    </row>
    <row r="40" spans="1:13" ht="37.5" customHeight="1">
      <c r="A40" s="159">
        <v>35</v>
      </c>
      <c r="B40" s="165" t="s">
        <v>245</v>
      </c>
      <c r="C40" s="159" t="s">
        <v>246</v>
      </c>
      <c r="D40" s="165" t="s">
        <v>247</v>
      </c>
      <c r="E40" s="162">
        <v>100</v>
      </c>
      <c r="F40" s="163">
        <f t="shared" si="0"/>
        <v>30</v>
      </c>
      <c r="G40" s="163">
        <f t="shared" si="1"/>
        <v>177000</v>
      </c>
      <c r="H40" s="164">
        <v>12</v>
      </c>
      <c r="I40" s="163">
        <f t="shared" si="2"/>
        <v>3.6</v>
      </c>
      <c r="J40" s="163">
        <f t="shared" si="3"/>
        <v>22320</v>
      </c>
      <c r="K40" s="163">
        <f t="shared" si="4"/>
        <v>199320</v>
      </c>
      <c r="L40" s="163">
        <f t="shared" si="5"/>
        <v>680</v>
      </c>
      <c r="M40" s="163">
        <v>200000</v>
      </c>
    </row>
    <row r="41" spans="1:13" ht="37.5" customHeight="1">
      <c r="A41" s="159">
        <v>36</v>
      </c>
      <c r="B41" s="165" t="s">
        <v>248</v>
      </c>
      <c r="C41" s="159" t="s">
        <v>249</v>
      </c>
      <c r="D41" s="165" t="s">
        <v>247</v>
      </c>
      <c r="E41" s="162">
        <v>110</v>
      </c>
      <c r="F41" s="163">
        <f t="shared" si="0"/>
        <v>33</v>
      </c>
      <c r="G41" s="163">
        <f t="shared" si="1"/>
        <v>194700</v>
      </c>
      <c r="H41" s="164">
        <v>0</v>
      </c>
      <c r="I41" s="163">
        <f t="shared" si="2"/>
        <v>0</v>
      </c>
      <c r="J41" s="163">
        <f t="shared" si="3"/>
        <v>0</v>
      </c>
      <c r="K41" s="163">
        <f t="shared" si="4"/>
        <v>194700</v>
      </c>
      <c r="L41" s="163">
        <f t="shared" si="5"/>
        <v>5300</v>
      </c>
      <c r="M41" s="163">
        <v>200000</v>
      </c>
    </row>
    <row r="42" spans="1:13" ht="37.5" customHeight="1">
      <c r="A42" s="159">
        <v>37</v>
      </c>
      <c r="B42" s="159" t="s">
        <v>250</v>
      </c>
      <c r="C42" s="159" t="s">
        <v>240</v>
      </c>
      <c r="D42" s="159" t="s">
        <v>251</v>
      </c>
      <c r="E42" s="162">
        <v>883</v>
      </c>
      <c r="F42" s="163">
        <f t="shared" si="0"/>
        <v>264.89999999999998</v>
      </c>
      <c r="G42" s="163">
        <f t="shared" si="1"/>
        <v>1562909.9999999998</v>
      </c>
      <c r="H42" s="164">
        <v>0</v>
      </c>
      <c r="I42" s="163">
        <f t="shared" si="2"/>
        <v>0</v>
      </c>
      <c r="J42" s="163">
        <f t="shared" si="3"/>
        <v>0</v>
      </c>
      <c r="K42" s="163">
        <f t="shared" si="4"/>
        <v>1562909.9999999998</v>
      </c>
      <c r="L42" s="163">
        <f t="shared" si="5"/>
        <v>437090.00000000023</v>
      </c>
      <c r="M42" s="163">
        <v>2000000</v>
      </c>
    </row>
    <row r="43" spans="1:13" ht="37.5" customHeight="1">
      <c r="A43" s="159">
        <v>38</v>
      </c>
      <c r="B43" s="165" t="s">
        <v>253</v>
      </c>
      <c r="C43" s="159" t="s">
        <v>254</v>
      </c>
      <c r="D43" s="165" t="s">
        <v>251</v>
      </c>
      <c r="E43" s="162">
        <v>252</v>
      </c>
      <c r="F43" s="163">
        <f t="shared" si="0"/>
        <v>75.599999999999994</v>
      </c>
      <c r="G43" s="163">
        <f t="shared" si="1"/>
        <v>446039.99999999994</v>
      </c>
      <c r="H43" s="164">
        <v>0</v>
      </c>
      <c r="I43" s="163">
        <f t="shared" si="2"/>
        <v>0</v>
      </c>
      <c r="J43" s="163">
        <f t="shared" si="3"/>
        <v>0</v>
      </c>
      <c r="K43" s="163">
        <f t="shared" si="4"/>
        <v>446039.99999999994</v>
      </c>
      <c r="L43" s="163">
        <f t="shared" si="5"/>
        <v>53960.000000000058</v>
      </c>
      <c r="M43" s="163">
        <v>500000</v>
      </c>
    </row>
    <row r="44" spans="1:13" ht="37.5" customHeight="1">
      <c r="A44" s="159">
        <v>39</v>
      </c>
      <c r="B44" s="165" t="s">
        <v>255</v>
      </c>
      <c r="C44" s="159" t="s">
        <v>235</v>
      </c>
      <c r="D44" s="165" t="s">
        <v>251</v>
      </c>
      <c r="E44" s="162">
        <v>567</v>
      </c>
      <c r="F44" s="163">
        <f t="shared" si="0"/>
        <v>170.1</v>
      </c>
      <c r="G44" s="163">
        <f t="shared" si="1"/>
        <v>1003590</v>
      </c>
      <c r="H44" s="164">
        <v>0</v>
      </c>
      <c r="I44" s="163">
        <f t="shared" si="2"/>
        <v>0</v>
      </c>
      <c r="J44" s="163">
        <f t="shared" si="3"/>
        <v>0</v>
      </c>
      <c r="K44" s="163">
        <f t="shared" si="4"/>
        <v>1003590</v>
      </c>
      <c r="L44" s="163">
        <f t="shared" si="5"/>
        <v>1496410</v>
      </c>
      <c r="M44" s="163">
        <v>2500000</v>
      </c>
    </row>
    <row r="45" spans="1:13" ht="37.5" customHeight="1">
      <c r="A45" s="159">
        <v>40</v>
      </c>
      <c r="B45" s="165" t="s">
        <v>256</v>
      </c>
      <c r="C45" s="159" t="s">
        <v>228</v>
      </c>
      <c r="D45" s="165" t="s">
        <v>251</v>
      </c>
      <c r="E45" s="162">
        <v>237</v>
      </c>
      <c r="F45" s="163">
        <f t="shared" si="0"/>
        <v>71.099999999999994</v>
      </c>
      <c r="G45" s="163">
        <f t="shared" si="1"/>
        <v>419489.99999999994</v>
      </c>
      <c r="H45" s="164">
        <v>0</v>
      </c>
      <c r="I45" s="163">
        <f t="shared" si="2"/>
        <v>0</v>
      </c>
      <c r="J45" s="163">
        <f t="shared" si="3"/>
        <v>0</v>
      </c>
      <c r="K45" s="163">
        <f t="shared" si="4"/>
        <v>419489.99999999994</v>
      </c>
      <c r="L45" s="163">
        <f t="shared" si="5"/>
        <v>80510.000000000058</v>
      </c>
      <c r="M45" s="163">
        <v>500000</v>
      </c>
    </row>
    <row r="46" spans="1:13" ht="37.5" customHeight="1">
      <c r="A46" s="159">
        <v>41</v>
      </c>
      <c r="B46" s="159" t="s">
        <v>257</v>
      </c>
      <c r="C46" s="159" t="s">
        <v>164</v>
      </c>
      <c r="D46" s="159" t="s">
        <v>258</v>
      </c>
      <c r="E46" s="162">
        <v>0</v>
      </c>
      <c r="F46" s="163">
        <f t="shared" si="0"/>
        <v>0</v>
      </c>
      <c r="G46" s="163">
        <f t="shared" si="1"/>
        <v>0</v>
      </c>
      <c r="H46" s="164">
        <v>94</v>
      </c>
      <c r="I46" s="163">
        <f t="shared" si="2"/>
        <v>28.2</v>
      </c>
      <c r="J46" s="163">
        <f t="shared" si="3"/>
        <v>174840</v>
      </c>
      <c r="K46" s="163">
        <f t="shared" si="4"/>
        <v>174840</v>
      </c>
      <c r="L46" s="163">
        <f t="shared" si="5"/>
        <v>225160</v>
      </c>
      <c r="M46" s="163">
        <v>400000</v>
      </c>
    </row>
    <row r="47" spans="1:13" ht="37.5" customHeight="1">
      <c r="A47" s="159">
        <v>42</v>
      </c>
      <c r="B47" s="159" t="s">
        <v>259</v>
      </c>
      <c r="C47" s="159" t="s">
        <v>260</v>
      </c>
      <c r="D47" s="159" t="s">
        <v>258</v>
      </c>
      <c r="E47" s="162">
        <v>0</v>
      </c>
      <c r="F47" s="163">
        <f t="shared" si="0"/>
        <v>0</v>
      </c>
      <c r="G47" s="163">
        <f t="shared" si="1"/>
        <v>0</v>
      </c>
      <c r="H47" s="164">
        <v>86</v>
      </c>
      <c r="I47" s="163">
        <f t="shared" si="2"/>
        <v>25.8</v>
      </c>
      <c r="J47" s="163">
        <f t="shared" si="3"/>
        <v>159960</v>
      </c>
      <c r="K47" s="163">
        <f t="shared" si="4"/>
        <v>159960</v>
      </c>
      <c r="L47" s="163">
        <f t="shared" si="5"/>
        <v>340040</v>
      </c>
      <c r="M47" s="163">
        <v>500000</v>
      </c>
    </row>
    <row r="48" spans="1:13" ht="37.5" customHeight="1">
      <c r="A48" s="159">
        <v>43</v>
      </c>
      <c r="B48" s="165" t="s">
        <v>261</v>
      </c>
      <c r="C48" s="159" t="s">
        <v>262</v>
      </c>
      <c r="D48" s="165" t="s">
        <v>258</v>
      </c>
      <c r="E48" s="162">
        <v>0</v>
      </c>
      <c r="F48" s="163">
        <f t="shared" si="0"/>
        <v>0</v>
      </c>
      <c r="G48" s="163">
        <f t="shared" si="1"/>
        <v>0</v>
      </c>
      <c r="H48" s="164">
        <v>67</v>
      </c>
      <c r="I48" s="163">
        <f t="shared" si="2"/>
        <v>20.100000000000001</v>
      </c>
      <c r="J48" s="163">
        <f t="shared" si="3"/>
        <v>124620.00000000001</v>
      </c>
      <c r="K48" s="163">
        <f t="shared" si="4"/>
        <v>124620.00000000001</v>
      </c>
      <c r="L48" s="163">
        <f t="shared" si="5"/>
        <v>175380</v>
      </c>
      <c r="M48" s="163">
        <v>300000</v>
      </c>
    </row>
    <row r="49" spans="1:13" ht="37.5" customHeight="1">
      <c r="A49" s="159">
        <v>44</v>
      </c>
      <c r="B49" s="165" t="s">
        <v>263</v>
      </c>
      <c r="C49" s="159" t="s">
        <v>264</v>
      </c>
      <c r="D49" s="165" t="s">
        <v>265</v>
      </c>
      <c r="E49" s="162">
        <v>396</v>
      </c>
      <c r="F49" s="163">
        <f t="shared" si="0"/>
        <v>118.8</v>
      </c>
      <c r="G49" s="163">
        <f t="shared" si="1"/>
        <v>700920</v>
      </c>
      <c r="H49" s="164">
        <v>0</v>
      </c>
      <c r="I49" s="163">
        <f t="shared" si="2"/>
        <v>0</v>
      </c>
      <c r="J49" s="163">
        <f t="shared" si="3"/>
        <v>0</v>
      </c>
      <c r="K49" s="163">
        <f t="shared" si="4"/>
        <v>700920</v>
      </c>
      <c r="L49" s="163">
        <f t="shared" si="5"/>
        <v>199080</v>
      </c>
      <c r="M49" s="163">
        <v>900000</v>
      </c>
    </row>
    <row r="50" spans="1:13" ht="37.5" customHeight="1">
      <c r="A50" s="159">
        <v>45</v>
      </c>
      <c r="B50" s="165" t="s">
        <v>266</v>
      </c>
      <c r="C50" s="159" t="s">
        <v>208</v>
      </c>
      <c r="D50" s="165" t="s">
        <v>265</v>
      </c>
      <c r="E50" s="162">
        <v>96</v>
      </c>
      <c r="F50" s="163">
        <f t="shared" si="0"/>
        <v>28.8</v>
      </c>
      <c r="G50" s="163">
        <f t="shared" si="1"/>
        <v>169920</v>
      </c>
      <c r="H50" s="164">
        <v>0</v>
      </c>
      <c r="I50" s="163">
        <f t="shared" si="2"/>
        <v>0</v>
      </c>
      <c r="J50" s="163">
        <f t="shared" si="3"/>
        <v>0</v>
      </c>
      <c r="K50" s="163">
        <f t="shared" si="4"/>
        <v>169920</v>
      </c>
      <c r="L50" s="163">
        <f t="shared" si="5"/>
        <v>330080</v>
      </c>
      <c r="M50" s="163">
        <v>500000</v>
      </c>
    </row>
    <row r="51" spans="1:13" ht="37.5" customHeight="1">
      <c r="A51" s="159">
        <v>46</v>
      </c>
      <c r="B51" s="165" t="s">
        <v>424</v>
      </c>
      <c r="C51" s="159" t="s">
        <v>425</v>
      </c>
      <c r="D51" s="165" t="s">
        <v>426</v>
      </c>
      <c r="E51" s="162">
        <v>1521</v>
      </c>
      <c r="F51" s="163">
        <f t="shared" si="0"/>
        <v>456.3</v>
      </c>
      <c r="G51" s="163">
        <f t="shared" si="1"/>
        <v>2692170</v>
      </c>
      <c r="H51" s="164">
        <v>0</v>
      </c>
      <c r="I51" s="163">
        <f t="shared" si="2"/>
        <v>0</v>
      </c>
      <c r="J51" s="163">
        <f t="shared" si="3"/>
        <v>0</v>
      </c>
      <c r="K51" s="163">
        <f t="shared" si="4"/>
        <v>2692170</v>
      </c>
      <c r="L51" s="163">
        <f t="shared" si="5"/>
        <v>-1770</v>
      </c>
      <c r="M51" s="163">
        <v>2690400</v>
      </c>
    </row>
    <row r="52" spans="1:13" ht="37.5" customHeight="1">
      <c r="A52" s="159">
        <v>47</v>
      </c>
      <c r="B52" s="160" t="s">
        <v>176</v>
      </c>
      <c r="C52" s="166" t="s">
        <v>177</v>
      </c>
      <c r="D52" s="160" t="s">
        <v>427</v>
      </c>
      <c r="E52" s="162">
        <v>922</v>
      </c>
      <c r="F52" s="163">
        <f t="shared" si="0"/>
        <v>276.60000000000002</v>
      </c>
      <c r="G52" s="163">
        <f t="shared" si="1"/>
        <v>1631940.0000000002</v>
      </c>
      <c r="H52" s="164">
        <v>45</v>
      </c>
      <c r="I52" s="163">
        <f t="shared" si="2"/>
        <v>13.5</v>
      </c>
      <c r="J52" s="163">
        <f t="shared" si="3"/>
        <v>83700</v>
      </c>
      <c r="K52" s="163">
        <f t="shared" si="4"/>
        <v>1715640.0000000002</v>
      </c>
      <c r="L52" s="163">
        <f t="shared" si="5"/>
        <v>-115640.00000000023</v>
      </c>
      <c r="M52" s="163">
        <v>1600000</v>
      </c>
    </row>
    <row r="53" spans="1:13" ht="37.5" customHeight="1">
      <c r="A53" s="159">
        <v>48</v>
      </c>
      <c r="B53" s="165" t="s">
        <v>193</v>
      </c>
      <c r="C53" s="159" t="s">
        <v>194</v>
      </c>
      <c r="D53" s="165" t="s">
        <v>195</v>
      </c>
      <c r="E53" s="162">
        <v>106</v>
      </c>
      <c r="F53" s="163">
        <f t="shared" si="0"/>
        <v>31.8</v>
      </c>
      <c r="G53" s="163">
        <f t="shared" si="1"/>
        <v>187620</v>
      </c>
      <c r="H53" s="164">
        <v>0</v>
      </c>
      <c r="I53" s="163">
        <f t="shared" si="2"/>
        <v>0</v>
      </c>
      <c r="J53" s="163">
        <f t="shared" si="3"/>
        <v>0</v>
      </c>
      <c r="K53" s="163">
        <f t="shared" si="4"/>
        <v>187620</v>
      </c>
      <c r="L53" s="163">
        <f t="shared" si="5"/>
        <v>312380</v>
      </c>
      <c r="M53" s="163">
        <v>500000</v>
      </c>
    </row>
    <row r="54" spans="1:13" ht="37.5" customHeight="1">
      <c r="A54" s="289" t="s">
        <v>121</v>
      </c>
      <c r="B54" s="289"/>
      <c r="C54" s="289"/>
      <c r="D54" s="289"/>
      <c r="E54" s="167">
        <f>SUM(E6:E53)</f>
        <v>27075</v>
      </c>
      <c r="F54" s="168">
        <f t="shared" ref="F54:M54" si="6">SUM(F6:F53)</f>
        <v>8122.5000000000027</v>
      </c>
      <c r="G54" s="168">
        <f>SUM(G6:G53)</f>
        <v>47922750</v>
      </c>
      <c r="H54" s="169">
        <f t="shared" ref="H54:L54" si="7">SUM(H6:H53)</f>
        <v>3194</v>
      </c>
      <c r="I54" s="168">
        <f t="shared" si="7"/>
        <v>958.2</v>
      </c>
      <c r="J54" s="168">
        <f t="shared" si="7"/>
        <v>5940840</v>
      </c>
      <c r="K54" s="168">
        <f t="shared" si="7"/>
        <v>53863590</v>
      </c>
      <c r="L54" s="168">
        <f t="shared" si="7"/>
        <v>-1031190.0000000002</v>
      </c>
      <c r="M54" s="168">
        <f t="shared" si="6"/>
        <v>52832400</v>
      </c>
    </row>
    <row r="55" spans="1:13">
      <c r="F55" s="170"/>
      <c r="H55">
        <f>E54+H54</f>
        <v>30269</v>
      </c>
    </row>
  </sheetData>
  <mergeCells count="12">
    <mergeCell ref="M3:M4"/>
    <mergeCell ref="A54:D54"/>
    <mergeCell ref="A1:M1"/>
    <mergeCell ref="A2:M2"/>
    <mergeCell ref="A3:A4"/>
    <mergeCell ref="B3:B4"/>
    <mergeCell ref="C3:C4"/>
    <mergeCell ref="D3:D4"/>
    <mergeCell ref="E3:G3"/>
    <mergeCell ref="H3:J3"/>
    <mergeCell ref="K3:K4"/>
    <mergeCell ref="L3:L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58"/>
  <sheetViews>
    <sheetView tabSelected="1" workbookViewId="0">
      <selection sqref="A1:Q58"/>
    </sheetView>
  </sheetViews>
  <sheetFormatPr defaultRowHeight="15"/>
  <cols>
    <col min="1" max="1" width="7.625" customWidth="1"/>
    <col min="2" max="2" width="21.75" customWidth="1"/>
    <col min="4" max="4" width="18" customWidth="1"/>
  </cols>
  <sheetData>
    <row r="1" spans="1:17" ht="18">
      <c r="A1" s="290" t="s">
        <v>403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1:17" ht="18">
      <c r="A2" s="291" t="s">
        <v>428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</row>
    <row r="3" spans="1:17" ht="38.25">
      <c r="A3" s="288" t="s">
        <v>404</v>
      </c>
      <c r="B3" s="288" t="s">
        <v>154</v>
      </c>
      <c r="C3" s="288" t="s">
        <v>32</v>
      </c>
      <c r="D3" s="288" t="s">
        <v>156</v>
      </c>
      <c r="E3" s="293" t="s">
        <v>429</v>
      </c>
      <c r="F3" s="294"/>
      <c r="G3" s="295"/>
      <c r="H3" s="158" t="s">
        <v>430</v>
      </c>
      <c r="I3" s="158" t="s">
        <v>431</v>
      </c>
      <c r="J3" s="293" t="s">
        <v>406</v>
      </c>
      <c r="K3" s="294"/>
      <c r="L3" s="295"/>
      <c r="M3" s="158" t="s">
        <v>432</v>
      </c>
      <c r="N3" s="158" t="s">
        <v>433</v>
      </c>
      <c r="O3" s="296" t="s">
        <v>434</v>
      </c>
      <c r="P3" s="297"/>
      <c r="Q3" s="298"/>
    </row>
    <row r="4" spans="1:17" ht="38.25">
      <c r="A4" s="288"/>
      <c r="B4" s="288"/>
      <c r="C4" s="288"/>
      <c r="D4" s="288"/>
      <c r="E4" s="158" t="s">
        <v>410</v>
      </c>
      <c r="F4" s="158" t="s">
        <v>411</v>
      </c>
      <c r="G4" s="158" t="s">
        <v>435</v>
      </c>
      <c r="H4" s="158" t="s">
        <v>436</v>
      </c>
      <c r="I4" s="158" t="s">
        <v>437</v>
      </c>
      <c r="J4" s="158" t="s">
        <v>410</v>
      </c>
      <c r="K4" s="158" t="s">
        <v>411</v>
      </c>
      <c r="L4" s="158" t="s">
        <v>438</v>
      </c>
      <c r="M4" s="158" t="s">
        <v>436</v>
      </c>
      <c r="N4" s="158" t="s">
        <v>437</v>
      </c>
      <c r="O4" s="158" t="s">
        <v>436</v>
      </c>
      <c r="P4" s="158" t="s">
        <v>437</v>
      </c>
      <c r="Q4" s="158" t="s">
        <v>439</v>
      </c>
    </row>
    <row r="5" spans="1:17">
      <c r="A5" s="158">
        <v>1</v>
      </c>
      <c r="B5" s="158">
        <v>2</v>
      </c>
      <c r="C5" s="158">
        <v>3</v>
      </c>
      <c r="D5" s="158">
        <v>4</v>
      </c>
      <c r="E5" s="158">
        <v>5</v>
      </c>
      <c r="F5" s="158">
        <v>6</v>
      </c>
      <c r="G5" s="158" t="s">
        <v>440</v>
      </c>
      <c r="H5" s="158">
        <v>8</v>
      </c>
      <c r="I5" s="158">
        <v>9</v>
      </c>
      <c r="J5" s="158">
        <v>10</v>
      </c>
      <c r="K5" s="158">
        <v>11</v>
      </c>
      <c r="L5" s="158" t="s">
        <v>441</v>
      </c>
      <c r="M5" s="171">
        <v>13</v>
      </c>
      <c r="N5" s="171">
        <v>14</v>
      </c>
      <c r="O5" s="171" t="s">
        <v>442</v>
      </c>
      <c r="P5" s="171" t="s">
        <v>443</v>
      </c>
      <c r="Q5" s="171" t="s">
        <v>444</v>
      </c>
    </row>
    <row r="6" spans="1:17" ht="25.5">
      <c r="A6" s="159">
        <v>1</v>
      </c>
      <c r="B6" s="160" t="s">
        <v>161</v>
      </c>
      <c r="C6" s="161" t="s">
        <v>164</v>
      </c>
      <c r="D6" s="160" t="s">
        <v>163</v>
      </c>
      <c r="E6" s="162">
        <f>'[2]Parcheged '!E6</f>
        <v>297</v>
      </c>
      <c r="F6" s="163">
        <f>E6*30/100</f>
        <v>89.1</v>
      </c>
      <c r="G6" s="163">
        <f>F6*6100</f>
        <v>543510</v>
      </c>
      <c r="H6" s="163">
        <f>G6*67%</f>
        <v>364151.7</v>
      </c>
      <c r="I6" s="163">
        <f>G6*33%</f>
        <v>179358.30000000002</v>
      </c>
      <c r="J6" s="164">
        <f>'[2]Parcheged '!H6</f>
        <v>36</v>
      </c>
      <c r="K6" s="163">
        <f>J6*30/100</f>
        <v>10.8</v>
      </c>
      <c r="L6" s="163">
        <f>K6*6400</f>
        <v>69120</v>
      </c>
      <c r="M6" s="163">
        <f>L6*67%</f>
        <v>46310.400000000001</v>
      </c>
      <c r="N6" s="163">
        <f>L6*33%</f>
        <v>22809.600000000002</v>
      </c>
      <c r="O6" s="163">
        <f>H6+M6</f>
        <v>410462.10000000003</v>
      </c>
      <c r="P6" s="163">
        <f>I6+N6</f>
        <v>202167.90000000002</v>
      </c>
      <c r="Q6" s="163">
        <f>O6+P6</f>
        <v>612630</v>
      </c>
    </row>
    <row r="7" spans="1:17" ht="25.5">
      <c r="A7" s="159">
        <v>2</v>
      </c>
      <c r="B7" s="160" t="s">
        <v>165</v>
      </c>
      <c r="C7" s="161" t="s">
        <v>167</v>
      </c>
      <c r="D7" s="160" t="s">
        <v>163</v>
      </c>
      <c r="E7" s="162">
        <f>'[2]Parcheged '!E7</f>
        <v>276</v>
      </c>
      <c r="F7" s="163">
        <f t="shared" ref="F7:F53" si="0">E7*30/100</f>
        <v>82.8</v>
      </c>
      <c r="G7" s="163">
        <f t="shared" ref="G7:G52" si="1">F7*6100</f>
        <v>505080</v>
      </c>
      <c r="H7" s="163">
        <f t="shared" ref="H7:H53" si="2">G7*67%</f>
        <v>338403.60000000003</v>
      </c>
      <c r="I7" s="163">
        <f t="shared" ref="I7:I53" si="3">G7*33%</f>
        <v>166676.4</v>
      </c>
      <c r="J7" s="164">
        <f>'[2]Parcheged '!H7</f>
        <v>80</v>
      </c>
      <c r="K7" s="163">
        <f t="shared" ref="K7:K53" si="4">J7*30/100</f>
        <v>24</v>
      </c>
      <c r="L7" s="163">
        <f t="shared" ref="L7:L52" si="5">K7*6400</f>
        <v>153600</v>
      </c>
      <c r="M7" s="163">
        <f t="shared" ref="M7:M53" si="6">L7*67%</f>
        <v>102912</v>
      </c>
      <c r="N7" s="163">
        <f t="shared" ref="N7:N53" si="7">L7*33%</f>
        <v>50688</v>
      </c>
      <c r="O7" s="163">
        <f t="shared" ref="O7:P53" si="8">H7+M7</f>
        <v>441315.60000000003</v>
      </c>
      <c r="P7" s="163">
        <f t="shared" si="8"/>
        <v>217364.4</v>
      </c>
      <c r="Q7" s="163">
        <f t="shared" ref="Q7:Q53" si="9">O7+P7</f>
        <v>658680</v>
      </c>
    </row>
    <row r="8" spans="1:17" ht="25.5">
      <c r="A8" s="159">
        <v>3</v>
      </c>
      <c r="B8" s="160" t="s">
        <v>168</v>
      </c>
      <c r="C8" s="161" t="s">
        <v>169</v>
      </c>
      <c r="D8" s="160" t="s">
        <v>163</v>
      </c>
      <c r="E8" s="162">
        <f>'[2]Parcheged '!E8</f>
        <v>193</v>
      </c>
      <c r="F8" s="163">
        <f t="shared" si="0"/>
        <v>57.9</v>
      </c>
      <c r="G8" s="163">
        <f t="shared" si="1"/>
        <v>353190</v>
      </c>
      <c r="H8" s="163">
        <f t="shared" si="2"/>
        <v>236637.30000000002</v>
      </c>
      <c r="I8" s="163">
        <f t="shared" si="3"/>
        <v>116552.70000000001</v>
      </c>
      <c r="J8" s="164">
        <f>'[2]Parcheged '!H8</f>
        <v>72</v>
      </c>
      <c r="K8" s="163">
        <f t="shared" si="4"/>
        <v>21.6</v>
      </c>
      <c r="L8" s="163">
        <f t="shared" si="5"/>
        <v>138240</v>
      </c>
      <c r="M8" s="163">
        <f t="shared" si="6"/>
        <v>92620.800000000003</v>
      </c>
      <c r="N8" s="163">
        <f t="shared" si="7"/>
        <v>45619.200000000004</v>
      </c>
      <c r="O8" s="163">
        <f t="shared" si="8"/>
        <v>329258.10000000003</v>
      </c>
      <c r="P8" s="163">
        <f t="shared" si="8"/>
        <v>162171.90000000002</v>
      </c>
      <c r="Q8" s="163">
        <f t="shared" si="9"/>
        <v>491430.00000000006</v>
      </c>
    </row>
    <row r="9" spans="1:17" ht="25.5">
      <c r="A9" s="159">
        <v>4</v>
      </c>
      <c r="B9" s="160" t="s">
        <v>171</v>
      </c>
      <c r="C9" s="161" t="s">
        <v>172</v>
      </c>
      <c r="D9" s="160" t="s">
        <v>163</v>
      </c>
      <c r="E9" s="162">
        <f>'[2]Parcheged '!E9</f>
        <v>322</v>
      </c>
      <c r="F9" s="163">
        <f t="shared" si="0"/>
        <v>96.6</v>
      </c>
      <c r="G9" s="163">
        <f t="shared" si="1"/>
        <v>589260</v>
      </c>
      <c r="H9" s="163">
        <f t="shared" si="2"/>
        <v>394804.2</v>
      </c>
      <c r="I9" s="163">
        <f t="shared" si="3"/>
        <v>194455.80000000002</v>
      </c>
      <c r="J9" s="164">
        <f>'[2]Parcheged '!H9</f>
        <v>0</v>
      </c>
      <c r="K9" s="163">
        <f t="shared" si="4"/>
        <v>0</v>
      </c>
      <c r="L9" s="163">
        <f t="shared" si="5"/>
        <v>0</v>
      </c>
      <c r="M9" s="163">
        <f t="shared" si="6"/>
        <v>0</v>
      </c>
      <c r="N9" s="163">
        <f t="shared" si="7"/>
        <v>0</v>
      </c>
      <c r="O9" s="163">
        <f t="shared" si="8"/>
        <v>394804.2</v>
      </c>
      <c r="P9" s="163">
        <f t="shared" si="8"/>
        <v>194455.80000000002</v>
      </c>
      <c r="Q9" s="163">
        <f t="shared" si="9"/>
        <v>589260</v>
      </c>
    </row>
    <row r="10" spans="1:17" ht="25.5">
      <c r="A10" s="159">
        <v>5</v>
      </c>
      <c r="B10" s="160" t="s">
        <v>174</v>
      </c>
      <c r="C10" s="161" t="s">
        <v>175</v>
      </c>
      <c r="D10" s="160" t="s">
        <v>174</v>
      </c>
      <c r="E10" s="162">
        <f>'[2]Parcheged '!E10</f>
        <v>1092</v>
      </c>
      <c r="F10" s="163">
        <f t="shared" si="0"/>
        <v>327.60000000000002</v>
      </c>
      <c r="G10" s="163">
        <f t="shared" si="1"/>
        <v>1998360.0000000002</v>
      </c>
      <c r="H10" s="163">
        <f t="shared" si="2"/>
        <v>1338901.2000000002</v>
      </c>
      <c r="I10" s="163">
        <f t="shared" si="3"/>
        <v>659458.80000000016</v>
      </c>
      <c r="J10" s="164">
        <f>'[2]Parcheged '!H10</f>
        <v>0</v>
      </c>
      <c r="K10" s="163">
        <f t="shared" si="4"/>
        <v>0</v>
      </c>
      <c r="L10" s="163">
        <f t="shared" si="5"/>
        <v>0</v>
      </c>
      <c r="M10" s="163">
        <f t="shared" si="6"/>
        <v>0</v>
      </c>
      <c r="N10" s="163">
        <f t="shared" si="7"/>
        <v>0</v>
      </c>
      <c r="O10" s="163">
        <f t="shared" si="8"/>
        <v>1338901.2000000002</v>
      </c>
      <c r="P10" s="163">
        <f t="shared" si="8"/>
        <v>659458.80000000016</v>
      </c>
      <c r="Q10" s="163">
        <f t="shared" si="9"/>
        <v>1998360.0000000005</v>
      </c>
    </row>
    <row r="11" spans="1:17" ht="25.5">
      <c r="A11" s="159">
        <v>6</v>
      </c>
      <c r="B11" s="165" t="s">
        <v>179</v>
      </c>
      <c r="C11" s="159" t="s">
        <v>180</v>
      </c>
      <c r="D11" s="165" t="s">
        <v>181</v>
      </c>
      <c r="E11" s="162">
        <f>'[2]Parcheged '!E11</f>
        <v>1400</v>
      </c>
      <c r="F11" s="163">
        <f t="shared" si="0"/>
        <v>420</v>
      </c>
      <c r="G11" s="163">
        <f t="shared" si="1"/>
        <v>2562000</v>
      </c>
      <c r="H11" s="163">
        <f t="shared" si="2"/>
        <v>1716540</v>
      </c>
      <c r="I11" s="163">
        <f t="shared" si="3"/>
        <v>845460</v>
      </c>
      <c r="J11" s="164">
        <f>'[2]Parcheged '!H11</f>
        <v>0</v>
      </c>
      <c r="K11" s="163">
        <f t="shared" si="4"/>
        <v>0</v>
      </c>
      <c r="L11" s="163">
        <f t="shared" si="5"/>
        <v>0</v>
      </c>
      <c r="M11" s="163">
        <f t="shared" si="6"/>
        <v>0</v>
      </c>
      <c r="N11" s="163">
        <f t="shared" si="7"/>
        <v>0</v>
      </c>
      <c r="O11" s="163">
        <f t="shared" si="8"/>
        <v>1716540</v>
      </c>
      <c r="P11" s="163">
        <f t="shared" si="8"/>
        <v>845460</v>
      </c>
      <c r="Q11" s="163">
        <f t="shared" si="9"/>
        <v>2562000</v>
      </c>
    </row>
    <row r="12" spans="1:17" ht="25.5">
      <c r="A12" s="159">
        <v>7</v>
      </c>
      <c r="B12" s="160" t="s">
        <v>186</v>
      </c>
      <c r="C12" s="161" t="s">
        <v>187</v>
      </c>
      <c r="D12" s="160" t="s">
        <v>188</v>
      </c>
      <c r="E12" s="172">
        <f>'[2]Parcheged '!E12</f>
        <v>700</v>
      </c>
      <c r="F12" s="163">
        <f t="shared" si="0"/>
        <v>210</v>
      </c>
      <c r="G12" s="163">
        <f t="shared" si="1"/>
        <v>1281000</v>
      </c>
      <c r="H12" s="163">
        <f t="shared" si="2"/>
        <v>858270</v>
      </c>
      <c r="I12" s="163">
        <f t="shared" si="3"/>
        <v>422730</v>
      </c>
      <c r="J12" s="164">
        <f>'[2]Parcheged '!H12</f>
        <v>0</v>
      </c>
      <c r="K12" s="163">
        <f t="shared" si="4"/>
        <v>0</v>
      </c>
      <c r="L12" s="163">
        <f t="shared" si="5"/>
        <v>0</v>
      </c>
      <c r="M12" s="163">
        <f t="shared" si="6"/>
        <v>0</v>
      </c>
      <c r="N12" s="163">
        <f t="shared" si="7"/>
        <v>0</v>
      </c>
      <c r="O12" s="163">
        <f t="shared" si="8"/>
        <v>858270</v>
      </c>
      <c r="P12" s="163">
        <f t="shared" si="8"/>
        <v>422730</v>
      </c>
      <c r="Q12" s="163">
        <f t="shared" si="9"/>
        <v>1281000</v>
      </c>
    </row>
    <row r="13" spans="1:17" ht="25.5">
      <c r="A13" s="159">
        <v>8</v>
      </c>
      <c r="B13" s="160" t="s">
        <v>189</v>
      </c>
      <c r="C13" s="161" t="s">
        <v>190</v>
      </c>
      <c r="D13" s="160" t="s">
        <v>188</v>
      </c>
      <c r="E13" s="172">
        <f>'[2]Parcheged '!E13</f>
        <v>840</v>
      </c>
      <c r="F13" s="163">
        <f t="shared" si="0"/>
        <v>252</v>
      </c>
      <c r="G13" s="163">
        <f t="shared" si="1"/>
        <v>1537200</v>
      </c>
      <c r="H13" s="163">
        <f t="shared" si="2"/>
        <v>1029924.0000000001</v>
      </c>
      <c r="I13" s="163">
        <f t="shared" si="3"/>
        <v>507276</v>
      </c>
      <c r="J13" s="164">
        <f>'[2]Parcheged '!H13</f>
        <v>0</v>
      </c>
      <c r="K13" s="163">
        <f t="shared" si="4"/>
        <v>0</v>
      </c>
      <c r="L13" s="163">
        <f t="shared" si="5"/>
        <v>0</v>
      </c>
      <c r="M13" s="163">
        <f t="shared" si="6"/>
        <v>0</v>
      </c>
      <c r="N13" s="163">
        <f t="shared" si="7"/>
        <v>0</v>
      </c>
      <c r="O13" s="163">
        <f t="shared" si="8"/>
        <v>1029924.0000000001</v>
      </c>
      <c r="P13" s="163">
        <f t="shared" si="8"/>
        <v>507276</v>
      </c>
      <c r="Q13" s="163">
        <f t="shared" si="9"/>
        <v>1537200</v>
      </c>
    </row>
    <row r="14" spans="1:17" ht="25.5">
      <c r="A14" s="159">
        <v>9</v>
      </c>
      <c r="B14" s="160" t="s">
        <v>191</v>
      </c>
      <c r="C14" s="161" t="s">
        <v>192</v>
      </c>
      <c r="D14" s="160" t="s">
        <v>188</v>
      </c>
      <c r="E14" s="172">
        <f>'[2]Parcheged '!E14</f>
        <v>700</v>
      </c>
      <c r="F14" s="163">
        <f t="shared" si="0"/>
        <v>210</v>
      </c>
      <c r="G14" s="163">
        <f t="shared" si="1"/>
        <v>1281000</v>
      </c>
      <c r="H14" s="163">
        <f t="shared" si="2"/>
        <v>858270</v>
      </c>
      <c r="I14" s="163">
        <f t="shared" si="3"/>
        <v>422730</v>
      </c>
      <c r="J14" s="164">
        <f>'[2]Parcheged '!H14</f>
        <v>0</v>
      </c>
      <c r="K14" s="163">
        <f t="shared" si="4"/>
        <v>0</v>
      </c>
      <c r="L14" s="163">
        <f t="shared" si="5"/>
        <v>0</v>
      </c>
      <c r="M14" s="163">
        <f t="shared" si="6"/>
        <v>0</v>
      </c>
      <c r="N14" s="163">
        <f t="shared" si="7"/>
        <v>0</v>
      </c>
      <c r="O14" s="163">
        <f t="shared" si="8"/>
        <v>858270</v>
      </c>
      <c r="P14" s="163">
        <f t="shared" si="8"/>
        <v>422730</v>
      </c>
      <c r="Q14" s="163">
        <f t="shared" si="9"/>
        <v>1281000</v>
      </c>
    </row>
    <row r="15" spans="1:17" ht="25.5">
      <c r="A15" s="159">
        <v>10</v>
      </c>
      <c r="B15" s="160" t="s">
        <v>196</v>
      </c>
      <c r="C15" s="161" t="s">
        <v>197</v>
      </c>
      <c r="D15" s="160" t="s">
        <v>198</v>
      </c>
      <c r="E15" s="162">
        <f>'[2]Parcheged '!E15</f>
        <v>1018</v>
      </c>
      <c r="F15" s="163">
        <f t="shared" si="0"/>
        <v>305.39999999999998</v>
      </c>
      <c r="G15" s="163">
        <f t="shared" si="1"/>
        <v>1862939.9999999998</v>
      </c>
      <c r="H15" s="163">
        <f t="shared" si="2"/>
        <v>1248169.7999999998</v>
      </c>
      <c r="I15" s="163">
        <f t="shared" si="3"/>
        <v>614770.19999999995</v>
      </c>
      <c r="J15" s="164">
        <f>'[2]Parcheged '!H15</f>
        <v>496</v>
      </c>
      <c r="K15" s="163">
        <f t="shared" si="4"/>
        <v>148.80000000000001</v>
      </c>
      <c r="L15" s="163">
        <f t="shared" si="5"/>
        <v>952320.00000000012</v>
      </c>
      <c r="M15" s="163">
        <f t="shared" si="6"/>
        <v>638054.40000000014</v>
      </c>
      <c r="N15" s="163">
        <f t="shared" si="7"/>
        <v>314265.60000000003</v>
      </c>
      <c r="O15" s="163">
        <f t="shared" si="8"/>
        <v>1886224.2</v>
      </c>
      <c r="P15" s="163">
        <f t="shared" si="8"/>
        <v>929035.8</v>
      </c>
      <c r="Q15" s="163">
        <f t="shared" si="9"/>
        <v>2815260</v>
      </c>
    </row>
    <row r="16" spans="1:17" ht="25.5">
      <c r="A16" s="159">
        <v>11</v>
      </c>
      <c r="B16" s="160" t="s">
        <v>199</v>
      </c>
      <c r="C16" s="161" t="s">
        <v>197</v>
      </c>
      <c r="D16" s="160" t="s">
        <v>198</v>
      </c>
      <c r="E16" s="162">
        <f>'[2]Parcheged '!E16</f>
        <v>229</v>
      </c>
      <c r="F16" s="163">
        <f t="shared" si="0"/>
        <v>68.7</v>
      </c>
      <c r="G16" s="163">
        <f t="shared" si="1"/>
        <v>419070</v>
      </c>
      <c r="H16" s="163">
        <f t="shared" si="2"/>
        <v>280776.90000000002</v>
      </c>
      <c r="I16" s="163">
        <f t="shared" si="3"/>
        <v>138293.1</v>
      </c>
      <c r="J16" s="164">
        <f>'[2]Parcheged '!H16</f>
        <v>1073</v>
      </c>
      <c r="K16" s="163">
        <f t="shared" si="4"/>
        <v>321.89999999999998</v>
      </c>
      <c r="L16" s="163">
        <f t="shared" si="5"/>
        <v>2060159.9999999998</v>
      </c>
      <c r="M16" s="163">
        <f t="shared" si="6"/>
        <v>1380307.2</v>
      </c>
      <c r="N16" s="163">
        <f t="shared" si="7"/>
        <v>679852.79999999993</v>
      </c>
      <c r="O16" s="163">
        <f t="shared" si="8"/>
        <v>1661084.1</v>
      </c>
      <c r="P16" s="163">
        <f t="shared" si="8"/>
        <v>818145.89999999991</v>
      </c>
      <c r="Q16" s="163">
        <f t="shared" si="9"/>
        <v>2479230</v>
      </c>
    </row>
    <row r="17" spans="1:17">
      <c r="A17" s="159">
        <v>12</v>
      </c>
      <c r="B17" s="160" t="s">
        <v>202</v>
      </c>
      <c r="C17" s="161" t="s">
        <v>203</v>
      </c>
      <c r="D17" s="160" t="s">
        <v>198</v>
      </c>
      <c r="E17" s="162">
        <f>'[2]Parcheged '!E17</f>
        <v>1223</v>
      </c>
      <c r="F17" s="163">
        <f t="shared" si="0"/>
        <v>366.9</v>
      </c>
      <c r="G17" s="163">
        <f t="shared" si="1"/>
        <v>2238090</v>
      </c>
      <c r="H17" s="163">
        <f t="shared" si="2"/>
        <v>1499520.3</v>
      </c>
      <c r="I17" s="163">
        <f t="shared" si="3"/>
        <v>738569.70000000007</v>
      </c>
      <c r="J17" s="164">
        <f>'[2]Parcheged '!H17</f>
        <v>122</v>
      </c>
      <c r="K17" s="163">
        <f t="shared" si="4"/>
        <v>36.6</v>
      </c>
      <c r="L17" s="163">
        <f t="shared" si="5"/>
        <v>234240</v>
      </c>
      <c r="M17" s="163">
        <f t="shared" si="6"/>
        <v>156940.80000000002</v>
      </c>
      <c r="N17" s="163">
        <f t="shared" si="7"/>
        <v>77299.199999999997</v>
      </c>
      <c r="O17" s="163">
        <f t="shared" si="8"/>
        <v>1656461.1</v>
      </c>
      <c r="P17" s="163">
        <f t="shared" si="8"/>
        <v>815868.9</v>
      </c>
      <c r="Q17" s="163">
        <f t="shared" si="9"/>
        <v>2472330</v>
      </c>
    </row>
    <row r="18" spans="1:17">
      <c r="A18" s="159">
        <v>13</v>
      </c>
      <c r="B18" s="160" t="s">
        <v>418</v>
      </c>
      <c r="C18" s="161" t="s">
        <v>206</v>
      </c>
      <c r="D18" s="160" t="s">
        <v>198</v>
      </c>
      <c r="E18" s="162">
        <f>'[2]Parcheged '!E18</f>
        <v>256</v>
      </c>
      <c r="F18" s="163">
        <f t="shared" si="0"/>
        <v>76.8</v>
      </c>
      <c r="G18" s="163">
        <f t="shared" si="1"/>
        <v>468480</v>
      </c>
      <c r="H18" s="163">
        <f t="shared" si="2"/>
        <v>313881.60000000003</v>
      </c>
      <c r="I18" s="163">
        <f t="shared" si="3"/>
        <v>154598.39999999999</v>
      </c>
      <c r="J18" s="164">
        <f>'[2]Parcheged '!H18</f>
        <v>559</v>
      </c>
      <c r="K18" s="163">
        <f t="shared" si="4"/>
        <v>167.7</v>
      </c>
      <c r="L18" s="163">
        <f t="shared" si="5"/>
        <v>1073280</v>
      </c>
      <c r="M18" s="163">
        <f t="shared" si="6"/>
        <v>719097.60000000009</v>
      </c>
      <c r="N18" s="163">
        <f t="shared" si="7"/>
        <v>354182.40000000002</v>
      </c>
      <c r="O18" s="163">
        <f t="shared" si="8"/>
        <v>1032979.2000000002</v>
      </c>
      <c r="P18" s="163">
        <f t="shared" si="8"/>
        <v>508780.80000000005</v>
      </c>
      <c r="Q18" s="163">
        <f t="shared" si="9"/>
        <v>1541760.0000000002</v>
      </c>
    </row>
    <row r="19" spans="1:17" ht="25.5">
      <c r="A19" s="159">
        <v>14</v>
      </c>
      <c r="B19" s="160" t="s">
        <v>207</v>
      </c>
      <c r="C19" s="161" t="s">
        <v>208</v>
      </c>
      <c r="D19" s="160" t="s">
        <v>198</v>
      </c>
      <c r="E19" s="162">
        <f>'[2]Parcheged '!E19</f>
        <v>1058</v>
      </c>
      <c r="F19" s="163">
        <f t="shared" si="0"/>
        <v>317.39999999999998</v>
      </c>
      <c r="G19" s="163">
        <f t="shared" si="1"/>
        <v>1936139.9999999998</v>
      </c>
      <c r="H19" s="163">
        <f t="shared" si="2"/>
        <v>1297213.7999999998</v>
      </c>
      <c r="I19" s="163">
        <f t="shared" si="3"/>
        <v>638926.19999999995</v>
      </c>
      <c r="J19" s="164">
        <f>'[2]Parcheged '!H19</f>
        <v>120</v>
      </c>
      <c r="K19" s="163">
        <f t="shared" si="4"/>
        <v>36</v>
      </c>
      <c r="L19" s="163">
        <f t="shared" si="5"/>
        <v>230400</v>
      </c>
      <c r="M19" s="163">
        <f t="shared" si="6"/>
        <v>154368</v>
      </c>
      <c r="N19" s="163">
        <f t="shared" si="7"/>
        <v>76032</v>
      </c>
      <c r="O19" s="163">
        <f t="shared" si="8"/>
        <v>1451581.7999999998</v>
      </c>
      <c r="P19" s="163">
        <f t="shared" si="8"/>
        <v>714958.2</v>
      </c>
      <c r="Q19" s="163">
        <f t="shared" si="9"/>
        <v>2166540</v>
      </c>
    </row>
    <row r="20" spans="1:17" ht="25.5">
      <c r="A20" s="159">
        <v>15</v>
      </c>
      <c r="B20" s="160" t="s">
        <v>209</v>
      </c>
      <c r="C20" s="161" t="s">
        <v>210</v>
      </c>
      <c r="D20" s="160" t="s">
        <v>198</v>
      </c>
      <c r="E20" s="162">
        <f>'[2]Parcheged '!E20</f>
        <v>842</v>
      </c>
      <c r="F20" s="163">
        <f t="shared" si="0"/>
        <v>252.6</v>
      </c>
      <c r="G20" s="163">
        <f t="shared" si="1"/>
        <v>1540860</v>
      </c>
      <c r="H20" s="163">
        <f t="shared" si="2"/>
        <v>1032376.2000000001</v>
      </c>
      <c r="I20" s="163">
        <f t="shared" si="3"/>
        <v>508483.80000000005</v>
      </c>
      <c r="J20" s="164">
        <f>'[2]Parcheged '!H20</f>
        <v>286</v>
      </c>
      <c r="K20" s="163">
        <f t="shared" si="4"/>
        <v>85.8</v>
      </c>
      <c r="L20" s="163">
        <f t="shared" si="5"/>
        <v>549120</v>
      </c>
      <c r="M20" s="163">
        <f t="shared" si="6"/>
        <v>367910.40000000002</v>
      </c>
      <c r="N20" s="163">
        <f t="shared" si="7"/>
        <v>181209.60000000001</v>
      </c>
      <c r="O20" s="163">
        <f t="shared" si="8"/>
        <v>1400286.6</v>
      </c>
      <c r="P20" s="163">
        <f t="shared" si="8"/>
        <v>689693.4</v>
      </c>
      <c r="Q20" s="163">
        <f t="shared" si="9"/>
        <v>2089980</v>
      </c>
    </row>
    <row r="21" spans="1:17" ht="25.5">
      <c r="A21" s="159">
        <v>16</v>
      </c>
      <c r="B21" s="160" t="s">
        <v>419</v>
      </c>
      <c r="C21" s="161" t="s">
        <v>340</v>
      </c>
      <c r="D21" s="160" t="s">
        <v>214</v>
      </c>
      <c r="E21" s="162">
        <f>'[2]Parcheged '!E21</f>
        <v>0</v>
      </c>
      <c r="F21" s="163">
        <f t="shared" si="0"/>
        <v>0</v>
      </c>
      <c r="G21" s="163">
        <f t="shared" si="1"/>
        <v>0</v>
      </c>
      <c r="H21" s="163">
        <f t="shared" si="2"/>
        <v>0</v>
      </c>
      <c r="I21" s="163">
        <f t="shared" si="3"/>
        <v>0</v>
      </c>
      <c r="J21" s="164">
        <f>'[2]Parcheged '!H21</f>
        <v>0</v>
      </c>
      <c r="K21" s="163">
        <f t="shared" si="4"/>
        <v>0</v>
      </c>
      <c r="L21" s="163">
        <f t="shared" si="5"/>
        <v>0</v>
      </c>
      <c r="M21" s="163">
        <f t="shared" si="6"/>
        <v>0</v>
      </c>
      <c r="N21" s="163">
        <f t="shared" si="7"/>
        <v>0</v>
      </c>
      <c r="O21" s="163">
        <f t="shared" si="8"/>
        <v>0</v>
      </c>
      <c r="P21" s="163">
        <f t="shared" si="8"/>
        <v>0</v>
      </c>
      <c r="Q21" s="163">
        <f t="shared" si="9"/>
        <v>0</v>
      </c>
    </row>
    <row r="22" spans="1:17" ht="38.25">
      <c r="A22" s="159">
        <v>17</v>
      </c>
      <c r="B22" s="160" t="s">
        <v>212</v>
      </c>
      <c r="C22" s="161" t="s">
        <v>213</v>
      </c>
      <c r="D22" s="160" t="s">
        <v>214</v>
      </c>
      <c r="E22" s="162">
        <f>'[2]Parcheged '!E22</f>
        <v>1065</v>
      </c>
      <c r="F22" s="163">
        <f t="shared" si="0"/>
        <v>319.5</v>
      </c>
      <c r="G22" s="163">
        <f t="shared" si="1"/>
        <v>1948950</v>
      </c>
      <c r="H22" s="163">
        <f t="shared" si="2"/>
        <v>1305796.5</v>
      </c>
      <c r="I22" s="163">
        <f t="shared" si="3"/>
        <v>643153.5</v>
      </c>
      <c r="J22" s="164">
        <f>'[2]Parcheged '!H22</f>
        <v>0</v>
      </c>
      <c r="K22" s="163">
        <f t="shared" si="4"/>
        <v>0</v>
      </c>
      <c r="L22" s="163">
        <f t="shared" si="5"/>
        <v>0</v>
      </c>
      <c r="M22" s="163">
        <f t="shared" si="6"/>
        <v>0</v>
      </c>
      <c r="N22" s="163">
        <f t="shared" si="7"/>
        <v>0</v>
      </c>
      <c r="O22" s="163">
        <f t="shared" si="8"/>
        <v>1305796.5</v>
      </c>
      <c r="P22" s="163">
        <f t="shared" si="8"/>
        <v>643153.5</v>
      </c>
      <c r="Q22" s="163">
        <f t="shared" si="9"/>
        <v>1948950</v>
      </c>
    </row>
    <row r="23" spans="1:17" ht="25.5">
      <c r="A23" s="159">
        <v>18</v>
      </c>
      <c r="B23" s="160" t="s">
        <v>215</v>
      </c>
      <c r="C23" s="161" t="s">
        <v>213</v>
      </c>
      <c r="D23" s="160" t="s">
        <v>214</v>
      </c>
      <c r="E23" s="162">
        <f>'[2]Parcheged '!E23</f>
        <v>904</v>
      </c>
      <c r="F23" s="163">
        <f t="shared" si="0"/>
        <v>271.2</v>
      </c>
      <c r="G23" s="163">
        <f t="shared" si="1"/>
        <v>1654320</v>
      </c>
      <c r="H23" s="163">
        <f t="shared" si="2"/>
        <v>1108394.4000000001</v>
      </c>
      <c r="I23" s="163">
        <f t="shared" si="3"/>
        <v>545925.6</v>
      </c>
      <c r="J23" s="164">
        <f>'[2]Parcheged '!H23</f>
        <v>0</v>
      </c>
      <c r="K23" s="163">
        <f t="shared" si="4"/>
        <v>0</v>
      </c>
      <c r="L23" s="163">
        <f t="shared" si="5"/>
        <v>0</v>
      </c>
      <c r="M23" s="163">
        <f t="shared" si="6"/>
        <v>0</v>
      </c>
      <c r="N23" s="163">
        <f t="shared" si="7"/>
        <v>0</v>
      </c>
      <c r="O23" s="163">
        <f t="shared" si="8"/>
        <v>1108394.4000000001</v>
      </c>
      <c r="P23" s="163">
        <f t="shared" si="8"/>
        <v>545925.6</v>
      </c>
      <c r="Q23" s="163">
        <f t="shared" si="9"/>
        <v>1654320</v>
      </c>
    </row>
    <row r="24" spans="1:17" ht="25.5">
      <c r="A24" s="159">
        <v>19</v>
      </c>
      <c r="B24" s="165" t="s">
        <v>216</v>
      </c>
      <c r="C24" s="159" t="s">
        <v>217</v>
      </c>
      <c r="D24" s="165" t="s">
        <v>218</v>
      </c>
      <c r="E24" s="162">
        <f>'[2]Parcheged '!E24</f>
        <v>1512</v>
      </c>
      <c r="F24" s="163">
        <f t="shared" si="0"/>
        <v>453.6</v>
      </c>
      <c r="G24" s="163">
        <f t="shared" si="1"/>
        <v>2766960</v>
      </c>
      <c r="H24" s="163">
        <f t="shared" si="2"/>
        <v>1853863.2000000002</v>
      </c>
      <c r="I24" s="163">
        <f t="shared" si="3"/>
        <v>913096.8</v>
      </c>
      <c r="J24" s="164">
        <f>'[2]Parcheged '!H24</f>
        <v>0</v>
      </c>
      <c r="K24" s="163">
        <f t="shared" si="4"/>
        <v>0</v>
      </c>
      <c r="L24" s="163">
        <f t="shared" si="5"/>
        <v>0</v>
      </c>
      <c r="M24" s="163">
        <f t="shared" si="6"/>
        <v>0</v>
      </c>
      <c r="N24" s="163">
        <f t="shared" si="7"/>
        <v>0</v>
      </c>
      <c r="O24" s="163">
        <f t="shared" si="8"/>
        <v>1853863.2000000002</v>
      </c>
      <c r="P24" s="163">
        <f t="shared" si="8"/>
        <v>913096.8</v>
      </c>
      <c r="Q24" s="163">
        <f t="shared" si="9"/>
        <v>2766960</v>
      </c>
    </row>
    <row r="25" spans="1:17">
      <c r="A25" s="159">
        <v>20</v>
      </c>
      <c r="B25" s="165" t="s">
        <v>221</v>
      </c>
      <c r="C25" s="159" t="s">
        <v>222</v>
      </c>
      <c r="D25" s="165" t="s">
        <v>218</v>
      </c>
      <c r="E25" s="162">
        <f>'[2]Parcheged '!E25</f>
        <v>295</v>
      </c>
      <c r="F25" s="163">
        <f t="shared" si="0"/>
        <v>88.5</v>
      </c>
      <c r="G25" s="163">
        <f t="shared" si="1"/>
        <v>539850</v>
      </c>
      <c r="H25" s="163">
        <f t="shared" si="2"/>
        <v>361699.5</v>
      </c>
      <c r="I25" s="163">
        <f t="shared" si="3"/>
        <v>178150.5</v>
      </c>
      <c r="J25" s="164">
        <f>'[2]Parcheged '!H25</f>
        <v>0</v>
      </c>
      <c r="K25" s="163">
        <f t="shared" si="4"/>
        <v>0</v>
      </c>
      <c r="L25" s="163">
        <f t="shared" si="5"/>
        <v>0</v>
      </c>
      <c r="M25" s="163">
        <f t="shared" si="6"/>
        <v>0</v>
      </c>
      <c r="N25" s="163">
        <f t="shared" si="7"/>
        <v>0</v>
      </c>
      <c r="O25" s="163">
        <f t="shared" si="8"/>
        <v>361699.5</v>
      </c>
      <c r="P25" s="163">
        <f t="shared" si="8"/>
        <v>178150.5</v>
      </c>
      <c r="Q25" s="163">
        <f t="shared" si="9"/>
        <v>539850</v>
      </c>
    </row>
    <row r="26" spans="1:17" ht="25.5">
      <c r="A26" s="159">
        <v>21</v>
      </c>
      <c r="B26" s="165" t="s">
        <v>223</v>
      </c>
      <c r="C26" s="159" t="s">
        <v>224</v>
      </c>
      <c r="D26" s="165" t="s">
        <v>225</v>
      </c>
      <c r="E26" s="172">
        <f>'[2]Parcheged '!E26</f>
        <v>565</v>
      </c>
      <c r="F26" s="163">
        <f t="shared" si="0"/>
        <v>169.5</v>
      </c>
      <c r="G26" s="163">
        <f t="shared" si="1"/>
        <v>1033950</v>
      </c>
      <c r="H26" s="163">
        <f t="shared" si="2"/>
        <v>692746.5</v>
      </c>
      <c r="I26" s="163">
        <f t="shared" si="3"/>
        <v>341203.5</v>
      </c>
      <c r="J26" s="164">
        <f>'[2]Parcheged '!H26</f>
        <v>0</v>
      </c>
      <c r="K26" s="163">
        <f t="shared" si="4"/>
        <v>0</v>
      </c>
      <c r="L26" s="163">
        <f t="shared" si="5"/>
        <v>0</v>
      </c>
      <c r="M26" s="163">
        <f t="shared" si="6"/>
        <v>0</v>
      </c>
      <c r="N26" s="163">
        <f t="shared" si="7"/>
        <v>0</v>
      </c>
      <c r="O26" s="163">
        <f t="shared" si="8"/>
        <v>692746.5</v>
      </c>
      <c r="P26" s="163">
        <f t="shared" si="8"/>
        <v>341203.5</v>
      </c>
      <c r="Q26" s="163">
        <f t="shared" si="9"/>
        <v>1033950</v>
      </c>
    </row>
    <row r="27" spans="1:17" ht="25.5">
      <c r="A27" s="159">
        <v>22</v>
      </c>
      <c r="B27" s="165" t="s">
        <v>226</v>
      </c>
      <c r="C27" s="159" t="s">
        <v>177</v>
      </c>
      <c r="D27" s="165" t="s">
        <v>225</v>
      </c>
      <c r="E27" s="162">
        <f>'[2]Parcheged '!E27</f>
        <v>517</v>
      </c>
      <c r="F27" s="163">
        <f t="shared" si="0"/>
        <v>155.1</v>
      </c>
      <c r="G27" s="163">
        <f t="shared" si="1"/>
        <v>946110</v>
      </c>
      <c r="H27" s="163">
        <f t="shared" si="2"/>
        <v>633893.70000000007</v>
      </c>
      <c r="I27" s="163">
        <f t="shared" si="3"/>
        <v>312216.3</v>
      </c>
      <c r="J27" s="164">
        <f>'[2]Parcheged '!H27</f>
        <v>46</v>
      </c>
      <c r="K27" s="163">
        <f t="shared" si="4"/>
        <v>13.8</v>
      </c>
      <c r="L27" s="163">
        <f t="shared" si="5"/>
        <v>88320</v>
      </c>
      <c r="M27" s="163">
        <f t="shared" si="6"/>
        <v>59174.400000000001</v>
      </c>
      <c r="N27" s="163">
        <f t="shared" si="7"/>
        <v>29145.600000000002</v>
      </c>
      <c r="O27" s="163">
        <f t="shared" si="8"/>
        <v>693068.10000000009</v>
      </c>
      <c r="P27" s="163">
        <f t="shared" si="8"/>
        <v>341361.89999999997</v>
      </c>
      <c r="Q27" s="163">
        <f t="shared" si="9"/>
        <v>1034430</v>
      </c>
    </row>
    <row r="28" spans="1:17">
      <c r="A28" s="159">
        <v>23</v>
      </c>
      <c r="B28" s="165" t="s">
        <v>227</v>
      </c>
      <c r="C28" s="159" t="s">
        <v>228</v>
      </c>
      <c r="D28" s="165" t="s">
        <v>225</v>
      </c>
      <c r="E28" s="162">
        <f>'[2]Parcheged '!E28</f>
        <v>451</v>
      </c>
      <c r="F28" s="163">
        <f t="shared" si="0"/>
        <v>135.30000000000001</v>
      </c>
      <c r="G28" s="163">
        <f t="shared" si="1"/>
        <v>825330.00000000012</v>
      </c>
      <c r="H28" s="163">
        <f t="shared" si="2"/>
        <v>552971.10000000009</v>
      </c>
      <c r="I28" s="163">
        <f t="shared" si="3"/>
        <v>272358.90000000002</v>
      </c>
      <c r="J28" s="164">
        <f>'[2]Parcheged '!H28</f>
        <v>0</v>
      </c>
      <c r="K28" s="163">
        <f t="shared" si="4"/>
        <v>0</v>
      </c>
      <c r="L28" s="163">
        <f t="shared" si="5"/>
        <v>0</v>
      </c>
      <c r="M28" s="163">
        <f t="shared" si="6"/>
        <v>0</v>
      </c>
      <c r="N28" s="163">
        <f t="shared" si="7"/>
        <v>0</v>
      </c>
      <c r="O28" s="163">
        <f t="shared" si="8"/>
        <v>552971.10000000009</v>
      </c>
      <c r="P28" s="163">
        <f t="shared" si="8"/>
        <v>272358.90000000002</v>
      </c>
      <c r="Q28" s="163">
        <f t="shared" si="9"/>
        <v>825330.00000000012</v>
      </c>
    </row>
    <row r="29" spans="1:17" ht="25.5">
      <c r="A29" s="159">
        <v>24</v>
      </c>
      <c r="B29" s="165" t="s">
        <v>420</v>
      </c>
      <c r="C29" s="159" t="s">
        <v>194</v>
      </c>
      <c r="D29" s="165" t="s">
        <v>421</v>
      </c>
      <c r="E29" s="162">
        <f>'[2]Parcheged '!E29</f>
        <v>234</v>
      </c>
      <c r="F29" s="163">
        <f t="shared" si="0"/>
        <v>70.2</v>
      </c>
      <c r="G29" s="163">
        <f t="shared" si="1"/>
        <v>428220</v>
      </c>
      <c r="H29" s="163">
        <f t="shared" si="2"/>
        <v>286907.40000000002</v>
      </c>
      <c r="I29" s="163">
        <f t="shared" si="3"/>
        <v>141312.6</v>
      </c>
      <c r="J29" s="164">
        <f>'[2]Parcheged '!H29</f>
        <v>0</v>
      </c>
      <c r="K29" s="163">
        <f t="shared" si="4"/>
        <v>0</v>
      </c>
      <c r="L29" s="163">
        <f t="shared" si="5"/>
        <v>0</v>
      </c>
      <c r="M29" s="163">
        <f t="shared" si="6"/>
        <v>0</v>
      </c>
      <c r="N29" s="163">
        <f t="shared" si="7"/>
        <v>0</v>
      </c>
      <c r="O29" s="163">
        <f t="shared" si="8"/>
        <v>286907.40000000002</v>
      </c>
      <c r="P29" s="163">
        <f t="shared" si="8"/>
        <v>141312.6</v>
      </c>
      <c r="Q29" s="163">
        <f t="shared" si="9"/>
        <v>428220</v>
      </c>
    </row>
    <row r="30" spans="1:17" ht="38.25">
      <c r="A30" s="159">
        <v>25</v>
      </c>
      <c r="B30" s="165" t="s">
        <v>422</v>
      </c>
      <c r="C30" s="159" t="s">
        <v>246</v>
      </c>
      <c r="D30" s="165" t="s">
        <v>421</v>
      </c>
      <c r="E30" s="162">
        <f>'[2]Parcheged '!E30</f>
        <v>282</v>
      </c>
      <c r="F30" s="163">
        <f t="shared" si="0"/>
        <v>84.6</v>
      </c>
      <c r="G30" s="163">
        <f t="shared" si="1"/>
        <v>516059.99999999994</v>
      </c>
      <c r="H30" s="163">
        <f t="shared" si="2"/>
        <v>345760.19999999995</v>
      </c>
      <c r="I30" s="163">
        <f t="shared" si="3"/>
        <v>170299.8</v>
      </c>
      <c r="J30" s="164">
        <f>'[2]Parcheged '!H30</f>
        <v>0</v>
      </c>
      <c r="K30" s="163">
        <f t="shared" si="4"/>
        <v>0</v>
      </c>
      <c r="L30" s="163">
        <f t="shared" si="5"/>
        <v>0</v>
      </c>
      <c r="M30" s="163">
        <f t="shared" si="6"/>
        <v>0</v>
      </c>
      <c r="N30" s="163">
        <f t="shared" si="7"/>
        <v>0</v>
      </c>
      <c r="O30" s="163">
        <f t="shared" si="8"/>
        <v>345760.19999999995</v>
      </c>
      <c r="P30" s="163">
        <f t="shared" si="8"/>
        <v>170299.8</v>
      </c>
      <c r="Q30" s="163">
        <f t="shared" si="9"/>
        <v>516059.99999999994</v>
      </c>
    </row>
    <row r="31" spans="1:17" ht="25.5">
      <c r="A31" s="159">
        <v>26</v>
      </c>
      <c r="B31" s="165" t="s">
        <v>423</v>
      </c>
      <c r="C31" s="159" t="s">
        <v>340</v>
      </c>
      <c r="D31" s="165" t="s">
        <v>421</v>
      </c>
      <c r="E31" s="162">
        <f>'[2]Parcheged '!E31</f>
        <v>170</v>
      </c>
      <c r="F31" s="163">
        <f t="shared" si="0"/>
        <v>51</v>
      </c>
      <c r="G31" s="163">
        <f t="shared" si="1"/>
        <v>311100</v>
      </c>
      <c r="H31" s="163">
        <f t="shared" si="2"/>
        <v>208437</v>
      </c>
      <c r="I31" s="163">
        <f t="shared" si="3"/>
        <v>102663</v>
      </c>
      <c r="J31" s="164">
        <f>'[2]Parcheged '!H31</f>
        <v>0</v>
      </c>
      <c r="K31" s="163">
        <f t="shared" si="4"/>
        <v>0</v>
      </c>
      <c r="L31" s="163">
        <f t="shared" si="5"/>
        <v>0</v>
      </c>
      <c r="M31" s="163">
        <f t="shared" si="6"/>
        <v>0</v>
      </c>
      <c r="N31" s="163">
        <f t="shared" si="7"/>
        <v>0</v>
      </c>
      <c r="O31" s="163">
        <f t="shared" si="8"/>
        <v>208437</v>
      </c>
      <c r="P31" s="163">
        <f t="shared" si="8"/>
        <v>102663</v>
      </c>
      <c r="Q31" s="163">
        <f t="shared" si="9"/>
        <v>311100</v>
      </c>
    </row>
    <row r="32" spans="1:17">
      <c r="A32" s="159">
        <v>27</v>
      </c>
      <c r="B32" s="160" t="s">
        <v>229</v>
      </c>
      <c r="C32" s="161" t="s">
        <v>213</v>
      </c>
      <c r="D32" s="160" t="s">
        <v>230</v>
      </c>
      <c r="E32" s="162">
        <f>'[2]Parcheged '!E32</f>
        <v>1602</v>
      </c>
      <c r="F32" s="163">
        <f t="shared" si="0"/>
        <v>480.6</v>
      </c>
      <c r="G32" s="163">
        <f t="shared" si="1"/>
        <v>2931660</v>
      </c>
      <c r="H32" s="163">
        <f t="shared" si="2"/>
        <v>1964212.2000000002</v>
      </c>
      <c r="I32" s="163">
        <f t="shared" si="3"/>
        <v>967447.8</v>
      </c>
      <c r="J32" s="164">
        <f>'[2]Parcheged '!H32</f>
        <v>0</v>
      </c>
      <c r="K32" s="163">
        <f t="shared" si="4"/>
        <v>0</v>
      </c>
      <c r="L32" s="163">
        <f t="shared" si="5"/>
        <v>0</v>
      </c>
      <c r="M32" s="163">
        <f t="shared" si="6"/>
        <v>0</v>
      </c>
      <c r="N32" s="163">
        <f t="shared" si="7"/>
        <v>0</v>
      </c>
      <c r="O32" s="163">
        <f t="shared" si="8"/>
        <v>1964212.2000000002</v>
      </c>
      <c r="P32" s="163">
        <f t="shared" si="8"/>
        <v>967447.8</v>
      </c>
      <c r="Q32" s="163">
        <f t="shared" si="9"/>
        <v>2931660</v>
      </c>
    </row>
    <row r="33" spans="1:17">
      <c r="A33" s="159">
        <v>28</v>
      </c>
      <c r="B33" s="165" t="s">
        <v>231</v>
      </c>
      <c r="C33" s="159" t="s">
        <v>232</v>
      </c>
      <c r="D33" s="165" t="s">
        <v>233</v>
      </c>
      <c r="E33" s="162">
        <f>'[2]Parcheged '!E33</f>
        <v>0</v>
      </c>
      <c r="F33" s="163">
        <f t="shared" si="0"/>
        <v>0</v>
      </c>
      <c r="G33" s="163">
        <f t="shared" si="1"/>
        <v>0</v>
      </c>
      <c r="H33" s="163">
        <f t="shared" si="2"/>
        <v>0</v>
      </c>
      <c r="I33" s="163">
        <f t="shared" si="3"/>
        <v>0</v>
      </c>
      <c r="J33" s="164">
        <f>'[2]Parcheged '!H33</f>
        <v>0</v>
      </c>
      <c r="K33" s="163">
        <f t="shared" si="4"/>
        <v>0</v>
      </c>
      <c r="L33" s="163">
        <f t="shared" si="5"/>
        <v>0</v>
      </c>
      <c r="M33" s="163">
        <f t="shared" si="6"/>
        <v>0</v>
      </c>
      <c r="N33" s="163">
        <f t="shared" si="7"/>
        <v>0</v>
      </c>
      <c r="O33" s="163">
        <f t="shared" si="8"/>
        <v>0</v>
      </c>
      <c r="P33" s="163">
        <f t="shared" si="8"/>
        <v>0</v>
      </c>
      <c r="Q33" s="163">
        <f t="shared" si="9"/>
        <v>0</v>
      </c>
    </row>
    <row r="34" spans="1:17" ht="25.5">
      <c r="A34" s="159">
        <v>29</v>
      </c>
      <c r="B34" s="160" t="s">
        <v>234</v>
      </c>
      <c r="C34" s="161" t="s">
        <v>235</v>
      </c>
      <c r="D34" s="160" t="s">
        <v>236</v>
      </c>
      <c r="E34" s="162">
        <f>'[2]Parcheged '!E34</f>
        <v>1879</v>
      </c>
      <c r="F34" s="163">
        <f t="shared" si="0"/>
        <v>563.70000000000005</v>
      </c>
      <c r="G34" s="163">
        <f t="shared" si="1"/>
        <v>3438570.0000000005</v>
      </c>
      <c r="H34" s="163">
        <f t="shared" si="2"/>
        <v>2303841.9000000004</v>
      </c>
      <c r="I34" s="163">
        <f t="shared" si="3"/>
        <v>1134728.1000000001</v>
      </c>
      <c r="J34" s="164">
        <f>'[2]Parcheged '!H34</f>
        <v>0</v>
      </c>
      <c r="K34" s="163">
        <f t="shared" si="4"/>
        <v>0</v>
      </c>
      <c r="L34" s="163">
        <f t="shared" si="5"/>
        <v>0</v>
      </c>
      <c r="M34" s="163">
        <f t="shared" si="6"/>
        <v>0</v>
      </c>
      <c r="N34" s="163">
        <f t="shared" si="7"/>
        <v>0</v>
      </c>
      <c r="O34" s="163">
        <f t="shared" si="8"/>
        <v>2303841.9000000004</v>
      </c>
      <c r="P34" s="163">
        <f t="shared" si="8"/>
        <v>1134728.1000000001</v>
      </c>
      <c r="Q34" s="163">
        <f t="shared" si="9"/>
        <v>3438570.0000000005</v>
      </c>
    </row>
    <row r="35" spans="1:17" ht="25.5">
      <c r="A35" s="159">
        <v>30</v>
      </c>
      <c r="B35" s="160" t="s">
        <v>237</v>
      </c>
      <c r="C35" s="161" t="s">
        <v>238</v>
      </c>
      <c r="D35" s="160" t="s">
        <v>236</v>
      </c>
      <c r="E35" s="162">
        <f>'[2]Parcheged '!E35</f>
        <v>385</v>
      </c>
      <c r="F35" s="163">
        <f t="shared" si="0"/>
        <v>115.5</v>
      </c>
      <c r="G35" s="163">
        <f t="shared" si="1"/>
        <v>704550</v>
      </c>
      <c r="H35" s="163">
        <f t="shared" si="2"/>
        <v>472048.5</v>
      </c>
      <c r="I35" s="163">
        <f t="shared" si="3"/>
        <v>232501.5</v>
      </c>
      <c r="J35" s="164">
        <f>'[2]Parcheged '!H35</f>
        <v>0</v>
      </c>
      <c r="K35" s="163">
        <f t="shared" si="4"/>
        <v>0</v>
      </c>
      <c r="L35" s="163">
        <f t="shared" si="5"/>
        <v>0</v>
      </c>
      <c r="M35" s="163">
        <f t="shared" si="6"/>
        <v>0</v>
      </c>
      <c r="N35" s="163">
        <f t="shared" si="7"/>
        <v>0</v>
      </c>
      <c r="O35" s="163">
        <f t="shared" si="8"/>
        <v>472048.5</v>
      </c>
      <c r="P35" s="163">
        <f t="shared" si="8"/>
        <v>232501.5</v>
      </c>
      <c r="Q35" s="163">
        <f t="shared" si="9"/>
        <v>704550</v>
      </c>
    </row>
    <row r="36" spans="1:17" ht="25.5">
      <c r="A36" s="159">
        <v>31</v>
      </c>
      <c r="B36" s="160" t="s">
        <v>239</v>
      </c>
      <c r="C36" s="161" t="s">
        <v>240</v>
      </c>
      <c r="D36" s="160" t="s">
        <v>236</v>
      </c>
      <c r="E36" s="162">
        <f>'[2]Parcheged '!E36</f>
        <v>534</v>
      </c>
      <c r="F36" s="163">
        <f t="shared" si="0"/>
        <v>160.19999999999999</v>
      </c>
      <c r="G36" s="163">
        <f t="shared" si="1"/>
        <v>977219.99999999988</v>
      </c>
      <c r="H36" s="163">
        <f t="shared" si="2"/>
        <v>654737.39999999991</v>
      </c>
      <c r="I36" s="163">
        <f t="shared" si="3"/>
        <v>322482.59999999998</v>
      </c>
      <c r="J36" s="164">
        <f>'[2]Parcheged '!H36</f>
        <v>0</v>
      </c>
      <c r="K36" s="163">
        <f t="shared" si="4"/>
        <v>0</v>
      </c>
      <c r="L36" s="163">
        <f t="shared" si="5"/>
        <v>0</v>
      </c>
      <c r="M36" s="163">
        <f t="shared" si="6"/>
        <v>0</v>
      </c>
      <c r="N36" s="163">
        <f t="shared" si="7"/>
        <v>0</v>
      </c>
      <c r="O36" s="163">
        <f t="shared" si="8"/>
        <v>654737.39999999991</v>
      </c>
      <c r="P36" s="163">
        <f t="shared" si="8"/>
        <v>322482.59999999998</v>
      </c>
      <c r="Q36" s="163">
        <f t="shared" si="9"/>
        <v>977219.99999999988</v>
      </c>
    </row>
    <row r="37" spans="1:17" ht="25.5">
      <c r="A37" s="159">
        <v>32</v>
      </c>
      <c r="B37" s="165" t="s">
        <v>241</v>
      </c>
      <c r="C37" s="159" t="s">
        <v>242</v>
      </c>
      <c r="D37" s="165" t="s">
        <v>236</v>
      </c>
      <c r="E37" s="162">
        <f>'[2]Parcheged '!E37</f>
        <v>301</v>
      </c>
      <c r="F37" s="163">
        <f t="shared" si="0"/>
        <v>90.3</v>
      </c>
      <c r="G37" s="163">
        <f t="shared" si="1"/>
        <v>550830</v>
      </c>
      <c r="H37" s="163">
        <f t="shared" si="2"/>
        <v>369056.10000000003</v>
      </c>
      <c r="I37" s="163">
        <f t="shared" si="3"/>
        <v>181773.9</v>
      </c>
      <c r="J37" s="164">
        <f>'[2]Parcheged '!H37</f>
        <v>0</v>
      </c>
      <c r="K37" s="163">
        <f t="shared" si="4"/>
        <v>0</v>
      </c>
      <c r="L37" s="163">
        <f t="shared" si="5"/>
        <v>0</v>
      </c>
      <c r="M37" s="163">
        <f t="shared" si="6"/>
        <v>0</v>
      </c>
      <c r="N37" s="163">
        <f t="shared" si="7"/>
        <v>0</v>
      </c>
      <c r="O37" s="163">
        <f t="shared" si="8"/>
        <v>369056.10000000003</v>
      </c>
      <c r="P37" s="163">
        <f t="shared" si="8"/>
        <v>181773.9</v>
      </c>
      <c r="Q37" s="163">
        <f t="shared" si="9"/>
        <v>550830</v>
      </c>
    </row>
    <row r="38" spans="1:17" ht="25.5">
      <c r="A38" s="159">
        <v>33</v>
      </c>
      <c r="B38" s="160" t="s">
        <v>243</v>
      </c>
      <c r="C38" s="161" t="s">
        <v>224</v>
      </c>
      <c r="D38" s="160" t="s">
        <v>236</v>
      </c>
      <c r="E38" s="162">
        <f>'[2]Parcheged '!E38</f>
        <v>449</v>
      </c>
      <c r="F38" s="163">
        <f t="shared" si="0"/>
        <v>134.69999999999999</v>
      </c>
      <c r="G38" s="163">
        <f t="shared" si="1"/>
        <v>821669.99999999988</v>
      </c>
      <c r="H38" s="163">
        <f t="shared" si="2"/>
        <v>550518.89999999991</v>
      </c>
      <c r="I38" s="163">
        <f t="shared" si="3"/>
        <v>271151.09999999998</v>
      </c>
      <c r="J38" s="164">
        <f>'[2]Parcheged '!H38</f>
        <v>0</v>
      </c>
      <c r="K38" s="163">
        <f t="shared" si="4"/>
        <v>0</v>
      </c>
      <c r="L38" s="163">
        <f t="shared" si="5"/>
        <v>0</v>
      </c>
      <c r="M38" s="163">
        <f t="shared" si="6"/>
        <v>0</v>
      </c>
      <c r="N38" s="163">
        <f t="shared" si="7"/>
        <v>0</v>
      </c>
      <c r="O38" s="163">
        <f t="shared" si="8"/>
        <v>550518.89999999991</v>
      </c>
      <c r="P38" s="163">
        <f t="shared" si="8"/>
        <v>271151.09999999998</v>
      </c>
      <c r="Q38" s="163">
        <f t="shared" si="9"/>
        <v>821669.99999999988</v>
      </c>
    </row>
    <row r="39" spans="1:17" ht="25.5">
      <c r="A39" s="159">
        <v>34</v>
      </c>
      <c r="B39" s="160" t="s">
        <v>244</v>
      </c>
      <c r="C39" s="161" t="s">
        <v>175</v>
      </c>
      <c r="D39" s="160" t="s">
        <v>236</v>
      </c>
      <c r="E39" s="162">
        <f>'[2]Parcheged '!E39</f>
        <v>294</v>
      </c>
      <c r="F39" s="163">
        <f t="shared" si="0"/>
        <v>88.2</v>
      </c>
      <c r="G39" s="163">
        <f t="shared" si="1"/>
        <v>538020</v>
      </c>
      <c r="H39" s="163">
        <f t="shared" si="2"/>
        <v>360473.4</v>
      </c>
      <c r="I39" s="163">
        <f t="shared" si="3"/>
        <v>177546.6</v>
      </c>
      <c r="J39" s="164">
        <f>'[2]Parcheged '!H39</f>
        <v>0</v>
      </c>
      <c r="K39" s="163">
        <f t="shared" si="4"/>
        <v>0</v>
      </c>
      <c r="L39" s="163">
        <f t="shared" si="5"/>
        <v>0</v>
      </c>
      <c r="M39" s="163">
        <f t="shared" si="6"/>
        <v>0</v>
      </c>
      <c r="N39" s="163">
        <f t="shared" si="7"/>
        <v>0</v>
      </c>
      <c r="O39" s="163">
        <f t="shared" si="8"/>
        <v>360473.4</v>
      </c>
      <c r="P39" s="163">
        <f t="shared" si="8"/>
        <v>177546.6</v>
      </c>
      <c r="Q39" s="163">
        <f t="shared" si="9"/>
        <v>538020</v>
      </c>
    </row>
    <row r="40" spans="1:17">
      <c r="A40" s="159">
        <v>35</v>
      </c>
      <c r="B40" s="165" t="s">
        <v>245</v>
      </c>
      <c r="C40" s="159" t="s">
        <v>246</v>
      </c>
      <c r="D40" s="165" t="s">
        <v>247</v>
      </c>
      <c r="E40" s="162">
        <f>'[2]Parcheged '!E40</f>
        <v>100</v>
      </c>
      <c r="F40" s="163">
        <f t="shared" si="0"/>
        <v>30</v>
      </c>
      <c r="G40" s="163">
        <f t="shared" si="1"/>
        <v>183000</v>
      </c>
      <c r="H40" s="163">
        <f t="shared" si="2"/>
        <v>122610.00000000001</v>
      </c>
      <c r="I40" s="163">
        <f t="shared" si="3"/>
        <v>60390</v>
      </c>
      <c r="J40" s="164">
        <f>'[2]Parcheged '!H40</f>
        <v>12</v>
      </c>
      <c r="K40" s="163">
        <f t="shared" si="4"/>
        <v>3.6</v>
      </c>
      <c r="L40" s="163">
        <f t="shared" si="5"/>
        <v>23040</v>
      </c>
      <c r="M40" s="163">
        <f t="shared" si="6"/>
        <v>15436.800000000001</v>
      </c>
      <c r="N40" s="163">
        <f t="shared" si="7"/>
        <v>7603.2000000000007</v>
      </c>
      <c r="O40" s="163">
        <f t="shared" si="8"/>
        <v>138046.80000000002</v>
      </c>
      <c r="P40" s="163">
        <f t="shared" si="8"/>
        <v>67993.2</v>
      </c>
      <c r="Q40" s="163">
        <f t="shared" si="9"/>
        <v>206040</v>
      </c>
    </row>
    <row r="41" spans="1:17" ht="38.25">
      <c r="A41" s="159">
        <v>36</v>
      </c>
      <c r="B41" s="165" t="s">
        <v>248</v>
      </c>
      <c r="C41" s="159" t="s">
        <v>249</v>
      </c>
      <c r="D41" s="165" t="s">
        <v>247</v>
      </c>
      <c r="E41" s="162">
        <f>'[2]Parcheged '!E41</f>
        <v>110</v>
      </c>
      <c r="F41" s="163">
        <f t="shared" si="0"/>
        <v>33</v>
      </c>
      <c r="G41" s="163">
        <f t="shared" si="1"/>
        <v>201300</v>
      </c>
      <c r="H41" s="163">
        <f t="shared" si="2"/>
        <v>134871</v>
      </c>
      <c r="I41" s="163">
        <f t="shared" si="3"/>
        <v>66429</v>
      </c>
      <c r="J41" s="164">
        <f>'[2]Parcheged '!H41</f>
        <v>0</v>
      </c>
      <c r="K41" s="163">
        <f t="shared" si="4"/>
        <v>0</v>
      </c>
      <c r="L41" s="163">
        <f t="shared" si="5"/>
        <v>0</v>
      </c>
      <c r="M41" s="163">
        <f t="shared" si="6"/>
        <v>0</v>
      </c>
      <c r="N41" s="163">
        <f t="shared" si="7"/>
        <v>0</v>
      </c>
      <c r="O41" s="163">
        <f t="shared" si="8"/>
        <v>134871</v>
      </c>
      <c r="P41" s="163">
        <f t="shared" si="8"/>
        <v>66429</v>
      </c>
      <c r="Q41" s="163">
        <f t="shared" si="9"/>
        <v>201300</v>
      </c>
    </row>
    <row r="42" spans="1:17" ht="51">
      <c r="A42" s="159">
        <v>37</v>
      </c>
      <c r="B42" s="159" t="s">
        <v>250</v>
      </c>
      <c r="C42" s="159" t="s">
        <v>240</v>
      </c>
      <c r="D42" s="159" t="s">
        <v>251</v>
      </c>
      <c r="E42" s="162">
        <f>'[2]Parcheged '!E42</f>
        <v>883</v>
      </c>
      <c r="F42" s="163">
        <f t="shared" si="0"/>
        <v>264.89999999999998</v>
      </c>
      <c r="G42" s="163">
        <f t="shared" si="1"/>
        <v>1615889.9999999998</v>
      </c>
      <c r="H42" s="163">
        <f t="shared" si="2"/>
        <v>1082646.2999999998</v>
      </c>
      <c r="I42" s="163">
        <f t="shared" si="3"/>
        <v>533243.69999999995</v>
      </c>
      <c r="J42" s="164">
        <f>'[2]Parcheged '!H42</f>
        <v>0</v>
      </c>
      <c r="K42" s="163">
        <f t="shared" si="4"/>
        <v>0</v>
      </c>
      <c r="L42" s="163">
        <f t="shared" si="5"/>
        <v>0</v>
      </c>
      <c r="M42" s="163">
        <f t="shared" si="6"/>
        <v>0</v>
      </c>
      <c r="N42" s="163">
        <f t="shared" si="7"/>
        <v>0</v>
      </c>
      <c r="O42" s="163">
        <f t="shared" si="8"/>
        <v>1082646.2999999998</v>
      </c>
      <c r="P42" s="163">
        <f t="shared" si="8"/>
        <v>533243.69999999995</v>
      </c>
      <c r="Q42" s="163">
        <f t="shared" si="9"/>
        <v>1615889.9999999998</v>
      </c>
    </row>
    <row r="43" spans="1:17" ht="25.5">
      <c r="A43" s="159">
        <v>38</v>
      </c>
      <c r="B43" s="165" t="s">
        <v>253</v>
      </c>
      <c r="C43" s="159" t="s">
        <v>254</v>
      </c>
      <c r="D43" s="165" t="s">
        <v>251</v>
      </c>
      <c r="E43" s="162">
        <f>'[2]Parcheged '!E43</f>
        <v>252</v>
      </c>
      <c r="F43" s="163">
        <f t="shared" si="0"/>
        <v>75.599999999999994</v>
      </c>
      <c r="G43" s="163">
        <f t="shared" si="1"/>
        <v>461159.99999999994</v>
      </c>
      <c r="H43" s="163">
        <f t="shared" si="2"/>
        <v>308977.19999999995</v>
      </c>
      <c r="I43" s="163">
        <f t="shared" si="3"/>
        <v>152182.79999999999</v>
      </c>
      <c r="J43" s="164">
        <f>'[2]Parcheged '!H43</f>
        <v>0</v>
      </c>
      <c r="K43" s="163">
        <f t="shared" si="4"/>
        <v>0</v>
      </c>
      <c r="L43" s="163">
        <f t="shared" si="5"/>
        <v>0</v>
      </c>
      <c r="M43" s="163">
        <f t="shared" si="6"/>
        <v>0</v>
      </c>
      <c r="N43" s="163">
        <f t="shared" si="7"/>
        <v>0</v>
      </c>
      <c r="O43" s="163">
        <f t="shared" si="8"/>
        <v>308977.19999999995</v>
      </c>
      <c r="P43" s="163">
        <f t="shared" si="8"/>
        <v>152182.79999999999</v>
      </c>
      <c r="Q43" s="163">
        <f t="shared" si="9"/>
        <v>461159.99999999994</v>
      </c>
    </row>
    <row r="44" spans="1:17">
      <c r="A44" s="159">
        <v>39</v>
      </c>
      <c r="B44" s="165" t="s">
        <v>255</v>
      </c>
      <c r="C44" s="159" t="s">
        <v>235</v>
      </c>
      <c r="D44" s="165" t="s">
        <v>251</v>
      </c>
      <c r="E44" s="162">
        <f>'[2]Parcheged '!E44</f>
        <v>567</v>
      </c>
      <c r="F44" s="163">
        <f t="shared" si="0"/>
        <v>170.1</v>
      </c>
      <c r="G44" s="163">
        <f t="shared" si="1"/>
        <v>1037610</v>
      </c>
      <c r="H44" s="163">
        <f t="shared" si="2"/>
        <v>695198.70000000007</v>
      </c>
      <c r="I44" s="163">
        <f t="shared" si="3"/>
        <v>342411.3</v>
      </c>
      <c r="J44" s="164">
        <f>'[2]Parcheged '!H44</f>
        <v>0</v>
      </c>
      <c r="K44" s="163">
        <f t="shared" si="4"/>
        <v>0</v>
      </c>
      <c r="L44" s="163">
        <f t="shared" si="5"/>
        <v>0</v>
      </c>
      <c r="M44" s="163">
        <f t="shared" si="6"/>
        <v>0</v>
      </c>
      <c r="N44" s="163">
        <f t="shared" si="7"/>
        <v>0</v>
      </c>
      <c r="O44" s="163">
        <f t="shared" si="8"/>
        <v>695198.70000000007</v>
      </c>
      <c r="P44" s="163">
        <f t="shared" si="8"/>
        <v>342411.3</v>
      </c>
      <c r="Q44" s="163">
        <f t="shared" si="9"/>
        <v>1037610</v>
      </c>
    </row>
    <row r="45" spans="1:17" ht="38.25">
      <c r="A45" s="159">
        <v>40</v>
      </c>
      <c r="B45" s="165" t="s">
        <v>256</v>
      </c>
      <c r="C45" s="159" t="s">
        <v>228</v>
      </c>
      <c r="D45" s="165" t="s">
        <v>251</v>
      </c>
      <c r="E45" s="162">
        <f>'[2]Parcheged '!E45</f>
        <v>237</v>
      </c>
      <c r="F45" s="163">
        <f t="shared" si="0"/>
        <v>71.099999999999994</v>
      </c>
      <c r="G45" s="163">
        <f t="shared" si="1"/>
        <v>433709.99999999994</v>
      </c>
      <c r="H45" s="163">
        <f t="shared" si="2"/>
        <v>290585.69999999995</v>
      </c>
      <c r="I45" s="163">
        <f t="shared" si="3"/>
        <v>143124.29999999999</v>
      </c>
      <c r="J45" s="164">
        <f>'[2]Parcheged '!H45</f>
        <v>0</v>
      </c>
      <c r="K45" s="163">
        <f t="shared" si="4"/>
        <v>0</v>
      </c>
      <c r="L45" s="163">
        <f t="shared" si="5"/>
        <v>0</v>
      </c>
      <c r="M45" s="163">
        <f t="shared" si="6"/>
        <v>0</v>
      </c>
      <c r="N45" s="163">
        <f t="shared" si="7"/>
        <v>0</v>
      </c>
      <c r="O45" s="163">
        <f t="shared" si="8"/>
        <v>290585.69999999995</v>
      </c>
      <c r="P45" s="163">
        <f t="shared" si="8"/>
        <v>143124.29999999999</v>
      </c>
      <c r="Q45" s="163">
        <f t="shared" si="9"/>
        <v>433709.99999999994</v>
      </c>
    </row>
    <row r="46" spans="1:17" ht="38.25">
      <c r="A46" s="159">
        <v>41</v>
      </c>
      <c r="B46" s="159" t="s">
        <v>257</v>
      </c>
      <c r="C46" s="159" t="s">
        <v>164</v>
      </c>
      <c r="D46" s="159" t="s">
        <v>258</v>
      </c>
      <c r="E46" s="162">
        <f>'[2]Parcheged '!E46</f>
        <v>0</v>
      </c>
      <c r="F46" s="163">
        <f t="shared" si="0"/>
        <v>0</v>
      </c>
      <c r="G46" s="163">
        <f t="shared" si="1"/>
        <v>0</v>
      </c>
      <c r="H46" s="163">
        <f t="shared" si="2"/>
        <v>0</v>
      </c>
      <c r="I46" s="163">
        <f t="shared" si="3"/>
        <v>0</v>
      </c>
      <c r="J46" s="173">
        <f>'[2]Parcheged '!H46</f>
        <v>94</v>
      </c>
      <c r="K46" s="163">
        <f t="shared" si="4"/>
        <v>28.2</v>
      </c>
      <c r="L46" s="163">
        <f t="shared" si="5"/>
        <v>180480</v>
      </c>
      <c r="M46" s="163">
        <f t="shared" si="6"/>
        <v>120921.60000000001</v>
      </c>
      <c r="N46" s="163">
        <f t="shared" si="7"/>
        <v>59558.400000000001</v>
      </c>
      <c r="O46" s="163">
        <f t="shared" si="8"/>
        <v>120921.60000000001</v>
      </c>
      <c r="P46" s="163">
        <f t="shared" si="8"/>
        <v>59558.400000000001</v>
      </c>
      <c r="Q46" s="163">
        <f t="shared" si="9"/>
        <v>180480</v>
      </c>
    </row>
    <row r="47" spans="1:17" ht="38.25">
      <c r="A47" s="159">
        <v>42</v>
      </c>
      <c r="B47" s="159" t="s">
        <v>259</v>
      </c>
      <c r="C47" s="159" t="s">
        <v>260</v>
      </c>
      <c r="D47" s="159" t="s">
        <v>258</v>
      </c>
      <c r="E47" s="162">
        <f>'[2]Parcheged '!E47</f>
        <v>0</v>
      </c>
      <c r="F47" s="163">
        <f t="shared" si="0"/>
        <v>0</v>
      </c>
      <c r="G47" s="163">
        <f t="shared" si="1"/>
        <v>0</v>
      </c>
      <c r="H47" s="163">
        <f t="shared" si="2"/>
        <v>0</v>
      </c>
      <c r="I47" s="163">
        <f t="shared" si="3"/>
        <v>0</v>
      </c>
      <c r="J47" s="173">
        <f>'[2]Parcheged '!H47</f>
        <v>86</v>
      </c>
      <c r="K47" s="163">
        <f t="shared" si="4"/>
        <v>25.8</v>
      </c>
      <c r="L47" s="163">
        <f t="shared" si="5"/>
        <v>165120</v>
      </c>
      <c r="M47" s="163">
        <f t="shared" si="6"/>
        <v>110630.40000000001</v>
      </c>
      <c r="N47" s="163">
        <f t="shared" si="7"/>
        <v>54489.600000000006</v>
      </c>
      <c r="O47" s="163">
        <f t="shared" si="8"/>
        <v>110630.40000000001</v>
      </c>
      <c r="P47" s="163">
        <f t="shared" si="8"/>
        <v>54489.600000000006</v>
      </c>
      <c r="Q47" s="163">
        <f t="shared" si="9"/>
        <v>165120</v>
      </c>
    </row>
    <row r="48" spans="1:17" ht="38.25">
      <c r="A48" s="159">
        <v>43</v>
      </c>
      <c r="B48" s="165" t="s">
        <v>261</v>
      </c>
      <c r="C48" s="159" t="s">
        <v>262</v>
      </c>
      <c r="D48" s="165" t="s">
        <v>258</v>
      </c>
      <c r="E48" s="162">
        <f>'[2]Parcheged '!E48</f>
        <v>0</v>
      </c>
      <c r="F48" s="163">
        <f t="shared" si="0"/>
        <v>0</v>
      </c>
      <c r="G48" s="163">
        <f t="shared" si="1"/>
        <v>0</v>
      </c>
      <c r="H48" s="163">
        <f t="shared" si="2"/>
        <v>0</v>
      </c>
      <c r="I48" s="163">
        <f t="shared" si="3"/>
        <v>0</v>
      </c>
      <c r="J48" s="164">
        <f>'[2]Parcheged '!H48</f>
        <v>67</v>
      </c>
      <c r="K48" s="163">
        <f t="shared" si="4"/>
        <v>20.100000000000001</v>
      </c>
      <c r="L48" s="163">
        <f t="shared" si="5"/>
        <v>128640.00000000001</v>
      </c>
      <c r="M48" s="163">
        <f t="shared" si="6"/>
        <v>86188.800000000017</v>
      </c>
      <c r="N48" s="163">
        <f t="shared" si="7"/>
        <v>42451.200000000004</v>
      </c>
      <c r="O48" s="163">
        <f t="shared" si="8"/>
        <v>86188.800000000017</v>
      </c>
      <c r="P48" s="163">
        <f t="shared" si="8"/>
        <v>42451.200000000004</v>
      </c>
      <c r="Q48" s="163">
        <f t="shared" si="9"/>
        <v>128640.00000000003</v>
      </c>
    </row>
    <row r="49" spans="1:17" ht="25.5">
      <c r="A49" s="159">
        <v>44</v>
      </c>
      <c r="B49" s="165" t="s">
        <v>263</v>
      </c>
      <c r="C49" s="159" t="s">
        <v>264</v>
      </c>
      <c r="D49" s="165" t="s">
        <v>265</v>
      </c>
      <c r="E49" s="162">
        <f>'[2]Parcheged '!E49</f>
        <v>396</v>
      </c>
      <c r="F49" s="163">
        <f t="shared" si="0"/>
        <v>118.8</v>
      </c>
      <c r="G49" s="163">
        <f t="shared" si="1"/>
        <v>724680</v>
      </c>
      <c r="H49" s="163">
        <f t="shared" si="2"/>
        <v>485535.60000000003</v>
      </c>
      <c r="I49" s="163">
        <f t="shared" si="3"/>
        <v>239144.40000000002</v>
      </c>
      <c r="J49" s="164">
        <f>'[2]Parcheged '!H49</f>
        <v>0</v>
      </c>
      <c r="K49" s="163">
        <f t="shared" si="4"/>
        <v>0</v>
      </c>
      <c r="L49" s="163">
        <f t="shared" si="5"/>
        <v>0</v>
      </c>
      <c r="M49" s="163">
        <f t="shared" si="6"/>
        <v>0</v>
      </c>
      <c r="N49" s="163">
        <f t="shared" si="7"/>
        <v>0</v>
      </c>
      <c r="O49" s="163">
        <f t="shared" si="8"/>
        <v>485535.60000000003</v>
      </c>
      <c r="P49" s="163">
        <f t="shared" si="8"/>
        <v>239144.40000000002</v>
      </c>
      <c r="Q49" s="163">
        <f t="shared" si="9"/>
        <v>724680</v>
      </c>
    </row>
    <row r="50" spans="1:17">
      <c r="A50" s="159">
        <v>45</v>
      </c>
      <c r="B50" s="165" t="s">
        <v>266</v>
      </c>
      <c r="C50" s="159" t="s">
        <v>208</v>
      </c>
      <c r="D50" s="165" t="s">
        <v>265</v>
      </c>
      <c r="E50" s="162">
        <f>'[2]Parcheged '!E50</f>
        <v>96</v>
      </c>
      <c r="F50" s="163">
        <f t="shared" si="0"/>
        <v>28.8</v>
      </c>
      <c r="G50" s="163">
        <f t="shared" si="1"/>
        <v>175680</v>
      </c>
      <c r="H50" s="163">
        <f t="shared" si="2"/>
        <v>117705.60000000001</v>
      </c>
      <c r="I50" s="163">
        <f t="shared" si="3"/>
        <v>57974.400000000001</v>
      </c>
      <c r="J50" s="164">
        <f>'[2]Parcheged '!H50</f>
        <v>0</v>
      </c>
      <c r="K50" s="163">
        <f t="shared" si="4"/>
        <v>0</v>
      </c>
      <c r="L50" s="163">
        <f t="shared" si="5"/>
        <v>0</v>
      </c>
      <c r="M50" s="163">
        <f t="shared" si="6"/>
        <v>0</v>
      </c>
      <c r="N50" s="163">
        <f t="shared" si="7"/>
        <v>0</v>
      </c>
      <c r="O50" s="163">
        <f t="shared" si="8"/>
        <v>117705.60000000001</v>
      </c>
      <c r="P50" s="163">
        <f t="shared" si="8"/>
        <v>57974.400000000001</v>
      </c>
      <c r="Q50" s="163">
        <f t="shared" si="9"/>
        <v>175680</v>
      </c>
    </row>
    <row r="51" spans="1:17" ht="38.25">
      <c r="A51" s="159">
        <v>46</v>
      </c>
      <c r="B51" s="165" t="s">
        <v>424</v>
      </c>
      <c r="C51" s="159" t="s">
        <v>425</v>
      </c>
      <c r="D51" s="165" t="s">
        <v>426</v>
      </c>
      <c r="E51" s="162">
        <f>'[2]Parcheged '!E51</f>
        <v>1521</v>
      </c>
      <c r="F51" s="163">
        <f t="shared" si="0"/>
        <v>456.3</v>
      </c>
      <c r="G51" s="163">
        <f t="shared" si="1"/>
        <v>2783430</v>
      </c>
      <c r="H51" s="163">
        <f t="shared" si="2"/>
        <v>1864898.1</v>
      </c>
      <c r="I51" s="163">
        <f t="shared" si="3"/>
        <v>918531.9</v>
      </c>
      <c r="J51" s="164">
        <f>'[2]Parcheged '!H51</f>
        <v>0</v>
      </c>
      <c r="K51" s="163">
        <f t="shared" si="4"/>
        <v>0</v>
      </c>
      <c r="L51" s="163">
        <f t="shared" si="5"/>
        <v>0</v>
      </c>
      <c r="M51" s="163">
        <f t="shared" si="6"/>
        <v>0</v>
      </c>
      <c r="N51" s="163">
        <f t="shared" si="7"/>
        <v>0</v>
      </c>
      <c r="O51" s="163">
        <f t="shared" si="8"/>
        <v>1864898.1</v>
      </c>
      <c r="P51" s="163">
        <f t="shared" si="8"/>
        <v>918531.9</v>
      </c>
      <c r="Q51" s="163">
        <f t="shared" si="9"/>
        <v>2783430</v>
      </c>
    </row>
    <row r="52" spans="1:17" ht="25.5">
      <c r="A52" s="159">
        <v>47</v>
      </c>
      <c r="B52" s="160" t="s">
        <v>176</v>
      </c>
      <c r="C52" s="166" t="s">
        <v>177</v>
      </c>
      <c r="D52" s="160" t="s">
        <v>427</v>
      </c>
      <c r="E52" s="162">
        <f>'[2]Parcheged '!E52</f>
        <v>922</v>
      </c>
      <c r="F52" s="163">
        <f t="shared" si="0"/>
        <v>276.60000000000002</v>
      </c>
      <c r="G52" s="163">
        <f t="shared" si="1"/>
        <v>1687260.0000000002</v>
      </c>
      <c r="H52" s="163">
        <f t="shared" si="2"/>
        <v>1130464.2000000002</v>
      </c>
      <c r="I52" s="163">
        <f t="shared" si="3"/>
        <v>556795.80000000005</v>
      </c>
      <c r="J52" s="164">
        <f>'[2]Parcheged '!H52</f>
        <v>45</v>
      </c>
      <c r="K52" s="163">
        <f t="shared" si="4"/>
        <v>13.5</v>
      </c>
      <c r="L52" s="163">
        <f t="shared" si="5"/>
        <v>86400</v>
      </c>
      <c r="M52" s="163">
        <f t="shared" si="6"/>
        <v>57888</v>
      </c>
      <c r="N52" s="163">
        <f t="shared" si="7"/>
        <v>28512</v>
      </c>
      <c r="O52" s="163">
        <f t="shared" si="8"/>
        <v>1188352.2000000002</v>
      </c>
      <c r="P52" s="163">
        <f t="shared" si="8"/>
        <v>585307.80000000005</v>
      </c>
      <c r="Q52" s="163">
        <f t="shared" si="9"/>
        <v>1773660.0000000002</v>
      </c>
    </row>
    <row r="53" spans="1:17" ht="38.25">
      <c r="A53" s="159">
        <v>48</v>
      </c>
      <c r="B53" s="165" t="s">
        <v>193</v>
      </c>
      <c r="C53" s="159" t="s">
        <v>194</v>
      </c>
      <c r="D53" s="165" t="s">
        <v>195</v>
      </c>
      <c r="E53" s="172">
        <f>'[2]Parcheged '!E53</f>
        <v>106</v>
      </c>
      <c r="F53" s="163">
        <f t="shared" si="0"/>
        <v>31.8</v>
      </c>
      <c r="G53" s="163">
        <f>F53*6100</f>
        <v>193980</v>
      </c>
      <c r="H53" s="163">
        <f t="shared" si="2"/>
        <v>129966.6</v>
      </c>
      <c r="I53" s="163">
        <f t="shared" si="3"/>
        <v>64013.4</v>
      </c>
      <c r="J53" s="164">
        <f>'[2]Parcheged '!H53</f>
        <v>0</v>
      </c>
      <c r="K53" s="163">
        <f t="shared" si="4"/>
        <v>0</v>
      </c>
      <c r="L53" s="163">
        <f>K53*6400</f>
        <v>0</v>
      </c>
      <c r="M53" s="163">
        <f t="shared" si="6"/>
        <v>0</v>
      </c>
      <c r="N53" s="163">
        <f t="shared" si="7"/>
        <v>0</v>
      </c>
      <c r="O53" s="163">
        <f t="shared" si="8"/>
        <v>129966.6</v>
      </c>
      <c r="P53" s="163">
        <f t="shared" si="8"/>
        <v>64013.4</v>
      </c>
      <c r="Q53" s="163">
        <f t="shared" si="9"/>
        <v>193980</v>
      </c>
    </row>
    <row r="54" spans="1:17">
      <c r="A54" s="289" t="s">
        <v>121</v>
      </c>
      <c r="B54" s="289"/>
      <c r="C54" s="289"/>
      <c r="D54" s="289"/>
      <c r="E54" s="167">
        <f t="shared" ref="E54:F54" si="10">SUM(E6:E53)</f>
        <v>27075</v>
      </c>
      <c r="F54" s="168">
        <f t="shared" si="10"/>
        <v>8122.5000000000027</v>
      </c>
      <c r="G54" s="168">
        <f>SUM(G6:G53)</f>
        <v>49547250</v>
      </c>
      <c r="H54" s="168">
        <f t="shared" ref="H54:J54" si="11">SUM(H6:H53)</f>
        <v>33196657.499999996</v>
      </c>
      <c r="I54" s="168">
        <f t="shared" si="11"/>
        <v>16350592.500000006</v>
      </c>
      <c r="J54" s="168">
        <f t="shared" si="11"/>
        <v>3194</v>
      </c>
      <c r="K54" s="168">
        <f>SUM(K6:K53)</f>
        <v>958.2</v>
      </c>
      <c r="L54" s="168">
        <f>SUM(L6:L53)</f>
        <v>6132480</v>
      </c>
      <c r="M54" s="168">
        <f t="shared" ref="M54:Q54" si="12">SUM(M6:M53)</f>
        <v>4108761.5999999992</v>
      </c>
      <c r="N54" s="168">
        <f t="shared" si="12"/>
        <v>2023718.4</v>
      </c>
      <c r="O54" s="168">
        <f t="shared" si="12"/>
        <v>37305419.100000009</v>
      </c>
      <c r="P54" s="168">
        <f t="shared" si="12"/>
        <v>18374310.899999999</v>
      </c>
      <c r="Q54" s="168">
        <f t="shared" si="12"/>
        <v>55679730</v>
      </c>
    </row>
    <row r="55" spans="1:17">
      <c r="K55" s="174">
        <f>F54+K54</f>
        <v>9080.7000000000025</v>
      </c>
    </row>
    <row r="56" spans="1:17">
      <c r="K56">
        <v>1477.8</v>
      </c>
    </row>
    <row r="57" spans="1:17">
      <c r="E57" s="174">
        <f>F10</f>
        <v>327.60000000000002</v>
      </c>
      <c r="K57" s="174">
        <f>K56+K55</f>
        <v>10558.500000000002</v>
      </c>
      <c r="L57">
        <f>K57*350</f>
        <v>3695475.0000000005</v>
      </c>
    </row>
    <row r="58" spans="1:17">
      <c r="E58">
        <f>E57*240</f>
        <v>78624</v>
      </c>
      <c r="L58">
        <v>5746701</v>
      </c>
    </row>
  </sheetData>
  <mergeCells count="10">
    <mergeCell ref="A54:D54"/>
    <mergeCell ref="A1:Q1"/>
    <mergeCell ref="A2:Q2"/>
    <mergeCell ref="A3:A4"/>
    <mergeCell ref="B3:B4"/>
    <mergeCell ref="C3:C4"/>
    <mergeCell ref="D3:D4"/>
    <mergeCell ref="E3:G3"/>
    <mergeCell ref="J3:L3"/>
    <mergeCell ref="O3:Q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selection sqref="A1:P54"/>
    </sheetView>
  </sheetViews>
  <sheetFormatPr defaultRowHeight="15"/>
  <cols>
    <col min="2" max="2" width="25.625" customWidth="1"/>
  </cols>
  <sheetData>
    <row r="1" spans="1:16" ht="18">
      <c r="A1" s="290" t="s">
        <v>445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</row>
    <row r="2" spans="1:16" ht="18">
      <c r="A2" s="291" t="s">
        <v>446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18">
      <c r="A3" s="175"/>
      <c r="B3" s="176"/>
      <c r="C3" s="175"/>
      <c r="D3" s="175"/>
      <c r="E3" s="294"/>
      <c r="F3" s="294"/>
      <c r="G3" s="294"/>
      <c r="H3" s="294"/>
      <c r="I3" s="176"/>
      <c r="J3" s="176"/>
      <c r="K3" s="176"/>
      <c r="L3" s="176"/>
      <c r="M3" s="176"/>
      <c r="N3" s="176"/>
      <c r="O3" s="175"/>
      <c r="P3" s="175"/>
    </row>
    <row r="4" spans="1:16" ht="63.75">
      <c r="A4" s="177" t="s">
        <v>404</v>
      </c>
      <c r="B4" s="177" t="s">
        <v>154</v>
      </c>
      <c r="C4" s="177" t="s">
        <v>32</v>
      </c>
      <c r="D4" s="177" t="s">
        <v>156</v>
      </c>
      <c r="E4" s="177" t="s">
        <v>410</v>
      </c>
      <c r="F4" s="177" t="s">
        <v>411</v>
      </c>
      <c r="G4" s="158" t="s">
        <v>436</v>
      </c>
      <c r="H4" s="158" t="s">
        <v>437</v>
      </c>
      <c r="I4" s="177" t="s">
        <v>439</v>
      </c>
      <c r="J4" s="177" t="s">
        <v>409</v>
      </c>
      <c r="K4" s="177" t="s">
        <v>447</v>
      </c>
      <c r="L4" s="177" t="s">
        <v>448</v>
      </c>
      <c r="M4" s="177" t="s">
        <v>449</v>
      </c>
      <c r="N4" s="177" t="s">
        <v>450</v>
      </c>
      <c r="O4" s="177" t="s">
        <v>451</v>
      </c>
      <c r="P4" s="178" t="s">
        <v>452</v>
      </c>
    </row>
    <row r="5" spans="1:16">
      <c r="A5" s="158">
        <v>1</v>
      </c>
      <c r="B5" s="179">
        <v>2</v>
      </c>
      <c r="C5" s="158">
        <v>3</v>
      </c>
      <c r="D5" s="158">
        <v>4</v>
      </c>
      <c r="E5" s="158">
        <v>5</v>
      </c>
      <c r="F5" s="158">
        <v>6</v>
      </c>
      <c r="G5" s="158">
        <v>7</v>
      </c>
      <c r="H5" s="158">
        <v>8</v>
      </c>
      <c r="I5" s="179">
        <v>9</v>
      </c>
      <c r="J5" s="179">
        <v>10</v>
      </c>
      <c r="K5" s="179">
        <v>11</v>
      </c>
      <c r="L5" s="179">
        <v>12</v>
      </c>
      <c r="M5" s="179">
        <v>13</v>
      </c>
      <c r="N5" s="179">
        <v>14</v>
      </c>
      <c r="O5" s="158">
        <v>15</v>
      </c>
      <c r="P5" s="180">
        <v>16</v>
      </c>
    </row>
    <row r="6" spans="1:16" ht="25.5">
      <c r="A6" s="159">
        <v>1</v>
      </c>
      <c r="B6" s="160" t="s">
        <v>161</v>
      </c>
      <c r="C6" s="161" t="s">
        <v>164</v>
      </c>
      <c r="D6" s="160" t="s">
        <v>163</v>
      </c>
      <c r="E6" s="162">
        <f>'[2]Sales '!E6+'[2]Sales '!J6</f>
        <v>333</v>
      </c>
      <c r="F6" s="163">
        <f>E6*30/100</f>
        <v>99.9</v>
      </c>
      <c r="G6" s="163">
        <f>'[2]Sales '!O6</f>
        <v>410462.10000000003</v>
      </c>
      <c r="H6" s="163">
        <f>'[2]Sales '!P6</f>
        <v>202167.90000000002</v>
      </c>
      <c r="I6" s="163">
        <f>'[2]Sales '!Q6</f>
        <v>612630</v>
      </c>
      <c r="J6" s="163">
        <v>1000000</v>
      </c>
      <c r="K6" s="163">
        <f>'[2]Parcheged '!K6</f>
        <v>592650</v>
      </c>
      <c r="L6" s="163">
        <f>'[2]Parcheged '!L6</f>
        <v>407350</v>
      </c>
      <c r="M6" s="163">
        <f t="shared" ref="M6:M54" si="0">G6+L6</f>
        <v>817812.10000000009</v>
      </c>
      <c r="N6" s="163">
        <v>814550</v>
      </c>
      <c r="O6" s="161">
        <v>10344</v>
      </c>
      <c r="P6" s="181">
        <f>N6-M6</f>
        <v>-3262.1000000000931</v>
      </c>
    </row>
    <row r="7" spans="1:16" ht="25.5">
      <c r="A7" s="159">
        <v>2</v>
      </c>
      <c r="B7" s="160" t="s">
        <v>165</v>
      </c>
      <c r="C7" s="161" t="s">
        <v>167</v>
      </c>
      <c r="D7" s="160" t="s">
        <v>163</v>
      </c>
      <c r="E7" s="162">
        <f>'[2]Sales '!E7+'[2]Sales '!J7</f>
        <v>356</v>
      </c>
      <c r="F7" s="163">
        <f t="shared" ref="F7:F53" si="1">E7*30/100</f>
        <v>106.8</v>
      </c>
      <c r="G7" s="163">
        <f>'[2]Sales '!O7</f>
        <v>441315.60000000003</v>
      </c>
      <c r="H7" s="163">
        <f>'[2]Sales '!P7</f>
        <v>217364.4</v>
      </c>
      <c r="I7" s="163">
        <f>'[2]Sales '!Q7</f>
        <v>658680</v>
      </c>
      <c r="J7" s="163">
        <v>500000</v>
      </c>
      <c r="K7" s="163">
        <f>'[2]Parcheged '!K7</f>
        <v>637320</v>
      </c>
      <c r="L7" s="163">
        <f>'[2]Parcheged '!L7</f>
        <v>-137320</v>
      </c>
      <c r="M7" s="163">
        <f t="shared" si="0"/>
        <v>303995.60000000003</v>
      </c>
      <c r="N7" s="163">
        <v>365855</v>
      </c>
      <c r="O7" s="161">
        <v>10306</v>
      </c>
      <c r="P7" s="181">
        <f t="shared" ref="P7:P54" si="2">N7-M7</f>
        <v>61859.399999999965</v>
      </c>
    </row>
    <row r="8" spans="1:16" ht="25.5">
      <c r="A8" s="159">
        <v>3</v>
      </c>
      <c r="B8" s="160" t="s">
        <v>168</v>
      </c>
      <c r="C8" s="161" t="s">
        <v>169</v>
      </c>
      <c r="D8" s="160" t="s">
        <v>163</v>
      </c>
      <c r="E8" s="162">
        <f>'[2]Sales '!E8+'[2]Sales '!J8</f>
        <v>265</v>
      </c>
      <c r="F8" s="163">
        <f t="shared" si="1"/>
        <v>79.5</v>
      </c>
      <c r="G8" s="163">
        <f>'[2]Sales '!O8</f>
        <v>329258.10000000003</v>
      </c>
      <c r="H8" s="163">
        <f>'[2]Sales '!P8</f>
        <v>162171.90000000002</v>
      </c>
      <c r="I8" s="163">
        <f>'[2]Sales '!Q8</f>
        <v>491430.00000000006</v>
      </c>
      <c r="J8" s="163">
        <v>500000</v>
      </c>
      <c r="K8" s="163">
        <f>'[2]Parcheged '!K8</f>
        <v>475530</v>
      </c>
      <c r="L8" s="163">
        <f>'[2]Parcheged '!L8</f>
        <v>24470</v>
      </c>
      <c r="M8" s="163">
        <f t="shared" si="0"/>
        <v>353728.10000000003</v>
      </c>
      <c r="N8" s="163">
        <v>353730</v>
      </c>
      <c r="O8" s="161">
        <v>10319</v>
      </c>
      <c r="P8" s="181">
        <f t="shared" si="2"/>
        <v>1.8999999999650754</v>
      </c>
    </row>
    <row r="9" spans="1:16" ht="25.5">
      <c r="A9" s="159">
        <v>4</v>
      </c>
      <c r="B9" s="160" t="s">
        <v>171</v>
      </c>
      <c r="C9" s="161" t="s">
        <v>172</v>
      </c>
      <c r="D9" s="160" t="s">
        <v>163</v>
      </c>
      <c r="E9" s="162">
        <f>'[2]Sales '!E9+'[2]Sales '!J9</f>
        <v>322</v>
      </c>
      <c r="F9" s="163">
        <f t="shared" si="1"/>
        <v>96.6</v>
      </c>
      <c r="G9" s="163">
        <f>'[2]Sales '!O9</f>
        <v>394804.2</v>
      </c>
      <c r="H9" s="163">
        <f>'[2]Sales '!P9</f>
        <v>194455.80000000002</v>
      </c>
      <c r="I9" s="163">
        <f>'[2]Sales '!Q9</f>
        <v>589260</v>
      </c>
      <c r="J9" s="163">
        <v>1000000</v>
      </c>
      <c r="K9" s="163">
        <f>'[2]Parcheged '!K9</f>
        <v>569940</v>
      </c>
      <c r="L9" s="163">
        <f>'[2]Parcheged '!L9</f>
        <v>430060</v>
      </c>
      <c r="M9" s="163">
        <f t="shared" si="0"/>
        <v>824864.2</v>
      </c>
      <c r="N9" s="182">
        <v>825410</v>
      </c>
      <c r="O9" s="161">
        <v>10333</v>
      </c>
      <c r="P9" s="181">
        <f>N9-M9</f>
        <v>545.80000000004657</v>
      </c>
    </row>
    <row r="10" spans="1:16" ht="51">
      <c r="A10" s="159">
        <v>5</v>
      </c>
      <c r="B10" s="160" t="s">
        <v>174</v>
      </c>
      <c r="C10" s="161" t="s">
        <v>175</v>
      </c>
      <c r="D10" s="160" t="s">
        <v>174</v>
      </c>
      <c r="E10" s="162">
        <f>'[2]Sales '!E10+'[2]Sales '!J10</f>
        <v>1092</v>
      </c>
      <c r="F10" s="163">
        <f t="shared" si="1"/>
        <v>327.60000000000002</v>
      </c>
      <c r="G10" s="163">
        <f>'[2]Sales '!O10</f>
        <v>1338901.2000000002</v>
      </c>
      <c r="H10" s="163">
        <f>'[2]Sales '!P10</f>
        <v>659458.80000000016</v>
      </c>
      <c r="I10" s="163">
        <f>'[2]Sales '!Q10</f>
        <v>1998360.0000000005</v>
      </c>
      <c r="J10" s="163">
        <v>2000000</v>
      </c>
      <c r="K10" s="163">
        <f>'[2]Parcheged '!K10</f>
        <v>1932840.0000000002</v>
      </c>
      <c r="L10" s="163">
        <f>'[2]Parcheged '!L10</f>
        <v>67159.999999999767</v>
      </c>
      <c r="M10" s="163">
        <f t="shared" si="0"/>
        <v>1406061.2</v>
      </c>
      <c r="N10" s="163">
        <v>1406061</v>
      </c>
      <c r="O10" s="161">
        <v>10120</v>
      </c>
      <c r="P10" s="181">
        <f t="shared" si="2"/>
        <v>-0.19999999995343387</v>
      </c>
    </row>
    <row r="11" spans="1:16" ht="25.5">
      <c r="A11" s="159">
        <v>6</v>
      </c>
      <c r="B11" s="165" t="s">
        <v>179</v>
      </c>
      <c r="C11" s="159" t="s">
        <v>180</v>
      </c>
      <c r="D11" s="165" t="s">
        <v>181</v>
      </c>
      <c r="E11" s="162">
        <f>'[2]Sales '!E11+'[2]Sales '!J11</f>
        <v>1400</v>
      </c>
      <c r="F11" s="163">
        <f t="shared" si="1"/>
        <v>420</v>
      </c>
      <c r="G11" s="163">
        <f>'[2]Sales '!O11</f>
        <v>1716540</v>
      </c>
      <c r="H11" s="163">
        <f>'[2]Sales '!P11</f>
        <v>845460</v>
      </c>
      <c r="I11" s="163">
        <f>'[2]Sales '!Q11</f>
        <v>2562000</v>
      </c>
      <c r="J11" s="163">
        <v>2478000</v>
      </c>
      <c r="K11" s="163">
        <f>'[2]Parcheged '!K11</f>
        <v>2478000</v>
      </c>
      <c r="L11" s="163">
        <f>'[2]Parcheged '!L11</f>
        <v>0</v>
      </c>
      <c r="M11" s="163">
        <f t="shared" si="0"/>
        <v>1716540</v>
      </c>
      <c r="N11" s="182">
        <v>1716540</v>
      </c>
      <c r="O11" s="159">
        <v>10227</v>
      </c>
      <c r="P11" s="181">
        <f t="shared" si="2"/>
        <v>0</v>
      </c>
    </row>
    <row r="12" spans="1:16" ht="25.5">
      <c r="A12" s="159">
        <v>7</v>
      </c>
      <c r="B12" s="183" t="s">
        <v>186</v>
      </c>
      <c r="C12" s="184" t="s">
        <v>187</v>
      </c>
      <c r="D12" s="183" t="s">
        <v>188</v>
      </c>
      <c r="E12" s="162">
        <f>'[2]Sales '!E12+'[2]Sales '!J12</f>
        <v>700</v>
      </c>
      <c r="F12" s="163">
        <f t="shared" si="1"/>
        <v>210</v>
      </c>
      <c r="G12" s="163">
        <f>'[2]Sales '!O12</f>
        <v>858270</v>
      </c>
      <c r="H12" s="163">
        <f>'[2]Sales '!P12</f>
        <v>422730</v>
      </c>
      <c r="I12" s="163">
        <f>'[2]Sales '!Q12</f>
        <v>1281000</v>
      </c>
      <c r="J12" s="163">
        <v>1239000</v>
      </c>
      <c r="K12" s="163">
        <f>'[2]Parcheged '!K12</f>
        <v>1239000</v>
      </c>
      <c r="L12" s="163">
        <f>'[2]Parcheged '!L12</f>
        <v>0</v>
      </c>
      <c r="M12" s="163">
        <f t="shared" si="0"/>
        <v>858270</v>
      </c>
      <c r="N12" s="163">
        <f>80923+858270</f>
        <v>939193</v>
      </c>
      <c r="O12" s="161">
        <v>10130</v>
      </c>
      <c r="P12" s="181">
        <f t="shared" si="2"/>
        <v>80923</v>
      </c>
    </row>
    <row r="13" spans="1:16" ht="25.5">
      <c r="A13" s="159">
        <v>8</v>
      </c>
      <c r="B13" s="160" t="s">
        <v>189</v>
      </c>
      <c r="C13" s="161" t="s">
        <v>190</v>
      </c>
      <c r="D13" s="160" t="s">
        <v>188</v>
      </c>
      <c r="E13" s="162">
        <f>'[2]Sales '!E13+'[2]Sales '!J13</f>
        <v>840</v>
      </c>
      <c r="F13" s="163">
        <f t="shared" si="1"/>
        <v>252</v>
      </c>
      <c r="G13" s="163">
        <f>'[2]Sales '!O13</f>
        <v>1029924.0000000001</v>
      </c>
      <c r="H13" s="163">
        <f>'[2]Sales '!P13</f>
        <v>507276</v>
      </c>
      <c r="I13" s="163">
        <f>'[2]Sales '!Q13</f>
        <v>1537200</v>
      </c>
      <c r="J13" s="163">
        <v>1486000</v>
      </c>
      <c r="K13" s="163">
        <f>'[2]Parcheged '!K13</f>
        <v>1486800</v>
      </c>
      <c r="L13" s="163">
        <f>'[2]Parcheged '!L13</f>
        <v>-800</v>
      </c>
      <c r="M13" s="163">
        <f t="shared" si="0"/>
        <v>1029124.0000000001</v>
      </c>
      <c r="N13" s="163">
        <v>1029924</v>
      </c>
      <c r="O13" s="161">
        <v>10148</v>
      </c>
      <c r="P13" s="181">
        <f t="shared" si="2"/>
        <v>799.99999999988358</v>
      </c>
    </row>
    <row r="14" spans="1:16" ht="25.5">
      <c r="A14" s="159">
        <v>9</v>
      </c>
      <c r="B14" s="160" t="s">
        <v>191</v>
      </c>
      <c r="C14" s="161" t="s">
        <v>192</v>
      </c>
      <c r="D14" s="160" t="s">
        <v>188</v>
      </c>
      <c r="E14" s="162">
        <f>'[2]Sales '!E14+'[2]Sales '!J14</f>
        <v>700</v>
      </c>
      <c r="F14" s="163">
        <f t="shared" si="1"/>
        <v>210</v>
      </c>
      <c r="G14" s="163">
        <f>'[2]Sales '!O14</f>
        <v>858270</v>
      </c>
      <c r="H14" s="163">
        <f>'[2]Sales '!P14</f>
        <v>422730</v>
      </c>
      <c r="I14" s="163">
        <f>'[2]Sales '!Q14</f>
        <v>1281000</v>
      </c>
      <c r="J14" s="163">
        <v>1239000</v>
      </c>
      <c r="K14" s="163">
        <f>'[2]Parcheged '!K14</f>
        <v>1239000</v>
      </c>
      <c r="L14" s="163">
        <f>'[2]Parcheged '!L14</f>
        <v>0</v>
      </c>
      <c r="M14" s="163">
        <f t="shared" si="0"/>
        <v>858270</v>
      </c>
      <c r="N14" s="163">
        <v>777350</v>
      </c>
      <c r="O14" s="161">
        <v>10113</v>
      </c>
      <c r="P14" s="181">
        <f t="shared" si="2"/>
        <v>-80920</v>
      </c>
    </row>
    <row r="15" spans="1:16" ht="25.5">
      <c r="A15" s="159">
        <v>10</v>
      </c>
      <c r="B15" s="160" t="s">
        <v>196</v>
      </c>
      <c r="C15" s="161" t="s">
        <v>197</v>
      </c>
      <c r="D15" s="160" t="s">
        <v>198</v>
      </c>
      <c r="E15" s="162">
        <f>'[2]Sales '!E15+'[2]Sales '!J15</f>
        <v>1514</v>
      </c>
      <c r="F15" s="163">
        <f t="shared" si="1"/>
        <v>454.2</v>
      </c>
      <c r="G15" s="163">
        <f>'[2]Sales '!O15</f>
        <v>1886224.2</v>
      </c>
      <c r="H15" s="163">
        <f>'[2]Sales '!P15</f>
        <v>929035.8</v>
      </c>
      <c r="I15" s="163">
        <f>'[2]Sales '!Q15</f>
        <v>2815260</v>
      </c>
      <c r="J15" s="163">
        <v>1000000</v>
      </c>
      <c r="K15" s="163">
        <f>'[2]Parcheged '!K15</f>
        <v>2724420</v>
      </c>
      <c r="L15" s="163">
        <f>'[2]Parcheged '!L15</f>
        <v>-1724420</v>
      </c>
      <c r="M15" s="163">
        <f t="shared" si="0"/>
        <v>161804.19999999995</v>
      </c>
      <c r="N15" s="163">
        <v>70935</v>
      </c>
      <c r="O15" s="185">
        <v>10316</v>
      </c>
      <c r="P15" s="181">
        <f t="shared" si="2"/>
        <v>-90869.199999999953</v>
      </c>
    </row>
    <row r="16" spans="1:16" ht="25.5">
      <c r="A16" s="159">
        <v>11</v>
      </c>
      <c r="B16" s="160" t="s">
        <v>199</v>
      </c>
      <c r="C16" s="161" t="s">
        <v>197</v>
      </c>
      <c r="D16" s="160" t="s">
        <v>198</v>
      </c>
      <c r="E16" s="162">
        <f>'[2]Sales '!E16+'[2]Sales '!J16</f>
        <v>1302</v>
      </c>
      <c r="F16" s="163">
        <f t="shared" si="1"/>
        <v>390.6</v>
      </c>
      <c r="G16" s="163">
        <f>'[2]Sales '!O16</f>
        <v>1661084.1</v>
      </c>
      <c r="H16" s="163">
        <f>'[2]Sales '!P16</f>
        <v>818145.89999999991</v>
      </c>
      <c r="I16" s="163">
        <f>'[2]Sales '!Q16</f>
        <v>2479230</v>
      </c>
      <c r="J16" s="163">
        <v>1000000</v>
      </c>
      <c r="K16" s="163">
        <f>'[2]Parcheged '!K16</f>
        <v>2401110</v>
      </c>
      <c r="L16" s="163">
        <f>'[2]Parcheged '!L16</f>
        <v>-1401110</v>
      </c>
      <c r="M16" s="163">
        <f t="shared" si="0"/>
        <v>259974.10000000009</v>
      </c>
      <c r="N16" s="186">
        <v>182310</v>
      </c>
      <c r="O16" s="161">
        <v>10339</v>
      </c>
      <c r="P16" s="181">
        <f t="shared" si="2"/>
        <v>-77664.100000000093</v>
      </c>
    </row>
    <row r="17" spans="1:16">
      <c r="A17" s="159">
        <v>12</v>
      </c>
      <c r="B17" s="160" t="s">
        <v>202</v>
      </c>
      <c r="C17" s="161" t="s">
        <v>203</v>
      </c>
      <c r="D17" s="160" t="s">
        <v>198</v>
      </c>
      <c r="E17" s="162">
        <f>'[2]Sales '!E17+'[2]Sales '!J17</f>
        <v>1345</v>
      </c>
      <c r="F17" s="163">
        <f t="shared" si="1"/>
        <v>403.5</v>
      </c>
      <c r="G17" s="163">
        <f>'[2]Sales '!O17</f>
        <v>1656461.1</v>
      </c>
      <c r="H17" s="163">
        <f>'[2]Sales '!P17</f>
        <v>815868.9</v>
      </c>
      <c r="I17" s="163">
        <f>'[2]Sales '!Q17</f>
        <v>2472330</v>
      </c>
      <c r="J17" s="163">
        <v>1000000</v>
      </c>
      <c r="K17" s="163">
        <f>'[2]Parcheged '!K17</f>
        <v>2391630</v>
      </c>
      <c r="L17" s="163">
        <f>'[2]Parcheged '!L17</f>
        <v>-1391630</v>
      </c>
      <c r="M17" s="163">
        <f t="shared" si="0"/>
        <v>264831.10000000009</v>
      </c>
      <c r="N17" s="163">
        <v>184131</v>
      </c>
      <c r="O17" s="161">
        <v>10159</v>
      </c>
      <c r="P17" s="181">
        <f t="shared" si="2"/>
        <v>-80700.100000000093</v>
      </c>
    </row>
    <row r="18" spans="1:16">
      <c r="A18" s="159">
        <v>13</v>
      </c>
      <c r="B18" s="160" t="s">
        <v>418</v>
      </c>
      <c r="C18" s="161" t="s">
        <v>206</v>
      </c>
      <c r="D18" s="160" t="s">
        <v>198</v>
      </c>
      <c r="E18" s="162">
        <f>'[2]Sales '!E18+'[2]Sales '!J18</f>
        <v>815</v>
      </c>
      <c r="F18" s="163">
        <f t="shared" si="1"/>
        <v>244.5</v>
      </c>
      <c r="G18" s="163">
        <f>'[2]Sales '!O18</f>
        <v>1032979.2000000002</v>
      </c>
      <c r="H18" s="163">
        <f>'[2]Sales '!P18</f>
        <v>508780.80000000005</v>
      </c>
      <c r="I18" s="163">
        <f>'[2]Sales '!Q18</f>
        <v>1541760.0000000002</v>
      </c>
      <c r="J18" s="163">
        <v>1000000</v>
      </c>
      <c r="K18" s="163">
        <f>'[2]Parcheged '!K18</f>
        <v>1492860</v>
      </c>
      <c r="L18" s="163">
        <f>'[2]Parcheged '!L18</f>
        <v>-492860</v>
      </c>
      <c r="M18" s="163">
        <f t="shared" si="0"/>
        <v>540119.20000000019</v>
      </c>
      <c r="N18" s="163">
        <v>465876</v>
      </c>
      <c r="O18" s="161">
        <v>10360</v>
      </c>
      <c r="P18" s="181">
        <f t="shared" si="2"/>
        <v>-74243.200000000186</v>
      </c>
    </row>
    <row r="19" spans="1:16" ht="25.5">
      <c r="A19" s="159">
        <v>14</v>
      </c>
      <c r="B19" s="160" t="s">
        <v>207</v>
      </c>
      <c r="C19" s="161" t="s">
        <v>208</v>
      </c>
      <c r="D19" s="160" t="s">
        <v>198</v>
      </c>
      <c r="E19" s="162">
        <f>'[2]Sales '!E19+'[2]Sales '!J19</f>
        <v>1178</v>
      </c>
      <c r="F19" s="163">
        <f t="shared" si="1"/>
        <v>353.4</v>
      </c>
      <c r="G19" s="163">
        <f>'[2]Sales '!O19</f>
        <v>1451581.7999999998</v>
      </c>
      <c r="H19" s="163">
        <f>'[2]Sales '!P19</f>
        <v>714958.2</v>
      </c>
      <c r="I19" s="163">
        <f>'[2]Sales '!Q19</f>
        <v>2166540</v>
      </c>
      <c r="J19" s="163">
        <v>1000000</v>
      </c>
      <c r="K19" s="163">
        <f>'[2]Parcheged '!K19</f>
        <v>2095859.9999999998</v>
      </c>
      <c r="L19" s="163">
        <f>'[2]Parcheged '!L19</f>
        <v>-1095859.9999999998</v>
      </c>
      <c r="M19" s="163">
        <f t="shared" si="0"/>
        <v>355721.80000000005</v>
      </c>
      <c r="N19" s="163">
        <v>285042</v>
      </c>
      <c r="O19" s="161">
        <v>10218</v>
      </c>
      <c r="P19" s="181">
        <f t="shared" si="2"/>
        <v>-70679.800000000047</v>
      </c>
    </row>
    <row r="20" spans="1:16" ht="25.5">
      <c r="A20" s="159">
        <v>15</v>
      </c>
      <c r="B20" s="160" t="s">
        <v>209</v>
      </c>
      <c r="C20" s="161" t="s">
        <v>210</v>
      </c>
      <c r="D20" s="160" t="s">
        <v>198</v>
      </c>
      <c r="E20" s="162">
        <f>'[2]Sales '!E20+'[2]Sales '!J20</f>
        <v>1128</v>
      </c>
      <c r="F20" s="163">
        <f t="shared" si="1"/>
        <v>338.4</v>
      </c>
      <c r="G20" s="163">
        <f>'[2]Sales '!O20</f>
        <v>1400286.6</v>
      </c>
      <c r="H20" s="163">
        <f>'[2]Sales '!P20</f>
        <v>689693.4</v>
      </c>
      <c r="I20" s="163">
        <f>'[2]Sales '!Q20</f>
        <v>2089980</v>
      </c>
      <c r="J20" s="163">
        <v>1000000</v>
      </c>
      <c r="K20" s="163">
        <f>'[2]Parcheged '!K20</f>
        <v>2022300</v>
      </c>
      <c r="L20" s="163">
        <f>'[2]Parcheged '!L20</f>
        <v>-1022300</v>
      </c>
      <c r="M20" s="163">
        <f t="shared" si="0"/>
        <v>377986.60000000009</v>
      </c>
      <c r="N20" s="163">
        <v>310278.37</v>
      </c>
      <c r="O20" s="161">
        <v>10207</v>
      </c>
      <c r="P20" s="181">
        <f t="shared" si="2"/>
        <v>-67708.230000000098</v>
      </c>
    </row>
    <row r="21" spans="1:16" ht="25.5">
      <c r="A21" s="159">
        <v>16</v>
      </c>
      <c r="B21" s="160" t="s">
        <v>419</v>
      </c>
      <c r="C21" s="161" t="s">
        <v>340</v>
      </c>
      <c r="D21" s="160" t="s">
        <v>214</v>
      </c>
      <c r="E21" s="162">
        <f>'[2]Sales '!E21+'[2]Sales '!J21</f>
        <v>0</v>
      </c>
      <c r="F21" s="163">
        <f t="shared" si="1"/>
        <v>0</v>
      </c>
      <c r="G21" s="163">
        <f>'[2]Sales '!O21</f>
        <v>0</v>
      </c>
      <c r="H21" s="163">
        <f>'[2]Sales '!P21</f>
        <v>0</v>
      </c>
      <c r="I21" s="163">
        <f>'[2]Sales '!Q21</f>
        <v>0</v>
      </c>
      <c r="J21" s="163">
        <v>200000</v>
      </c>
      <c r="K21" s="163">
        <f>'[2]Parcheged '!K21</f>
        <v>0</v>
      </c>
      <c r="L21" s="163">
        <f>'[2]Parcheged '!L21</f>
        <v>200000</v>
      </c>
      <c r="M21" s="163">
        <f t="shared" si="0"/>
        <v>200000</v>
      </c>
      <c r="N21" s="163">
        <v>200000</v>
      </c>
      <c r="O21" s="161">
        <v>10352</v>
      </c>
      <c r="P21" s="181">
        <f t="shared" si="2"/>
        <v>0</v>
      </c>
    </row>
    <row r="22" spans="1:16" ht="25.5">
      <c r="A22" s="159">
        <v>17</v>
      </c>
      <c r="B22" s="160" t="s">
        <v>212</v>
      </c>
      <c r="C22" s="161" t="s">
        <v>213</v>
      </c>
      <c r="D22" s="160" t="s">
        <v>214</v>
      </c>
      <c r="E22" s="162">
        <f>'[2]Sales '!E22+'[2]Sales '!J22</f>
        <v>1065</v>
      </c>
      <c r="F22" s="163">
        <f t="shared" si="1"/>
        <v>319.5</v>
      </c>
      <c r="G22" s="163">
        <f>'[2]Sales '!O22</f>
        <v>1305796.5</v>
      </c>
      <c r="H22" s="163">
        <f>'[2]Sales '!P22</f>
        <v>643153.5</v>
      </c>
      <c r="I22" s="163">
        <f>'[2]Sales '!Q22</f>
        <v>1948950</v>
      </c>
      <c r="J22" s="163">
        <v>1900000</v>
      </c>
      <c r="K22" s="163">
        <f>'[2]Parcheged '!K22</f>
        <v>1885050</v>
      </c>
      <c r="L22" s="163">
        <f>'[2]Parcheged '!L22</f>
        <v>14950</v>
      </c>
      <c r="M22" s="163">
        <f t="shared" si="0"/>
        <v>1320746.5</v>
      </c>
      <c r="N22" s="163">
        <v>1320866</v>
      </c>
      <c r="O22" s="161">
        <v>10158</v>
      </c>
      <c r="P22" s="181">
        <f t="shared" si="2"/>
        <v>119.5</v>
      </c>
    </row>
    <row r="23" spans="1:16">
      <c r="A23" s="159">
        <v>18</v>
      </c>
      <c r="B23" s="160" t="s">
        <v>215</v>
      </c>
      <c r="C23" s="161" t="s">
        <v>213</v>
      </c>
      <c r="D23" s="160" t="s">
        <v>214</v>
      </c>
      <c r="E23" s="162">
        <f>'[2]Sales '!E23+'[2]Sales '!J23</f>
        <v>904</v>
      </c>
      <c r="F23" s="163">
        <f t="shared" si="1"/>
        <v>271.2</v>
      </c>
      <c r="G23" s="163">
        <f>'[2]Sales '!O23</f>
        <v>1108394.4000000001</v>
      </c>
      <c r="H23" s="163">
        <f>'[2]Sales '!P23</f>
        <v>545925.6</v>
      </c>
      <c r="I23" s="163">
        <f>'[2]Sales '!Q23</f>
        <v>1654320</v>
      </c>
      <c r="J23" s="163">
        <v>1600000</v>
      </c>
      <c r="K23" s="163">
        <f>'[2]Parcheged '!K23</f>
        <v>1600080</v>
      </c>
      <c r="L23" s="163">
        <f>'[2]Parcheged '!L23</f>
        <v>-80</v>
      </c>
      <c r="M23" s="163">
        <f t="shared" si="0"/>
        <v>1108314.4000000001</v>
      </c>
      <c r="N23" s="163">
        <v>1108300</v>
      </c>
      <c r="O23" s="161">
        <v>10235</v>
      </c>
      <c r="P23" s="181">
        <f t="shared" si="2"/>
        <v>-14.400000000139698</v>
      </c>
    </row>
    <row r="24" spans="1:16" ht="25.5">
      <c r="A24" s="159">
        <v>19</v>
      </c>
      <c r="B24" s="187" t="s">
        <v>216</v>
      </c>
      <c r="C24" s="188" t="s">
        <v>217</v>
      </c>
      <c r="D24" s="187" t="s">
        <v>218</v>
      </c>
      <c r="E24" s="162">
        <f>'[2]Sales '!E24+'[2]Sales '!J24</f>
        <v>1512</v>
      </c>
      <c r="F24" s="163">
        <f t="shared" si="1"/>
        <v>453.6</v>
      </c>
      <c r="G24" s="163">
        <f>'[2]Sales '!O24</f>
        <v>1853863.2000000002</v>
      </c>
      <c r="H24" s="163">
        <f>'[2]Sales '!P24</f>
        <v>913096.8</v>
      </c>
      <c r="I24" s="163">
        <f>'[2]Sales '!Q24</f>
        <v>2766960</v>
      </c>
      <c r="J24" s="163">
        <v>2500000</v>
      </c>
      <c r="K24" s="163">
        <f>'[2]Parcheged '!K24</f>
        <v>2676240</v>
      </c>
      <c r="L24" s="163">
        <f>'[2]Parcheged '!L24</f>
        <v>-176240</v>
      </c>
      <c r="M24" s="163">
        <f t="shared" si="0"/>
        <v>1677623.2000000002</v>
      </c>
      <c r="N24" s="182">
        <f>1345032+343308</f>
        <v>1688340</v>
      </c>
      <c r="O24" s="159" t="s">
        <v>453</v>
      </c>
      <c r="P24" s="181">
        <f t="shared" si="2"/>
        <v>10716.799999999814</v>
      </c>
    </row>
    <row r="25" spans="1:16" ht="25.5">
      <c r="A25" s="159">
        <v>20</v>
      </c>
      <c r="B25" s="187" t="s">
        <v>221</v>
      </c>
      <c r="C25" s="188" t="s">
        <v>222</v>
      </c>
      <c r="D25" s="187" t="s">
        <v>218</v>
      </c>
      <c r="E25" s="162">
        <f>'[2]Sales '!E25+'[2]Sales '!J25</f>
        <v>295</v>
      </c>
      <c r="F25" s="163">
        <f t="shared" si="1"/>
        <v>88.5</v>
      </c>
      <c r="G25" s="163">
        <f>'[2]Sales '!O25</f>
        <v>361699.5</v>
      </c>
      <c r="H25" s="163">
        <f>'[2]Sales '!P25</f>
        <v>178150.5</v>
      </c>
      <c r="I25" s="163">
        <f>'[2]Sales '!Q25</f>
        <v>539850</v>
      </c>
      <c r="J25" s="163">
        <v>700000</v>
      </c>
      <c r="K25" s="163">
        <f>'[2]Parcheged '!K25</f>
        <v>522150</v>
      </c>
      <c r="L25" s="163">
        <f>'[2]Parcheged '!L25</f>
        <v>177850</v>
      </c>
      <c r="M25" s="163">
        <f t="shared" si="0"/>
        <v>539549.5</v>
      </c>
      <c r="N25" s="182">
        <f>361700+165524</f>
        <v>527224</v>
      </c>
      <c r="O25" s="159" t="s">
        <v>454</v>
      </c>
      <c r="P25" s="181">
        <f t="shared" si="2"/>
        <v>-12325.5</v>
      </c>
    </row>
    <row r="26" spans="1:16" ht="25.5">
      <c r="A26" s="159">
        <v>21</v>
      </c>
      <c r="B26" s="165" t="s">
        <v>223</v>
      </c>
      <c r="C26" s="159" t="s">
        <v>224</v>
      </c>
      <c r="D26" s="165" t="s">
        <v>225</v>
      </c>
      <c r="E26" s="162">
        <f>'[2]Sales '!E26+'[2]Sales '!J26</f>
        <v>565</v>
      </c>
      <c r="F26" s="163">
        <f t="shared" si="1"/>
        <v>169.5</v>
      </c>
      <c r="G26" s="163">
        <f>'[2]Sales '!O26</f>
        <v>692746.5</v>
      </c>
      <c r="H26" s="163">
        <f>'[2]Sales '!P26</f>
        <v>341203.5</v>
      </c>
      <c r="I26" s="163">
        <f>'[2]Sales '!Q26</f>
        <v>1033950</v>
      </c>
      <c r="J26" s="163">
        <v>1000000</v>
      </c>
      <c r="K26" s="163">
        <f>'[2]Parcheged '!K26</f>
        <v>1000050</v>
      </c>
      <c r="L26" s="163">
        <f>'[2]Parcheged '!L26</f>
        <v>-50</v>
      </c>
      <c r="M26" s="163">
        <f t="shared" si="0"/>
        <v>692696.5</v>
      </c>
      <c r="N26" s="182">
        <v>692697</v>
      </c>
      <c r="O26" s="159">
        <v>10146</v>
      </c>
      <c r="P26" s="181">
        <f t="shared" si="2"/>
        <v>0.5</v>
      </c>
    </row>
    <row r="27" spans="1:16" ht="25.5">
      <c r="A27" s="159">
        <v>22</v>
      </c>
      <c r="B27" s="165" t="s">
        <v>226</v>
      </c>
      <c r="C27" s="159" t="s">
        <v>177</v>
      </c>
      <c r="D27" s="165" t="s">
        <v>225</v>
      </c>
      <c r="E27" s="162">
        <f>'[2]Sales '!E27+'[2]Sales '!J27</f>
        <v>563</v>
      </c>
      <c r="F27" s="163">
        <f>E27*30/100</f>
        <v>168.9</v>
      </c>
      <c r="G27" s="163">
        <f>'[2]Sales '!O27</f>
        <v>693068.10000000009</v>
      </c>
      <c r="H27" s="163">
        <f>'[2]Sales '!P27</f>
        <v>341361.89999999997</v>
      </c>
      <c r="I27" s="163">
        <f>'[2]Sales '!Q27</f>
        <v>1034430</v>
      </c>
      <c r="J27" s="163">
        <v>1000000</v>
      </c>
      <c r="K27" s="163">
        <f>'[2]Parcheged '!K27</f>
        <v>1000650</v>
      </c>
      <c r="L27" s="163">
        <f>'[2]Parcheged '!L27</f>
        <v>-650</v>
      </c>
      <c r="M27" s="163">
        <f t="shared" si="0"/>
        <v>692418.10000000009</v>
      </c>
      <c r="N27" s="182">
        <v>693068</v>
      </c>
      <c r="O27" s="159">
        <v>10152</v>
      </c>
      <c r="P27" s="181">
        <f t="shared" si="2"/>
        <v>649.89999999990687</v>
      </c>
    </row>
    <row r="28" spans="1:16">
      <c r="A28" s="159">
        <v>23</v>
      </c>
      <c r="B28" s="165" t="s">
        <v>227</v>
      </c>
      <c r="C28" s="159" t="s">
        <v>228</v>
      </c>
      <c r="D28" s="165" t="s">
        <v>225</v>
      </c>
      <c r="E28" s="162">
        <f>'[2]Sales '!E28+'[2]Sales '!J28</f>
        <v>451</v>
      </c>
      <c r="F28" s="163">
        <f t="shared" si="1"/>
        <v>135.30000000000001</v>
      </c>
      <c r="G28" s="163">
        <f>'[2]Sales '!O28</f>
        <v>552971.10000000009</v>
      </c>
      <c r="H28" s="163">
        <f>'[2]Sales '!P28</f>
        <v>272358.90000000002</v>
      </c>
      <c r="I28" s="163">
        <f>'[2]Sales '!Q28</f>
        <v>825330.00000000012</v>
      </c>
      <c r="J28" s="163">
        <v>800000</v>
      </c>
      <c r="K28" s="163">
        <f>'[2]Parcheged '!K28</f>
        <v>798270.00000000012</v>
      </c>
      <c r="L28" s="163">
        <f>'[2]Parcheged '!L28</f>
        <v>1729.9999999998836</v>
      </c>
      <c r="M28" s="163">
        <f t="shared" si="0"/>
        <v>554701.1</v>
      </c>
      <c r="N28" s="182">
        <v>554702</v>
      </c>
      <c r="O28" s="159">
        <v>10198</v>
      </c>
      <c r="P28" s="181">
        <f t="shared" si="2"/>
        <v>0.90000000002328306</v>
      </c>
    </row>
    <row r="29" spans="1:16" ht="25.5">
      <c r="A29" s="159">
        <v>24</v>
      </c>
      <c r="B29" s="165" t="s">
        <v>420</v>
      </c>
      <c r="C29" s="159" t="s">
        <v>194</v>
      </c>
      <c r="D29" s="165" t="s">
        <v>421</v>
      </c>
      <c r="E29" s="162">
        <f>'[2]Sales '!E29+'[2]Sales '!J29</f>
        <v>234</v>
      </c>
      <c r="F29" s="163">
        <f t="shared" si="1"/>
        <v>70.2</v>
      </c>
      <c r="G29" s="163">
        <f>'[2]Sales '!O29</f>
        <v>286907.40000000002</v>
      </c>
      <c r="H29" s="163">
        <f>'[2]Sales '!P29</f>
        <v>141312.6</v>
      </c>
      <c r="I29" s="163">
        <f>'[2]Sales '!Q29</f>
        <v>428220</v>
      </c>
      <c r="J29" s="163">
        <v>500000</v>
      </c>
      <c r="K29" s="163">
        <f>'[2]Parcheged '!K29</f>
        <v>414180</v>
      </c>
      <c r="L29" s="163">
        <f>'[2]Parcheged '!L29</f>
        <v>85820</v>
      </c>
      <c r="M29" s="163">
        <f t="shared" si="0"/>
        <v>372727.4</v>
      </c>
      <c r="N29" s="182">
        <v>358687</v>
      </c>
      <c r="O29" s="159">
        <v>10294</v>
      </c>
      <c r="P29" s="181">
        <f t="shared" si="2"/>
        <v>-14040.400000000023</v>
      </c>
    </row>
    <row r="30" spans="1:16" ht="25.5">
      <c r="A30" s="159">
        <v>25</v>
      </c>
      <c r="B30" s="165" t="s">
        <v>422</v>
      </c>
      <c r="C30" s="159" t="s">
        <v>246</v>
      </c>
      <c r="D30" s="165" t="s">
        <v>421</v>
      </c>
      <c r="E30" s="162">
        <f>'[2]Sales '!E30+'[2]Sales '!J30</f>
        <v>282</v>
      </c>
      <c r="F30" s="163">
        <f t="shared" si="1"/>
        <v>84.6</v>
      </c>
      <c r="G30" s="163">
        <f>'[2]Sales '!O30</f>
        <v>345760.19999999995</v>
      </c>
      <c r="H30" s="163">
        <f>'[2]Sales '!P30</f>
        <v>170299.8</v>
      </c>
      <c r="I30" s="163">
        <f>'[2]Sales '!Q30</f>
        <v>516059.99999999994</v>
      </c>
      <c r="J30" s="163">
        <v>500000</v>
      </c>
      <c r="K30" s="163">
        <f>'[2]Parcheged '!K30</f>
        <v>499139.99999999994</v>
      </c>
      <c r="L30" s="163">
        <f>'[2]Parcheged '!L30</f>
        <v>860.00000000005821</v>
      </c>
      <c r="M30" s="163">
        <f t="shared" si="0"/>
        <v>346620.2</v>
      </c>
      <c r="N30" s="182">
        <v>329710</v>
      </c>
      <c r="O30" s="159">
        <v>10192</v>
      </c>
      <c r="P30" s="181">
        <f t="shared" si="2"/>
        <v>-16910.200000000012</v>
      </c>
    </row>
    <row r="31" spans="1:16">
      <c r="A31" s="159">
        <v>26</v>
      </c>
      <c r="B31" s="165" t="s">
        <v>423</v>
      </c>
      <c r="C31" s="159" t="s">
        <v>340</v>
      </c>
      <c r="D31" s="165" t="s">
        <v>421</v>
      </c>
      <c r="E31" s="162">
        <f>'[2]Sales '!E31+'[2]Sales '!J31</f>
        <v>170</v>
      </c>
      <c r="F31" s="163">
        <f t="shared" si="1"/>
        <v>51</v>
      </c>
      <c r="G31" s="163">
        <f>'[2]Sales '!O31</f>
        <v>208437</v>
      </c>
      <c r="H31" s="163">
        <f>'[2]Sales '!P31</f>
        <v>102663</v>
      </c>
      <c r="I31" s="163">
        <f>'[2]Sales '!Q31</f>
        <v>311100</v>
      </c>
      <c r="J31" s="163">
        <v>300000</v>
      </c>
      <c r="K31" s="163">
        <f>'[2]Parcheged '!K31</f>
        <v>300900</v>
      </c>
      <c r="L31" s="163">
        <f>'[2]Parcheged '!L31</f>
        <v>-900</v>
      </c>
      <c r="M31" s="163">
        <f t="shared" si="0"/>
        <v>207537</v>
      </c>
      <c r="N31" s="182">
        <v>197337</v>
      </c>
      <c r="O31" s="159">
        <v>10191</v>
      </c>
      <c r="P31" s="181">
        <f t="shared" si="2"/>
        <v>-10200</v>
      </c>
    </row>
    <row r="32" spans="1:16">
      <c r="A32" s="159">
        <v>27</v>
      </c>
      <c r="B32" s="160" t="s">
        <v>229</v>
      </c>
      <c r="C32" s="161" t="s">
        <v>213</v>
      </c>
      <c r="D32" s="160" t="s">
        <v>230</v>
      </c>
      <c r="E32" s="162">
        <f>'[2]Sales '!E32+'[2]Sales '!J32</f>
        <v>1602</v>
      </c>
      <c r="F32" s="163">
        <f t="shared" si="1"/>
        <v>480.6</v>
      </c>
      <c r="G32" s="163">
        <f>'[2]Sales '!O32</f>
        <v>1964212.2000000002</v>
      </c>
      <c r="H32" s="163">
        <f>'[2]Sales '!P32</f>
        <v>967447.8</v>
      </c>
      <c r="I32" s="163">
        <f>'[2]Sales '!Q32</f>
        <v>2931660</v>
      </c>
      <c r="J32" s="163">
        <v>2800000</v>
      </c>
      <c r="K32" s="163">
        <f>'[2]Parcheged '!K32</f>
        <v>2835540</v>
      </c>
      <c r="L32" s="163">
        <f>'[2]Parcheged '!L32</f>
        <v>-35540</v>
      </c>
      <c r="M32" s="163">
        <f t="shared" si="0"/>
        <v>1928672.2000000002</v>
      </c>
      <c r="N32" s="163">
        <v>1928677</v>
      </c>
      <c r="O32" s="161">
        <v>10258</v>
      </c>
      <c r="P32" s="181">
        <f t="shared" si="2"/>
        <v>4.7999999998137355</v>
      </c>
    </row>
    <row r="33" spans="1:16">
      <c r="A33" s="159">
        <v>28</v>
      </c>
      <c r="B33" s="165" t="s">
        <v>231</v>
      </c>
      <c r="C33" s="159" t="s">
        <v>232</v>
      </c>
      <c r="D33" s="165" t="s">
        <v>233</v>
      </c>
      <c r="E33" s="162">
        <f>'[2]Sales '!E33+'[2]Sales '!J33</f>
        <v>0</v>
      </c>
      <c r="F33" s="163">
        <f t="shared" si="1"/>
        <v>0</v>
      </c>
      <c r="G33" s="163">
        <f>'[2]Sales '!O33</f>
        <v>0</v>
      </c>
      <c r="H33" s="163">
        <f>'[2]Sales '!P33</f>
        <v>0</v>
      </c>
      <c r="I33" s="163">
        <f>'[2]Sales '!Q33</f>
        <v>0</v>
      </c>
      <c r="J33" s="163">
        <v>200000</v>
      </c>
      <c r="K33" s="163">
        <f>'[2]Parcheged '!K33</f>
        <v>0</v>
      </c>
      <c r="L33" s="163">
        <f>'[2]Parcheged '!L33</f>
        <v>200000</v>
      </c>
      <c r="M33" s="163">
        <f t="shared" si="0"/>
        <v>200000</v>
      </c>
      <c r="N33" s="182">
        <v>212128</v>
      </c>
      <c r="O33" s="159">
        <v>10210</v>
      </c>
      <c r="P33" s="181">
        <f t="shared" si="2"/>
        <v>12128</v>
      </c>
    </row>
    <row r="34" spans="1:16" ht="25.5">
      <c r="A34" s="159">
        <v>29</v>
      </c>
      <c r="B34" s="160" t="s">
        <v>234</v>
      </c>
      <c r="C34" s="161" t="s">
        <v>235</v>
      </c>
      <c r="D34" s="160" t="s">
        <v>236</v>
      </c>
      <c r="E34" s="162">
        <f>'[2]Sales '!E34+'[2]Sales '!J34</f>
        <v>1879</v>
      </c>
      <c r="F34" s="163">
        <f t="shared" si="1"/>
        <v>563.70000000000005</v>
      </c>
      <c r="G34" s="163">
        <f>'[2]Sales '!O34</f>
        <v>2303841.9000000004</v>
      </c>
      <c r="H34" s="163">
        <f>'[2]Sales '!P34</f>
        <v>1134728.1000000001</v>
      </c>
      <c r="I34" s="163">
        <f>'[2]Sales '!Q34</f>
        <v>3438570.0000000005</v>
      </c>
      <c r="J34" s="163">
        <v>4000000</v>
      </c>
      <c r="K34" s="163">
        <f>'[2]Parcheged '!K34</f>
        <v>3325830.0000000005</v>
      </c>
      <c r="L34" s="163">
        <f>'[2]Parcheged '!L34</f>
        <v>674169.99999999953</v>
      </c>
      <c r="M34" s="163">
        <f t="shared" si="0"/>
        <v>2978011.9</v>
      </c>
      <c r="N34" s="163">
        <v>2977897</v>
      </c>
      <c r="O34" s="161">
        <v>10211</v>
      </c>
      <c r="P34" s="181">
        <f t="shared" si="2"/>
        <v>-114.89999999990687</v>
      </c>
    </row>
    <row r="35" spans="1:16" ht="25.5">
      <c r="A35" s="159">
        <v>30</v>
      </c>
      <c r="B35" s="160" t="s">
        <v>237</v>
      </c>
      <c r="C35" s="161" t="s">
        <v>238</v>
      </c>
      <c r="D35" s="160" t="s">
        <v>236</v>
      </c>
      <c r="E35" s="162">
        <f>'[2]Sales '!E35+'[2]Sales '!J35</f>
        <v>385</v>
      </c>
      <c r="F35" s="163">
        <f t="shared" si="1"/>
        <v>115.5</v>
      </c>
      <c r="G35" s="163">
        <f>'[2]Sales '!O35</f>
        <v>472048.5</v>
      </c>
      <c r="H35" s="163">
        <f>'[2]Sales '!P35</f>
        <v>232501.5</v>
      </c>
      <c r="I35" s="163">
        <f>'[2]Sales '!Q35</f>
        <v>704550</v>
      </c>
      <c r="J35" s="163">
        <v>850000</v>
      </c>
      <c r="K35" s="163">
        <f>'[2]Parcheged '!K35</f>
        <v>681450</v>
      </c>
      <c r="L35" s="163">
        <f>'[2]Parcheged '!L35</f>
        <v>168550</v>
      </c>
      <c r="M35" s="163">
        <f t="shared" si="0"/>
        <v>640598.5</v>
      </c>
      <c r="N35" s="163">
        <v>640478</v>
      </c>
      <c r="O35" s="161">
        <v>10230</v>
      </c>
      <c r="P35" s="181">
        <f t="shared" si="2"/>
        <v>-120.5</v>
      </c>
    </row>
    <row r="36" spans="1:16" ht="25.5">
      <c r="A36" s="159">
        <v>31</v>
      </c>
      <c r="B36" s="160" t="s">
        <v>239</v>
      </c>
      <c r="C36" s="161" t="s">
        <v>240</v>
      </c>
      <c r="D36" s="160" t="s">
        <v>236</v>
      </c>
      <c r="E36" s="162">
        <f>'[2]Sales '!E36+'[2]Sales '!J36</f>
        <v>534</v>
      </c>
      <c r="F36" s="163">
        <f t="shared" si="1"/>
        <v>160.19999999999999</v>
      </c>
      <c r="G36" s="163">
        <f>'[2]Sales '!O36</f>
        <v>654737.39999999991</v>
      </c>
      <c r="H36" s="163">
        <f>'[2]Sales '!P36</f>
        <v>322482.59999999998</v>
      </c>
      <c r="I36" s="163">
        <f>'[2]Sales '!Q36</f>
        <v>977219.99999999988</v>
      </c>
      <c r="J36" s="163">
        <v>1220000</v>
      </c>
      <c r="K36" s="163">
        <f>'[2]Parcheged '!K36</f>
        <v>945179.99999999988</v>
      </c>
      <c r="L36" s="163">
        <f>'[2]Parcheged '!L36</f>
        <v>274820.00000000012</v>
      </c>
      <c r="M36" s="163">
        <f t="shared" si="0"/>
        <v>929557.4</v>
      </c>
      <c r="N36" s="163">
        <v>929442</v>
      </c>
      <c r="O36" s="161">
        <v>10288</v>
      </c>
      <c r="P36" s="181">
        <f t="shared" si="2"/>
        <v>-115.40000000002328</v>
      </c>
    </row>
    <row r="37" spans="1:16">
      <c r="A37" s="159">
        <v>32</v>
      </c>
      <c r="B37" s="165" t="s">
        <v>241</v>
      </c>
      <c r="C37" s="159" t="s">
        <v>242</v>
      </c>
      <c r="D37" s="165" t="s">
        <v>236</v>
      </c>
      <c r="E37" s="162">
        <f>'[2]Sales '!E37+'[2]Sales '!J37</f>
        <v>301</v>
      </c>
      <c r="F37" s="163">
        <f t="shared" si="1"/>
        <v>90.3</v>
      </c>
      <c r="G37" s="163">
        <f>'[2]Sales '!O37</f>
        <v>369056.10000000003</v>
      </c>
      <c r="H37" s="163">
        <f>'[2]Sales '!P37</f>
        <v>181773.9</v>
      </c>
      <c r="I37" s="163">
        <f>'[2]Sales '!Q37</f>
        <v>550830</v>
      </c>
      <c r="J37" s="163">
        <v>700000</v>
      </c>
      <c r="K37" s="163">
        <f>'[2]Parcheged '!K37</f>
        <v>532770</v>
      </c>
      <c r="L37" s="163">
        <f>'[2]Parcheged '!L37</f>
        <v>167230</v>
      </c>
      <c r="M37" s="163">
        <f t="shared" si="0"/>
        <v>536286.10000000009</v>
      </c>
      <c r="N37" s="182">
        <v>536171</v>
      </c>
      <c r="O37" s="159">
        <v>10228</v>
      </c>
      <c r="P37" s="181">
        <f t="shared" si="2"/>
        <v>-115.10000000009313</v>
      </c>
    </row>
    <row r="38" spans="1:16">
      <c r="A38" s="159">
        <v>33</v>
      </c>
      <c r="B38" s="160" t="s">
        <v>243</v>
      </c>
      <c r="C38" s="161" t="s">
        <v>224</v>
      </c>
      <c r="D38" s="160" t="s">
        <v>236</v>
      </c>
      <c r="E38" s="162">
        <f>'[2]Sales '!E38+'[2]Sales '!J38</f>
        <v>449</v>
      </c>
      <c r="F38" s="163">
        <f t="shared" si="1"/>
        <v>134.69999999999999</v>
      </c>
      <c r="G38" s="163">
        <f>'[2]Sales '!O38</f>
        <v>550518.89999999991</v>
      </c>
      <c r="H38" s="163">
        <f>'[2]Sales '!P38</f>
        <v>271151.09999999998</v>
      </c>
      <c r="I38" s="163">
        <f>'[2]Sales '!Q38</f>
        <v>821669.99999999988</v>
      </c>
      <c r="J38" s="163">
        <v>1030000</v>
      </c>
      <c r="K38" s="163">
        <f>'[2]Parcheged '!K38</f>
        <v>794729.99999999988</v>
      </c>
      <c r="L38" s="163">
        <f>'[2]Parcheged '!L38</f>
        <v>235270.00000000012</v>
      </c>
      <c r="M38" s="163">
        <f t="shared" si="0"/>
        <v>785788.9</v>
      </c>
      <c r="N38" s="163">
        <v>785789</v>
      </c>
      <c r="O38" s="161">
        <v>10220</v>
      </c>
      <c r="P38" s="181">
        <f t="shared" si="2"/>
        <v>9.9999999976716936E-2</v>
      </c>
    </row>
    <row r="39" spans="1:16" ht="25.5">
      <c r="A39" s="159">
        <v>34</v>
      </c>
      <c r="B39" s="160" t="s">
        <v>244</v>
      </c>
      <c r="C39" s="161" t="s">
        <v>175</v>
      </c>
      <c r="D39" s="160" t="s">
        <v>236</v>
      </c>
      <c r="E39" s="162">
        <f>'[2]Sales '!E39+'[2]Sales '!J39</f>
        <v>294</v>
      </c>
      <c r="F39" s="163">
        <f t="shared" si="1"/>
        <v>88.2</v>
      </c>
      <c r="G39" s="163">
        <f>'[2]Sales '!O39</f>
        <v>360473.4</v>
      </c>
      <c r="H39" s="163">
        <f>'[2]Sales '!P39</f>
        <v>177546.6</v>
      </c>
      <c r="I39" s="163">
        <f>'[2]Sales '!Q39</f>
        <v>538020</v>
      </c>
      <c r="J39" s="163">
        <v>300000</v>
      </c>
      <c r="K39" s="163">
        <f>'[2]Parcheged '!K39</f>
        <v>520380</v>
      </c>
      <c r="L39" s="163">
        <f>'[2]Parcheged '!L39</f>
        <v>-220380</v>
      </c>
      <c r="M39" s="163">
        <f t="shared" si="0"/>
        <v>140093.40000000002</v>
      </c>
      <c r="N39" s="163">
        <v>140053</v>
      </c>
      <c r="O39" s="161">
        <v>10231</v>
      </c>
      <c r="P39" s="181">
        <f t="shared" si="2"/>
        <v>-40.400000000023283</v>
      </c>
    </row>
    <row r="40" spans="1:16">
      <c r="A40" s="159">
        <v>35</v>
      </c>
      <c r="B40" s="165" t="s">
        <v>245</v>
      </c>
      <c r="C40" s="159" t="s">
        <v>246</v>
      </c>
      <c r="D40" s="165" t="s">
        <v>247</v>
      </c>
      <c r="E40" s="162">
        <f>'[2]Sales '!E40+'[2]Sales '!J40</f>
        <v>112</v>
      </c>
      <c r="F40" s="163">
        <f t="shared" si="1"/>
        <v>33.6</v>
      </c>
      <c r="G40" s="163">
        <f>'[2]Sales '!O40</f>
        <v>138046.80000000002</v>
      </c>
      <c r="H40" s="163">
        <f>'[2]Sales '!P40</f>
        <v>67993.2</v>
      </c>
      <c r="I40" s="163">
        <f>'[2]Sales '!Q40</f>
        <v>206040</v>
      </c>
      <c r="J40" s="163">
        <v>200000</v>
      </c>
      <c r="K40" s="163">
        <f>'[2]Parcheged '!K40</f>
        <v>199320</v>
      </c>
      <c r="L40" s="163">
        <f>'[2]Parcheged '!L40</f>
        <v>680</v>
      </c>
      <c r="M40" s="163">
        <f t="shared" si="0"/>
        <v>138726.80000000002</v>
      </c>
      <c r="N40" s="182">
        <v>132010</v>
      </c>
      <c r="O40" s="159">
        <v>10201</v>
      </c>
      <c r="P40" s="181">
        <f t="shared" si="2"/>
        <v>-6716.8000000000175</v>
      </c>
    </row>
    <row r="41" spans="1:16" ht="25.5">
      <c r="A41" s="159">
        <v>36</v>
      </c>
      <c r="B41" s="165" t="s">
        <v>248</v>
      </c>
      <c r="C41" s="159" t="s">
        <v>249</v>
      </c>
      <c r="D41" s="165" t="s">
        <v>247</v>
      </c>
      <c r="E41" s="162">
        <f>'[2]Sales '!E41+'[2]Sales '!J41</f>
        <v>110</v>
      </c>
      <c r="F41" s="163">
        <f t="shared" si="1"/>
        <v>33</v>
      </c>
      <c r="G41" s="163">
        <f>'[2]Sales '!O41</f>
        <v>134871</v>
      </c>
      <c r="H41" s="163">
        <f>'[2]Sales '!P41</f>
        <v>66429</v>
      </c>
      <c r="I41" s="163">
        <f>'[2]Sales '!Q41</f>
        <v>201300</v>
      </c>
      <c r="J41" s="163">
        <v>200000</v>
      </c>
      <c r="K41" s="163">
        <f>'[2]Parcheged '!K41</f>
        <v>194700</v>
      </c>
      <c r="L41" s="163">
        <f>'[2]Parcheged '!L41</f>
        <v>5300</v>
      </c>
      <c r="M41" s="163">
        <f t="shared" si="0"/>
        <v>140171</v>
      </c>
      <c r="N41" s="182">
        <v>134000</v>
      </c>
      <c r="O41" s="159">
        <v>10257</v>
      </c>
      <c r="P41" s="181">
        <f t="shared" si="2"/>
        <v>-6171</v>
      </c>
    </row>
    <row r="42" spans="1:16" ht="38.25">
      <c r="A42" s="159">
        <v>37</v>
      </c>
      <c r="B42" s="188" t="s">
        <v>250</v>
      </c>
      <c r="C42" s="188" t="s">
        <v>240</v>
      </c>
      <c r="D42" s="188" t="s">
        <v>251</v>
      </c>
      <c r="E42" s="162">
        <f>'[2]Sales '!E42+'[2]Sales '!J42</f>
        <v>883</v>
      </c>
      <c r="F42" s="163">
        <f t="shared" si="1"/>
        <v>264.89999999999998</v>
      </c>
      <c r="G42" s="163">
        <f>'[2]Sales '!O42</f>
        <v>1082646.2999999998</v>
      </c>
      <c r="H42" s="163">
        <f>'[2]Sales '!P42</f>
        <v>533243.69999999995</v>
      </c>
      <c r="I42" s="163">
        <f>'[2]Sales '!Q42</f>
        <v>1615889.9999999998</v>
      </c>
      <c r="J42" s="163">
        <v>2000000</v>
      </c>
      <c r="K42" s="163">
        <f>'[2]Parcheged '!K42</f>
        <v>1562909.9999999998</v>
      </c>
      <c r="L42" s="163">
        <f>'[2]Parcheged '!L42</f>
        <v>437090.00000000023</v>
      </c>
      <c r="M42" s="163">
        <f t="shared" si="0"/>
        <v>1519736.3</v>
      </c>
      <c r="N42" s="182">
        <f>1144376.3+375360</f>
        <v>1519736.3</v>
      </c>
      <c r="O42" s="159" t="s">
        <v>455</v>
      </c>
      <c r="P42" s="181">
        <f t="shared" si="2"/>
        <v>0</v>
      </c>
    </row>
    <row r="43" spans="1:16" ht="25.5">
      <c r="A43" s="159">
        <v>38</v>
      </c>
      <c r="B43" s="165" t="s">
        <v>253</v>
      </c>
      <c r="C43" s="159" t="s">
        <v>254</v>
      </c>
      <c r="D43" s="165" t="s">
        <v>251</v>
      </c>
      <c r="E43" s="162">
        <f>'[2]Sales '!E43+'[2]Sales '!J43</f>
        <v>252</v>
      </c>
      <c r="F43" s="163">
        <f t="shared" si="1"/>
        <v>75.599999999999994</v>
      </c>
      <c r="G43" s="163">
        <f>'[2]Sales '!O43</f>
        <v>308977.19999999995</v>
      </c>
      <c r="H43" s="163">
        <f>'[2]Sales '!P43</f>
        <v>152182.79999999999</v>
      </c>
      <c r="I43" s="163">
        <f>'[2]Sales '!Q43</f>
        <v>461159.99999999994</v>
      </c>
      <c r="J43" s="163">
        <v>500000</v>
      </c>
      <c r="K43" s="163">
        <f>'[2]Parcheged '!K43</f>
        <v>446039.99999999994</v>
      </c>
      <c r="L43" s="163">
        <f>'[2]Parcheged '!L43</f>
        <v>53960.000000000058</v>
      </c>
      <c r="M43" s="163">
        <f t="shared" si="0"/>
        <v>362937.2</v>
      </c>
      <c r="N43" s="182">
        <v>362847</v>
      </c>
      <c r="O43" s="159">
        <v>10209</v>
      </c>
      <c r="P43" s="181">
        <f t="shared" si="2"/>
        <v>-90.200000000011642</v>
      </c>
    </row>
    <row r="44" spans="1:16">
      <c r="A44" s="159">
        <v>39</v>
      </c>
      <c r="B44" s="165" t="s">
        <v>255</v>
      </c>
      <c r="C44" s="159" t="s">
        <v>235</v>
      </c>
      <c r="D44" s="165" t="s">
        <v>251</v>
      </c>
      <c r="E44" s="162">
        <f>'[2]Sales '!E44+'[2]Sales '!J44</f>
        <v>567</v>
      </c>
      <c r="F44" s="163">
        <f t="shared" si="1"/>
        <v>170.1</v>
      </c>
      <c r="G44" s="163">
        <f>'[2]Sales '!O44</f>
        <v>695198.70000000007</v>
      </c>
      <c r="H44" s="163">
        <f>'[2]Sales '!P44</f>
        <v>342411.3</v>
      </c>
      <c r="I44" s="163">
        <f>'[2]Sales '!Q44</f>
        <v>1037610</v>
      </c>
      <c r="J44" s="163">
        <v>2500000</v>
      </c>
      <c r="K44" s="163">
        <f>'[2]Parcheged '!K44</f>
        <v>1003590</v>
      </c>
      <c r="L44" s="163">
        <f>'[2]Parcheged '!L44</f>
        <v>1496410</v>
      </c>
      <c r="M44" s="163">
        <f t="shared" si="0"/>
        <v>2191608.7000000002</v>
      </c>
      <c r="N44" s="189">
        <v>2191494</v>
      </c>
      <c r="O44" s="185">
        <v>10293</v>
      </c>
      <c r="P44" s="181">
        <f t="shared" si="2"/>
        <v>-114.70000000018626</v>
      </c>
    </row>
    <row r="45" spans="1:16" ht="25.5">
      <c r="A45" s="159">
        <v>40</v>
      </c>
      <c r="B45" s="165" t="s">
        <v>256</v>
      </c>
      <c r="C45" s="159" t="s">
        <v>228</v>
      </c>
      <c r="D45" s="165" t="s">
        <v>251</v>
      </c>
      <c r="E45" s="162">
        <f>'[2]Sales '!E45+'[2]Sales '!J45</f>
        <v>237</v>
      </c>
      <c r="F45" s="163">
        <f t="shared" si="1"/>
        <v>71.099999999999994</v>
      </c>
      <c r="G45" s="163">
        <f>'[2]Sales '!O45</f>
        <v>290585.69999999995</v>
      </c>
      <c r="H45" s="163">
        <f>'[2]Sales '!P45</f>
        <v>143124.29999999999</v>
      </c>
      <c r="I45" s="163">
        <f>'[2]Sales '!Q45</f>
        <v>433709.99999999994</v>
      </c>
      <c r="J45" s="163">
        <v>500000</v>
      </c>
      <c r="K45" s="163">
        <f>'[2]Parcheged '!K45</f>
        <v>419489.99999999994</v>
      </c>
      <c r="L45" s="163">
        <f>'[2]Parcheged '!L45</f>
        <v>80510.000000000058</v>
      </c>
      <c r="M45" s="163">
        <f t="shared" si="0"/>
        <v>371095.7</v>
      </c>
      <c r="N45" s="182">
        <v>371035</v>
      </c>
      <c r="O45" s="159">
        <v>10284</v>
      </c>
      <c r="P45" s="181">
        <f t="shared" si="2"/>
        <v>-60.700000000011642</v>
      </c>
    </row>
    <row r="46" spans="1:16" ht="25.5">
      <c r="A46" s="159">
        <v>41</v>
      </c>
      <c r="B46" s="159" t="s">
        <v>257</v>
      </c>
      <c r="C46" s="159" t="s">
        <v>164</v>
      </c>
      <c r="D46" s="159" t="s">
        <v>258</v>
      </c>
      <c r="E46" s="162">
        <f>'[2]Sales '!E46+'[2]Sales '!J46</f>
        <v>94</v>
      </c>
      <c r="F46" s="163">
        <f t="shared" si="1"/>
        <v>28.2</v>
      </c>
      <c r="G46" s="163">
        <f>'[2]Sales '!O46</f>
        <v>120921.60000000001</v>
      </c>
      <c r="H46" s="163">
        <f>'[2]Sales '!P46</f>
        <v>59558.400000000001</v>
      </c>
      <c r="I46" s="163">
        <f>'[2]Sales '!Q46</f>
        <v>180480</v>
      </c>
      <c r="J46" s="163">
        <v>400000</v>
      </c>
      <c r="K46" s="163">
        <f>'[2]Parcheged '!K46</f>
        <v>174840</v>
      </c>
      <c r="L46" s="163">
        <f>'[2]Parcheged '!L46</f>
        <v>225160</v>
      </c>
      <c r="M46" s="163">
        <f t="shared" si="0"/>
        <v>346081.6</v>
      </c>
      <c r="N46" s="182">
        <f>120941+227961</f>
        <v>348902</v>
      </c>
      <c r="O46" s="159" t="s">
        <v>456</v>
      </c>
      <c r="P46" s="181">
        <f t="shared" si="2"/>
        <v>2820.4000000000233</v>
      </c>
    </row>
    <row r="47" spans="1:16" ht="38.25">
      <c r="A47" s="159">
        <v>42</v>
      </c>
      <c r="B47" s="188" t="s">
        <v>259</v>
      </c>
      <c r="C47" s="188" t="s">
        <v>260</v>
      </c>
      <c r="D47" s="188" t="s">
        <v>258</v>
      </c>
      <c r="E47" s="162">
        <f>'[2]Sales '!E47+'[2]Sales '!J47</f>
        <v>86</v>
      </c>
      <c r="F47" s="163">
        <f t="shared" si="1"/>
        <v>25.8</v>
      </c>
      <c r="G47" s="163">
        <f>'[2]Sales '!O47</f>
        <v>110630.40000000001</v>
      </c>
      <c r="H47" s="163">
        <f>'[2]Sales '!P47</f>
        <v>54489.600000000006</v>
      </c>
      <c r="I47" s="163">
        <f>'[2]Sales '!Q47</f>
        <v>165120</v>
      </c>
      <c r="J47" s="163">
        <v>500000</v>
      </c>
      <c r="K47" s="163">
        <f>'[2]Parcheged '!K47</f>
        <v>159960</v>
      </c>
      <c r="L47" s="163">
        <f>'[2]Parcheged '!L47</f>
        <v>340040</v>
      </c>
      <c r="M47" s="163">
        <f t="shared" si="0"/>
        <v>450670.4</v>
      </c>
      <c r="N47" s="182">
        <f>110647.6+229392.6+110646.8</f>
        <v>450687</v>
      </c>
      <c r="O47" s="159" t="s">
        <v>457</v>
      </c>
      <c r="P47" s="181">
        <f t="shared" si="2"/>
        <v>16.599999999976717</v>
      </c>
    </row>
    <row r="48" spans="1:16" ht="25.5">
      <c r="A48" s="159">
        <v>43</v>
      </c>
      <c r="B48" s="165" t="s">
        <v>261</v>
      </c>
      <c r="C48" s="159" t="s">
        <v>262</v>
      </c>
      <c r="D48" s="165" t="s">
        <v>258</v>
      </c>
      <c r="E48" s="162">
        <f>'[2]Sales '!E48+'[2]Sales '!J48</f>
        <v>67</v>
      </c>
      <c r="F48" s="163">
        <f t="shared" si="1"/>
        <v>20.100000000000001</v>
      </c>
      <c r="G48" s="163">
        <f>'[2]Sales '!O48</f>
        <v>86188.800000000017</v>
      </c>
      <c r="H48" s="163">
        <f>'[2]Sales '!P48</f>
        <v>42451.200000000004</v>
      </c>
      <c r="I48" s="163">
        <f>'[2]Sales '!Q48</f>
        <v>128640.00000000003</v>
      </c>
      <c r="J48" s="163">
        <v>300000</v>
      </c>
      <c r="K48" s="163">
        <f>'[2]Parcheged '!K48</f>
        <v>124620.00000000001</v>
      </c>
      <c r="L48" s="163">
        <f>'[2]Parcheged '!L48</f>
        <v>175380</v>
      </c>
      <c r="M48" s="163">
        <f t="shared" si="0"/>
        <v>261568.80000000002</v>
      </c>
      <c r="N48" s="182">
        <v>261580.25</v>
      </c>
      <c r="O48" s="159">
        <v>10329</v>
      </c>
      <c r="P48" s="181">
        <f t="shared" si="2"/>
        <v>11.449999999982538</v>
      </c>
    </row>
    <row r="49" spans="1:16" ht="25.5">
      <c r="A49" s="159">
        <v>44</v>
      </c>
      <c r="B49" s="165" t="s">
        <v>263</v>
      </c>
      <c r="C49" s="159" t="s">
        <v>264</v>
      </c>
      <c r="D49" s="165" t="s">
        <v>265</v>
      </c>
      <c r="E49" s="162">
        <f>'[2]Sales '!E49+'[2]Sales '!J49</f>
        <v>396</v>
      </c>
      <c r="F49" s="163">
        <f t="shared" si="1"/>
        <v>118.8</v>
      </c>
      <c r="G49" s="163">
        <f>'[2]Sales '!O49</f>
        <v>485535.60000000003</v>
      </c>
      <c r="H49" s="163">
        <f>'[2]Sales '!P49</f>
        <v>239144.40000000002</v>
      </c>
      <c r="I49" s="163">
        <f>'[2]Sales '!Q49</f>
        <v>724680</v>
      </c>
      <c r="J49" s="163">
        <v>900000</v>
      </c>
      <c r="K49" s="163">
        <f>'[2]Parcheged '!K49</f>
        <v>700920</v>
      </c>
      <c r="L49" s="163">
        <f>'[2]Parcheged '!L49</f>
        <v>199080</v>
      </c>
      <c r="M49" s="163">
        <f t="shared" si="0"/>
        <v>684615.60000000009</v>
      </c>
      <c r="N49" s="182">
        <v>684616</v>
      </c>
      <c r="O49" s="159">
        <v>10189</v>
      </c>
      <c r="P49" s="181">
        <f t="shared" si="2"/>
        <v>0.39999999990686774</v>
      </c>
    </row>
    <row r="50" spans="1:16">
      <c r="A50" s="159">
        <v>45</v>
      </c>
      <c r="B50" s="165" t="s">
        <v>266</v>
      </c>
      <c r="C50" s="159" t="s">
        <v>208</v>
      </c>
      <c r="D50" s="165" t="s">
        <v>265</v>
      </c>
      <c r="E50" s="162">
        <f>'[2]Sales '!E50+'[2]Sales '!J50</f>
        <v>96</v>
      </c>
      <c r="F50" s="163">
        <f t="shared" si="1"/>
        <v>28.8</v>
      </c>
      <c r="G50" s="163">
        <f>'[2]Sales '!O50</f>
        <v>117705.60000000001</v>
      </c>
      <c r="H50" s="163">
        <f>'[2]Sales '!P50</f>
        <v>57974.400000000001</v>
      </c>
      <c r="I50" s="163">
        <f>'[2]Sales '!Q50</f>
        <v>175680</v>
      </c>
      <c r="J50" s="163">
        <v>500000</v>
      </c>
      <c r="K50" s="163">
        <f>'[2]Parcheged '!K50</f>
        <v>169920</v>
      </c>
      <c r="L50" s="163">
        <f>'[2]Parcheged '!L50</f>
        <v>330080</v>
      </c>
      <c r="M50" s="163">
        <f t="shared" si="0"/>
        <v>447785.6</v>
      </c>
      <c r="N50" s="182">
        <v>447756.37</v>
      </c>
      <c r="O50" s="159">
        <v>10225</v>
      </c>
      <c r="P50" s="181">
        <f t="shared" si="2"/>
        <v>-29.229999999981374</v>
      </c>
    </row>
    <row r="51" spans="1:16" ht="51">
      <c r="A51" s="159">
        <v>46</v>
      </c>
      <c r="B51" s="187" t="s">
        <v>424</v>
      </c>
      <c r="C51" s="188" t="s">
        <v>425</v>
      </c>
      <c r="D51" s="187" t="s">
        <v>426</v>
      </c>
      <c r="E51" s="162">
        <f>'[2]Sales '!E51+'[2]Sales '!J51</f>
        <v>1521</v>
      </c>
      <c r="F51" s="163">
        <f t="shared" si="1"/>
        <v>456.3</v>
      </c>
      <c r="G51" s="163">
        <f>'[2]Sales '!O51</f>
        <v>1864898.1</v>
      </c>
      <c r="H51" s="163">
        <f>'[2]Sales '!P51</f>
        <v>918531.9</v>
      </c>
      <c r="I51" s="163">
        <f>'[2]Sales '!Q51</f>
        <v>2783430</v>
      </c>
      <c r="J51" s="163">
        <v>2690400</v>
      </c>
      <c r="K51" s="163">
        <f>'[2]Parcheged '!K51</f>
        <v>2692170</v>
      </c>
      <c r="L51" s="163">
        <f>'[2]Parcheged '!L51</f>
        <v>-1770</v>
      </c>
      <c r="M51" s="163">
        <f t="shared" si="0"/>
        <v>1863128.1</v>
      </c>
      <c r="N51" s="190">
        <f>1773116+90400</f>
        <v>1863516</v>
      </c>
      <c r="O51" s="188" t="s">
        <v>458</v>
      </c>
      <c r="P51" s="181">
        <f t="shared" si="2"/>
        <v>387.89999999990687</v>
      </c>
    </row>
    <row r="52" spans="1:16" ht="25.5">
      <c r="A52" s="159">
        <v>47</v>
      </c>
      <c r="B52" s="160" t="s">
        <v>176</v>
      </c>
      <c r="C52" s="166" t="s">
        <v>177</v>
      </c>
      <c r="D52" s="160" t="s">
        <v>427</v>
      </c>
      <c r="E52" s="162">
        <f>'[2]Sales '!E52+'[2]Sales '!J52</f>
        <v>967</v>
      </c>
      <c r="F52" s="163">
        <f t="shared" si="1"/>
        <v>290.10000000000002</v>
      </c>
      <c r="G52" s="163">
        <f>'[2]Sales '!O52</f>
        <v>1188352.2000000002</v>
      </c>
      <c r="H52" s="163">
        <f>'[2]Sales '!P52</f>
        <v>585307.80000000005</v>
      </c>
      <c r="I52" s="163">
        <f>'[2]Sales '!Q52</f>
        <v>1773660.0000000002</v>
      </c>
      <c r="J52" s="163">
        <v>1600000</v>
      </c>
      <c r="K52" s="163">
        <f>'[2]Parcheged '!K52</f>
        <v>1715640.0000000002</v>
      </c>
      <c r="L52" s="163">
        <f>'[2]Parcheged '!L52</f>
        <v>-115640.00000000023</v>
      </c>
      <c r="M52" s="163">
        <f t="shared" si="0"/>
        <v>1072712.2</v>
      </c>
      <c r="N52" s="181">
        <v>1072713</v>
      </c>
      <c r="O52" s="191">
        <v>10121</v>
      </c>
      <c r="P52" s="181">
        <f t="shared" si="2"/>
        <v>0.80000000004656613</v>
      </c>
    </row>
    <row r="53" spans="1:16" ht="25.5">
      <c r="A53" s="159">
        <v>48</v>
      </c>
      <c r="B53" s="165" t="s">
        <v>193</v>
      </c>
      <c r="C53" s="159" t="s">
        <v>194</v>
      </c>
      <c r="D53" s="165" t="s">
        <v>195</v>
      </c>
      <c r="E53" s="162">
        <f>'[2]Sales '!E53+'[2]Sales '!J53</f>
        <v>106</v>
      </c>
      <c r="F53" s="163">
        <f t="shared" si="1"/>
        <v>31.8</v>
      </c>
      <c r="G53" s="163">
        <f>'[2]Sales '!O53</f>
        <v>129966.6</v>
      </c>
      <c r="H53" s="163">
        <f>'[2]Sales '!P53</f>
        <v>64013.4</v>
      </c>
      <c r="I53" s="163">
        <f>'[2]Sales '!Q53</f>
        <v>193980</v>
      </c>
      <c r="J53" s="163">
        <v>500000</v>
      </c>
      <c r="K53" s="163">
        <f>'[2]Parcheged '!K53</f>
        <v>187620</v>
      </c>
      <c r="L53" s="163">
        <f>'[2]Parcheged '!L53</f>
        <v>312380</v>
      </c>
      <c r="M53" s="163">
        <f t="shared" si="0"/>
        <v>442346.6</v>
      </c>
      <c r="N53" s="182">
        <v>435986</v>
      </c>
      <c r="O53" s="159">
        <v>10212</v>
      </c>
      <c r="P53" s="181">
        <f t="shared" si="2"/>
        <v>-6360.5999999999767</v>
      </c>
    </row>
    <row r="54" spans="1:16">
      <c r="A54" s="299" t="s">
        <v>121</v>
      </c>
      <c r="B54" s="300"/>
      <c r="C54" s="300"/>
      <c r="D54" s="300"/>
      <c r="E54" s="167">
        <f t="shared" ref="E54:L54" si="3">SUM(E6:E53)</f>
        <v>30269</v>
      </c>
      <c r="F54" s="168">
        <f>SUM(F6:F53)</f>
        <v>9080.6999999999989</v>
      </c>
      <c r="G54" s="168">
        <f t="shared" si="3"/>
        <v>37305419.100000009</v>
      </c>
      <c r="H54" s="168">
        <f t="shared" si="3"/>
        <v>18374310.899999999</v>
      </c>
      <c r="I54" s="168">
        <f t="shared" si="3"/>
        <v>55679730</v>
      </c>
      <c r="J54" s="168">
        <f t="shared" si="3"/>
        <v>52832400</v>
      </c>
      <c r="K54" s="168">
        <f t="shared" si="3"/>
        <v>53863590</v>
      </c>
      <c r="L54" s="168">
        <f t="shared" si="3"/>
        <v>-1031190.0000000002</v>
      </c>
      <c r="M54" s="163">
        <f t="shared" si="0"/>
        <v>36274229.100000009</v>
      </c>
      <c r="N54" s="168">
        <f>SUM(N6:N53)</f>
        <v>35825630.289999999</v>
      </c>
      <c r="O54" s="192"/>
      <c r="P54" s="181">
        <f t="shared" si="2"/>
        <v>-448598.81000000983</v>
      </c>
    </row>
  </sheetData>
  <mergeCells count="4">
    <mergeCell ref="A1:P1"/>
    <mergeCell ref="A2:P2"/>
    <mergeCell ref="E3:H3"/>
    <mergeCell ref="A54:D5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N16" sqref="N16"/>
    </sheetView>
  </sheetViews>
  <sheetFormatPr defaultRowHeight="15"/>
  <sheetData>
    <row r="1" spans="1:6" ht="18.75">
      <c r="A1" s="301" t="s">
        <v>274</v>
      </c>
      <c r="B1" s="301"/>
      <c r="C1" s="301"/>
      <c r="D1" s="301"/>
      <c r="E1" s="301"/>
      <c r="F1" s="301"/>
    </row>
    <row r="2" spans="1:6" ht="56.25">
      <c r="A2" s="302" t="s">
        <v>459</v>
      </c>
      <c r="B2" s="302" t="s">
        <v>460</v>
      </c>
      <c r="C2" s="304" t="s">
        <v>461</v>
      </c>
      <c r="D2" s="306" t="s">
        <v>462</v>
      </c>
      <c r="E2" s="307"/>
      <c r="F2" s="193" t="s">
        <v>463</v>
      </c>
    </row>
    <row r="3" spans="1:6" ht="31.5">
      <c r="A3" s="303"/>
      <c r="B3" s="303"/>
      <c r="C3" s="305"/>
      <c r="D3" s="76" t="s">
        <v>464</v>
      </c>
      <c r="E3" s="194" t="s">
        <v>465</v>
      </c>
      <c r="F3" s="194" t="s">
        <v>465</v>
      </c>
    </row>
    <row r="4" spans="1:6">
      <c r="A4" s="42">
        <v>1</v>
      </c>
      <c r="B4" s="42" t="s">
        <v>251</v>
      </c>
      <c r="C4" s="42" t="s">
        <v>466</v>
      </c>
      <c r="D4" s="195">
        <v>102</v>
      </c>
      <c r="E4" s="196">
        <f>D4*3</f>
        <v>306</v>
      </c>
      <c r="F4" s="195"/>
    </row>
    <row r="5" spans="1:6">
      <c r="A5" s="42">
        <v>2</v>
      </c>
      <c r="B5" s="42" t="s">
        <v>251</v>
      </c>
      <c r="C5" s="42" t="s">
        <v>467</v>
      </c>
      <c r="D5" s="195">
        <v>79</v>
      </c>
      <c r="E5" s="195">
        <f>D5*3</f>
        <v>237</v>
      </c>
      <c r="F5" s="195">
        <v>237</v>
      </c>
    </row>
    <row r="6" spans="1:6">
      <c r="A6" s="42">
        <v>3</v>
      </c>
      <c r="B6" s="42" t="s">
        <v>251</v>
      </c>
      <c r="C6" s="42" t="s">
        <v>356</v>
      </c>
      <c r="D6" s="195">
        <v>192</v>
      </c>
      <c r="E6" s="196">
        <f>191*3+4</f>
        <v>577</v>
      </c>
      <c r="F6" s="196">
        <v>883</v>
      </c>
    </row>
    <row r="7" spans="1:6">
      <c r="A7" s="42">
        <v>4</v>
      </c>
      <c r="B7" s="42" t="s">
        <v>251</v>
      </c>
      <c r="C7" s="42" t="s">
        <v>235</v>
      </c>
      <c r="D7" s="195">
        <v>189</v>
      </c>
      <c r="E7" s="195">
        <f>D7*3</f>
        <v>567</v>
      </c>
      <c r="F7" s="195">
        <v>567</v>
      </c>
    </row>
    <row r="8" spans="1:6">
      <c r="A8" s="42">
        <v>5</v>
      </c>
      <c r="B8" s="42" t="s">
        <v>251</v>
      </c>
      <c r="C8" s="42" t="s">
        <v>468</v>
      </c>
      <c r="D8" s="195">
        <v>84</v>
      </c>
      <c r="E8" s="195">
        <f>D8*3</f>
        <v>252</v>
      </c>
      <c r="F8" s="195">
        <v>252</v>
      </c>
    </row>
    <row r="9" spans="1:6">
      <c r="A9" s="42">
        <v>6</v>
      </c>
      <c r="B9" s="42" t="s">
        <v>469</v>
      </c>
      <c r="C9" s="42" t="s">
        <v>466</v>
      </c>
      <c r="D9" s="195">
        <v>364</v>
      </c>
      <c r="E9" s="195">
        <f>D9*3</f>
        <v>1092</v>
      </c>
      <c r="F9" s="195">
        <v>1092</v>
      </c>
    </row>
    <row r="10" spans="1:6">
      <c r="A10" s="42">
        <v>7</v>
      </c>
      <c r="B10" s="42" t="s">
        <v>470</v>
      </c>
      <c r="C10" s="42" t="s">
        <v>466</v>
      </c>
      <c r="D10" s="195">
        <v>98</v>
      </c>
      <c r="E10" s="195">
        <f>D10*3</f>
        <v>294</v>
      </c>
      <c r="F10" s="195">
        <v>294</v>
      </c>
    </row>
    <row r="11" spans="1:6">
      <c r="A11" s="42">
        <v>8</v>
      </c>
      <c r="B11" s="42" t="s">
        <v>470</v>
      </c>
      <c r="C11" s="42" t="s">
        <v>471</v>
      </c>
      <c r="D11" s="195">
        <v>101</v>
      </c>
      <c r="E11" s="195">
        <f>100*3+1</f>
        <v>301</v>
      </c>
      <c r="F11" s="195">
        <v>301</v>
      </c>
    </row>
    <row r="12" spans="1:6">
      <c r="A12" s="42">
        <v>9</v>
      </c>
      <c r="B12" s="42" t="s">
        <v>470</v>
      </c>
      <c r="C12" s="42" t="s">
        <v>356</v>
      </c>
      <c r="D12" s="195">
        <v>178</v>
      </c>
      <c r="E12" s="195">
        <f>D12*3</f>
        <v>534</v>
      </c>
      <c r="F12" s="195">
        <v>534</v>
      </c>
    </row>
    <row r="13" spans="1:6">
      <c r="A13" s="42">
        <v>10</v>
      </c>
      <c r="B13" s="42" t="s">
        <v>470</v>
      </c>
      <c r="C13" s="42" t="s">
        <v>472</v>
      </c>
      <c r="D13" s="195">
        <v>129</v>
      </c>
      <c r="E13" s="195">
        <f>128*3+1</f>
        <v>385</v>
      </c>
      <c r="F13" s="195">
        <v>385</v>
      </c>
    </row>
    <row r="14" spans="1:6">
      <c r="A14" s="42">
        <v>11</v>
      </c>
      <c r="B14" s="42" t="s">
        <v>470</v>
      </c>
      <c r="C14" s="42" t="s">
        <v>235</v>
      </c>
      <c r="D14" s="195">
        <v>628</v>
      </c>
      <c r="E14" s="195">
        <f>625*3+1+1+2</f>
        <v>1879</v>
      </c>
      <c r="F14" s="195">
        <v>1879</v>
      </c>
    </row>
    <row r="15" spans="1:6">
      <c r="A15" s="42">
        <v>12</v>
      </c>
      <c r="B15" s="42" t="s">
        <v>470</v>
      </c>
      <c r="C15" s="42" t="s">
        <v>473</v>
      </c>
      <c r="D15" s="195">
        <v>150</v>
      </c>
      <c r="E15" s="195">
        <f>149*3+2</f>
        <v>449</v>
      </c>
      <c r="F15" s="195">
        <v>449</v>
      </c>
    </row>
    <row r="16" spans="1:6">
      <c r="A16" s="42">
        <v>13</v>
      </c>
      <c r="B16" s="42" t="s">
        <v>474</v>
      </c>
      <c r="C16" s="42" t="s">
        <v>475</v>
      </c>
      <c r="D16" s="195">
        <v>234</v>
      </c>
      <c r="E16" s="195">
        <f>233*3+1</f>
        <v>700</v>
      </c>
      <c r="F16" s="195">
        <v>700</v>
      </c>
    </row>
    <row r="17" spans="1:6">
      <c r="A17" s="42">
        <v>14</v>
      </c>
      <c r="B17" s="42" t="s">
        <v>474</v>
      </c>
      <c r="C17" s="42" t="s">
        <v>476</v>
      </c>
      <c r="D17" s="195">
        <v>280</v>
      </c>
      <c r="E17" s="195">
        <f>D17*3</f>
        <v>840</v>
      </c>
      <c r="F17" s="195">
        <v>840</v>
      </c>
    </row>
    <row r="18" spans="1:6">
      <c r="A18" s="42">
        <v>15</v>
      </c>
      <c r="B18" s="42" t="s">
        <v>474</v>
      </c>
      <c r="C18" s="42" t="s">
        <v>477</v>
      </c>
      <c r="D18" s="195">
        <v>234</v>
      </c>
      <c r="E18" s="195">
        <f>233*3+1</f>
        <v>700</v>
      </c>
      <c r="F18" s="195">
        <v>700</v>
      </c>
    </row>
    <row r="19" spans="1:6">
      <c r="A19" s="42">
        <v>17</v>
      </c>
      <c r="B19" s="42" t="s">
        <v>247</v>
      </c>
      <c r="C19" s="42" t="s">
        <v>478</v>
      </c>
      <c r="D19" s="195">
        <v>38</v>
      </c>
      <c r="E19" s="195">
        <f>37*3+1</f>
        <v>112</v>
      </c>
      <c r="F19" s="195">
        <v>112</v>
      </c>
    </row>
    <row r="20" spans="1:6">
      <c r="A20" s="42">
        <v>18</v>
      </c>
      <c r="B20" s="42" t="s">
        <v>247</v>
      </c>
      <c r="C20" s="42" t="s">
        <v>479</v>
      </c>
      <c r="D20" s="195">
        <v>37</v>
      </c>
      <c r="E20" s="195">
        <f>36*3+2</f>
        <v>110</v>
      </c>
      <c r="F20" s="195">
        <v>110</v>
      </c>
    </row>
    <row r="21" spans="1:6">
      <c r="A21" s="42">
        <v>19</v>
      </c>
      <c r="B21" s="42" t="s">
        <v>421</v>
      </c>
      <c r="C21" s="42" t="s">
        <v>478</v>
      </c>
      <c r="D21" s="195">
        <v>94</v>
      </c>
      <c r="E21" s="195">
        <f>D21*3</f>
        <v>282</v>
      </c>
      <c r="F21" s="195">
        <v>282</v>
      </c>
    </row>
    <row r="22" spans="1:6">
      <c r="A22" s="42">
        <v>20</v>
      </c>
      <c r="B22" s="42" t="s">
        <v>421</v>
      </c>
      <c r="C22" s="42" t="s">
        <v>480</v>
      </c>
      <c r="D22" s="195">
        <v>78</v>
      </c>
      <c r="E22" s="195">
        <f>D22*3</f>
        <v>234</v>
      </c>
      <c r="F22" s="195">
        <v>234</v>
      </c>
    </row>
    <row r="23" spans="1:6">
      <c r="A23" s="42">
        <v>21</v>
      </c>
      <c r="B23" s="195" t="s">
        <v>421</v>
      </c>
      <c r="C23" s="195" t="s">
        <v>481</v>
      </c>
      <c r="D23" s="195">
        <v>57</v>
      </c>
      <c r="E23" s="195">
        <f>56*3+2</f>
        <v>170</v>
      </c>
      <c r="F23" s="195">
        <v>170</v>
      </c>
    </row>
    <row r="24" spans="1:6">
      <c r="A24" s="42">
        <v>22</v>
      </c>
      <c r="B24" s="42" t="s">
        <v>218</v>
      </c>
      <c r="C24" s="42" t="s">
        <v>482</v>
      </c>
      <c r="D24" s="195">
        <v>206</v>
      </c>
      <c r="E24" s="195">
        <f>204*3+(2*2)</f>
        <v>616</v>
      </c>
      <c r="F24" s="195">
        <v>616</v>
      </c>
    </row>
    <row r="25" spans="1:6">
      <c r="A25" s="42">
        <v>23</v>
      </c>
      <c r="B25" s="42" t="s">
        <v>218</v>
      </c>
      <c r="C25" s="42" t="s">
        <v>483</v>
      </c>
      <c r="D25" s="195">
        <v>210</v>
      </c>
      <c r="E25" s="195">
        <f>200*3+(10*2)</f>
        <v>620</v>
      </c>
      <c r="F25" s="195">
        <v>620</v>
      </c>
    </row>
    <row r="26" spans="1:6">
      <c r="A26" s="42">
        <v>24</v>
      </c>
      <c r="B26" s="42" t="s">
        <v>218</v>
      </c>
      <c r="C26" s="42" t="s">
        <v>484</v>
      </c>
      <c r="D26" s="197">
        <v>92</v>
      </c>
      <c r="E26" s="195">
        <f>D26*3</f>
        <v>276</v>
      </c>
      <c r="F26" s="195">
        <v>276</v>
      </c>
    </row>
    <row r="27" spans="1:6">
      <c r="A27" s="42">
        <v>25</v>
      </c>
      <c r="B27" s="42" t="s">
        <v>218</v>
      </c>
      <c r="C27" s="42" t="s">
        <v>485</v>
      </c>
      <c r="D27" s="195">
        <v>113</v>
      </c>
      <c r="E27" s="195">
        <f>69*3+(44*2)</f>
        <v>295</v>
      </c>
      <c r="F27" s="195">
        <v>295</v>
      </c>
    </row>
    <row r="28" spans="1:6">
      <c r="A28" s="42">
        <v>26</v>
      </c>
      <c r="B28" s="42" t="s">
        <v>486</v>
      </c>
      <c r="C28" s="42" t="s">
        <v>487</v>
      </c>
      <c r="D28" s="195">
        <v>188</v>
      </c>
      <c r="E28" s="195">
        <f>187*3+2</f>
        <v>563</v>
      </c>
      <c r="F28" s="195">
        <v>563</v>
      </c>
    </row>
    <row r="29" spans="1:6">
      <c r="A29" s="42">
        <v>27</v>
      </c>
      <c r="B29" s="42" t="s">
        <v>486</v>
      </c>
      <c r="C29" s="42" t="s">
        <v>467</v>
      </c>
      <c r="D29" s="195">
        <v>151</v>
      </c>
      <c r="E29" s="195">
        <f>150*3+1</f>
        <v>451</v>
      </c>
      <c r="F29" s="195">
        <v>451</v>
      </c>
    </row>
    <row r="30" spans="1:6">
      <c r="A30" s="42">
        <v>28</v>
      </c>
      <c r="B30" s="42" t="s">
        <v>486</v>
      </c>
      <c r="C30" s="42" t="s">
        <v>473</v>
      </c>
      <c r="D30" s="195">
        <v>189</v>
      </c>
      <c r="E30" s="195">
        <f>188*3+1</f>
        <v>565</v>
      </c>
      <c r="F30" s="195">
        <v>565</v>
      </c>
    </row>
    <row r="31" spans="1:6">
      <c r="A31" s="42">
        <v>29</v>
      </c>
      <c r="B31" s="42" t="s">
        <v>488</v>
      </c>
      <c r="C31" s="42" t="s">
        <v>489</v>
      </c>
      <c r="D31" s="195">
        <v>29</v>
      </c>
      <c r="E31" s="195">
        <f>28*3+2</f>
        <v>86</v>
      </c>
      <c r="F31" s="195">
        <v>86</v>
      </c>
    </row>
    <row r="32" spans="1:6">
      <c r="A32" s="42">
        <v>30</v>
      </c>
      <c r="B32" s="42" t="s">
        <v>488</v>
      </c>
      <c r="C32" s="42" t="s">
        <v>490</v>
      </c>
      <c r="D32" s="195">
        <v>32</v>
      </c>
      <c r="E32" s="195">
        <f>31*3+1</f>
        <v>94</v>
      </c>
      <c r="F32" s="195">
        <v>94</v>
      </c>
    </row>
    <row r="33" spans="1:6">
      <c r="A33" s="42">
        <v>31</v>
      </c>
      <c r="B33" s="42" t="s">
        <v>488</v>
      </c>
      <c r="C33" s="42" t="s">
        <v>491</v>
      </c>
      <c r="D33" s="195">
        <v>23</v>
      </c>
      <c r="E33" s="195">
        <f>22*3+1</f>
        <v>67</v>
      </c>
      <c r="F33" s="195">
        <v>67</v>
      </c>
    </row>
    <row r="34" spans="1:6">
      <c r="A34" s="42">
        <v>32</v>
      </c>
      <c r="B34" s="42" t="s">
        <v>198</v>
      </c>
      <c r="C34" s="42" t="s">
        <v>197</v>
      </c>
      <c r="D34" s="195">
        <v>687</v>
      </c>
      <c r="E34" s="198">
        <f>686*3+2+2</f>
        <v>2062</v>
      </c>
      <c r="F34" s="198">
        <v>855</v>
      </c>
    </row>
    <row r="35" spans="1:6">
      <c r="A35" s="42">
        <v>33</v>
      </c>
      <c r="B35" s="42" t="s">
        <v>198</v>
      </c>
      <c r="C35" s="42" t="s">
        <v>492</v>
      </c>
      <c r="D35" s="195">
        <v>451</v>
      </c>
      <c r="E35" s="198">
        <f>450*3+2</f>
        <v>1352</v>
      </c>
      <c r="F35" s="198">
        <v>1178</v>
      </c>
    </row>
    <row r="36" spans="1:6">
      <c r="A36" s="42">
        <v>34</v>
      </c>
      <c r="B36" s="42" t="s">
        <v>198</v>
      </c>
      <c r="C36" s="42" t="s">
        <v>166</v>
      </c>
      <c r="D36" s="195">
        <v>265</v>
      </c>
      <c r="E36" s="198">
        <f>264*3+2</f>
        <v>794</v>
      </c>
      <c r="F36" s="198">
        <v>1128</v>
      </c>
    </row>
    <row r="37" spans="1:6">
      <c r="A37" s="42">
        <v>35</v>
      </c>
      <c r="B37" s="42" t="s">
        <v>198</v>
      </c>
      <c r="C37" s="42" t="s">
        <v>493</v>
      </c>
      <c r="D37" s="195">
        <v>109</v>
      </c>
      <c r="E37" s="198">
        <f>108*3+2</f>
        <v>326</v>
      </c>
      <c r="F37" s="198">
        <v>1514</v>
      </c>
    </row>
    <row r="38" spans="1:6">
      <c r="A38" s="42">
        <v>36</v>
      </c>
      <c r="B38" s="42" t="s">
        <v>198</v>
      </c>
      <c r="C38" s="42" t="s">
        <v>494</v>
      </c>
      <c r="D38" s="195">
        <v>3</v>
      </c>
      <c r="E38" s="198">
        <f>D38*3</f>
        <v>9</v>
      </c>
      <c r="F38" s="198">
        <v>1345</v>
      </c>
    </row>
    <row r="39" spans="1:6">
      <c r="A39" s="42">
        <v>37</v>
      </c>
      <c r="B39" s="42" t="s">
        <v>198</v>
      </c>
      <c r="C39" s="42" t="s">
        <v>495</v>
      </c>
      <c r="D39" s="195">
        <v>279</v>
      </c>
      <c r="E39" s="198">
        <f>278*3+2</f>
        <v>836</v>
      </c>
      <c r="F39" s="198">
        <v>1302</v>
      </c>
    </row>
    <row r="40" spans="1:6">
      <c r="A40" s="42"/>
      <c r="B40" s="42" t="s">
        <v>198</v>
      </c>
      <c r="C40" s="42" t="s">
        <v>496</v>
      </c>
      <c r="D40" s="195">
        <v>129</v>
      </c>
      <c r="E40" s="198">
        <f>128*3+2</f>
        <v>386</v>
      </c>
      <c r="F40" s="195"/>
    </row>
    <row r="41" spans="1:6">
      <c r="A41" s="42"/>
      <c r="B41" s="42" t="s">
        <v>198</v>
      </c>
      <c r="C41" s="42" t="s">
        <v>262</v>
      </c>
      <c r="D41" s="195">
        <v>2</v>
      </c>
      <c r="E41" s="198">
        <f>D41*3</f>
        <v>6</v>
      </c>
      <c r="F41" s="195"/>
    </row>
    <row r="42" spans="1:6">
      <c r="A42" s="42"/>
      <c r="B42" s="42" t="s">
        <v>198</v>
      </c>
      <c r="C42" s="42" t="s">
        <v>211</v>
      </c>
      <c r="D42" s="195">
        <v>69</v>
      </c>
      <c r="E42" s="198">
        <f>68*3+2</f>
        <v>206</v>
      </c>
      <c r="F42" s="195"/>
    </row>
    <row r="43" spans="1:6">
      <c r="A43" s="42"/>
      <c r="B43" s="42" t="s">
        <v>198</v>
      </c>
      <c r="C43" s="42" t="s">
        <v>392</v>
      </c>
      <c r="D43" s="195">
        <v>331</v>
      </c>
      <c r="E43" s="198">
        <f>330*3+2</f>
        <v>992</v>
      </c>
      <c r="F43" s="195"/>
    </row>
    <row r="44" spans="1:6">
      <c r="A44" s="42"/>
      <c r="B44" s="42" t="s">
        <v>198</v>
      </c>
      <c r="C44" s="42" t="s">
        <v>200</v>
      </c>
      <c r="D44" s="195">
        <v>118</v>
      </c>
      <c r="E44" s="198">
        <f>117*3+2</f>
        <v>353</v>
      </c>
      <c r="F44" s="195"/>
    </row>
    <row r="45" spans="1:6">
      <c r="A45" s="42">
        <v>38</v>
      </c>
      <c r="B45" s="42" t="s">
        <v>400</v>
      </c>
      <c r="C45" s="42" t="s">
        <v>484</v>
      </c>
      <c r="D45" s="195">
        <v>331</v>
      </c>
      <c r="E45" s="195">
        <f>D45*3</f>
        <v>993</v>
      </c>
      <c r="F45" s="197">
        <v>993</v>
      </c>
    </row>
    <row r="46" spans="1:6">
      <c r="A46" s="42">
        <v>39</v>
      </c>
      <c r="B46" s="42" t="s">
        <v>400</v>
      </c>
      <c r="C46" s="42" t="s">
        <v>485</v>
      </c>
      <c r="D46" s="195">
        <v>176</v>
      </c>
      <c r="E46" s="195">
        <f>D46*3</f>
        <v>528</v>
      </c>
      <c r="F46" s="195">
        <v>528</v>
      </c>
    </row>
    <row r="47" spans="1:6">
      <c r="A47" s="42">
        <v>40</v>
      </c>
      <c r="B47" s="42" t="s">
        <v>497</v>
      </c>
      <c r="C47" s="42" t="s">
        <v>498</v>
      </c>
      <c r="D47" s="195">
        <v>355</v>
      </c>
      <c r="E47" s="195">
        <f>D47*3</f>
        <v>1065</v>
      </c>
      <c r="F47" s="195">
        <v>1065</v>
      </c>
    </row>
    <row r="48" spans="1:6">
      <c r="A48" s="42">
        <v>41</v>
      </c>
      <c r="B48" s="42" t="s">
        <v>497</v>
      </c>
      <c r="C48" s="42" t="s">
        <v>499</v>
      </c>
      <c r="D48" s="195">
        <v>302</v>
      </c>
      <c r="E48" s="195">
        <f>301*3+1</f>
        <v>904</v>
      </c>
      <c r="F48" s="195">
        <v>904</v>
      </c>
    </row>
    <row r="49" spans="1:6">
      <c r="A49" s="42">
        <v>42</v>
      </c>
      <c r="B49" s="195" t="s">
        <v>500</v>
      </c>
      <c r="C49" s="195" t="s">
        <v>472</v>
      </c>
      <c r="D49" s="195">
        <v>71</v>
      </c>
      <c r="E49" s="195">
        <f>D49*3</f>
        <v>213</v>
      </c>
      <c r="F49" s="195">
        <v>213</v>
      </c>
    </row>
    <row r="50" spans="1:6">
      <c r="A50" s="42">
        <v>43</v>
      </c>
      <c r="B50" s="195" t="s">
        <v>500</v>
      </c>
      <c r="C50" s="195" t="s">
        <v>501</v>
      </c>
      <c r="D50" s="195">
        <v>252</v>
      </c>
      <c r="E50" s="195">
        <f>251*3+1</f>
        <v>754</v>
      </c>
      <c r="F50" s="195">
        <v>754</v>
      </c>
    </row>
    <row r="51" spans="1:6">
      <c r="A51" s="42">
        <v>44</v>
      </c>
      <c r="B51" s="42" t="s">
        <v>184</v>
      </c>
      <c r="C51" s="42" t="s">
        <v>502</v>
      </c>
      <c r="D51" s="195">
        <v>0</v>
      </c>
      <c r="E51" s="195">
        <v>0</v>
      </c>
      <c r="F51" s="195">
        <v>0</v>
      </c>
    </row>
    <row r="52" spans="1:6">
      <c r="A52" s="42">
        <v>45</v>
      </c>
      <c r="B52" s="195" t="s">
        <v>363</v>
      </c>
      <c r="C52" s="195" t="s">
        <v>503</v>
      </c>
      <c r="D52" s="195">
        <v>467</v>
      </c>
      <c r="E52" s="195">
        <f>466*3+2</f>
        <v>1400</v>
      </c>
      <c r="F52" s="195">
        <v>1400</v>
      </c>
    </row>
    <row r="53" spans="1:6">
      <c r="A53" s="42">
        <v>46</v>
      </c>
      <c r="B53" s="42" t="s">
        <v>265</v>
      </c>
      <c r="C53" s="42" t="s">
        <v>504</v>
      </c>
      <c r="D53" s="195">
        <v>32</v>
      </c>
      <c r="E53" s="195">
        <f>D53*3</f>
        <v>96</v>
      </c>
      <c r="F53" s="195">
        <v>96</v>
      </c>
    </row>
    <row r="54" spans="1:6">
      <c r="A54" s="42"/>
      <c r="B54" s="42" t="s">
        <v>265</v>
      </c>
      <c r="C54" s="42" t="s">
        <v>505</v>
      </c>
      <c r="D54" s="195">
        <v>132</v>
      </c>
      <c r="E54" s="195">
        <f>D54*3</f>
        <v>396</v>
      </c>
      <c r="F54" s="195">
        <v>396</v>
      </c>
    </row>
    <row r="55" spans="1:6">
      <c r="A55" s="42">
        <v>47</v>
      </c>
      <c r="B55" s="42" t="s">
        <v>380</v>
      </c>
      <c r="C55" s="42" t="s">
        <v>506</v>
      </c>
      <c r="D55" s="195">
        <v>107</v>
      </c>
      <c r="E55" s="199">
        <f>106*3+4</f>
        <v>322</v>
      </c>
      <c r="F55" s="199">
        <v>322</v>
      </c>
    </row>
    <row r="56" spans="1:6">
      <c r="A56" s="42">
        <v>48</v>
      </c>
      <c r="B56" s="42" t="s">
        <v>380</v>
      </c>
      <c r="C56" s="42" t="s">
        <v>490</v>
      </c>
      <c r="D56" s="195">
        <v>111</v>
      </c>
      <c r="E56" s="195">
        <f>D56*3</f>
        <v>333</v>
      </c>
      <c r="F56" s="195">
        <v>333</v>
      </c>
    </row>
    <row r="57" spans="1:6">
      <c r="A57" s="42">
        <v>49</v>
      </c>
      <c r="B57" s="42" t="s">
        <v>380</v>
      </c>
      <c r="C57" s="42" t="s">
        <v>507</v>
      </c>
      <c r="D57" s="195">
        <v>100</v>
      </c>
      <c r="E57" s="195">
        <f>96*3+(4*2)</f>
        <v>296</v>
      </c>
      <c r="F57" s="195">
        <v>296</v>
      </c>
    </row>
    <row r="58" spans="1:6">
      <c r="A58" s="42">
        <v>50</v>
      </c>
      <c r="B58" s="42" t="s">
        <v>380</v>
      </c>
      <c r="C58" s="42" t="s">
        <v>508</v>
      </c>
      <c r="D58" s="199">
        <v>88</v>
      </c>
      <c r="E58" s="199">
        <f>87*3+4</f>
        <v>265</v>
      </c>
      <c r="F58" s="199">
        <v>265</v>
      </c>
    </row>
    <row r="59" spans="1:6">
      <c r="A59" s="42">
        <v>51</v>
      </c>
      <c r="B59" s="42" t="s">
        <v>509</v>
      </c>
      <c r="C59" s="42" t="s">
        <v>480</v>
      </c>
      <c r="D59" s="195">
        <v>36</v>
      </c>
      <c r="E59" s="195">
        <f>35*3+1</f>
        <v>106</v>
      </c>
      <c r="F59" s="195">
        <v>106</v>
      </c>
    </row>
    <row r="60" spans="1:6">
      <c r="A60" s="42">
        <v>52</v>
      </c>
      <c r="B60" s="195" t="s">
        <v>230</v>
      </c>
      <c r="C60" s="195" t="s">
        <v>510</v>
      </c>
      <c r="D60" s="195">
        <v>534</v>
      </c>
      <c r="E60" s="195">
        <f>D60*3</f>
        <v>1602</v>
      </c>
      <c r="F60" s="195">
        <v>1602</v>
      </c>
    </row>
    <row r="61" spans="1:6">
      <c r="D61" s="200">
        <f>SUM(D4:D60)</f>
        <v>10116</v>
      </c>
      <c r="E61" s="200">
        <f>SUM(E4:E60)</f>
        <v>30249</v>
      </c>
      <c r="F61" s="200">
        <f>SUM(F4:F60)</f>
        <v>30249</v>
      </c>
    </row>
  </sheetData>
  <mergeCells count="5">
    <mergeCell ref="A1:F1"/>
    <mergeCell ref="A2:A3"/>
    <mergeCell ref="B2:B3"/>
    <mergeCell ref="C2:C3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E1" sqref="E1:S1"/>
    </sheetView>
  </sheetViews>
  <sheetFormatPr defaultRowHeight="15"/>
  <cols>
    <col min="4" max="4" width="12.875" customWidth="1"/>
    <col min="13" max="13" width="10.875" customWidth="1"/>
    <col min="15" max="15" width="11.25" customWidth="1"/>
  </cols>
  <sheetData>
    <row r="1" spans="1:19" ht="21">
      <c r="A1" s="9"/>
      <c r="B1" s="9"/>
      <c r="C1" s="9"/>
      <c r="D1" s="9"/>
      <c r="E1" s="249" t="s">
        <v>42</v>
      </c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19" ht="21">
      <c r="A2" s="9"/>
      <c r="B2" s="9"/>
      <c r="C2" s="9"/>
      <c r="D2" s="9"/>
      <c r="E2" s="2" t="s">
        <v>1</v>
      </c>
      <c r="F2" s="3"/>
      <c r="G2" s="3"/>
      <c r="H2" s="3"/>
      <c r="I2" s="3"/>
      <c r="J2" s="4"/>
      <c r="K2" s="1"/>
      <c r="L2" s="10" t="s">
        <v>2</v>
      </c>
      <c r="M2" s="10"/>
      <c r="N2" s="10" t="s">
        <v>30</v>
      </c>
      <c r="O2" s="10"/>
      <c r="P2" s="10"/>
      <c r="Q2" s="10"/>
      <c r="R2" s="10"/>
      <c r="S2" s="10"/>
    </row>
    <row r="3" spans="1:19" ht="21">
      <c r="A3" s="9"/>
      <c r="B3" s="9"/>
      <c r="C3" s="9"/>
      <c r="D3" s="9"/>
      <c r="E3" s="2" t="s">
        <v>4</v>
      </c>
      <c r="F3" s="3"/>
      <c r="G3" s="3"/>
      <c r="H3" s="3"/>
      <c r="I3" s="3"/>
      <c r="J3" s="4"/>
      <c r="K3" s="1"/>
      <c r="L3" s="10" t="s">
        <v>5</v>
      </c>
      <c r="M3" s="10"/>
      <c r="N3" s="10" t="s">
        <v>6</v>
      </c>
      <c r="O3" s="10"/>
      <c r="P3" s="10"/>
      <c r="Q3" s="10"/>
      <c r="R3" s="10"/>
      <c r="S3" s="10"/>
    </row>
    <row r="4" spans="1:19" ht="105">
      <c r="A4" s="5" t="s">
        <v>7</v>
      </c>
      <c r="B4" s="5" t="s">
        <v>8</v>
      </c>
      <c r="C4" s="5" t="s">
        <v>19</v>
      </c>
      <c r="D4" s="5" t="s">
        <v>9</v>
      </c>
      <c r="E4" s="5" t="s">
        <v>10</v>
      </c>
      <c r="F4" s="5" t="s">
        <v>11</v>
      </c>
      <c r="G4" s="6" t="s">
        <v>12</v>
      </c>
      <c r="H4" s="5" t="s">
        <v>13</v>
      </c>
      <c r="I4" s="5" t="s">
        <v>26</v>
      </c>
      <c r="J4" s="5" t="s">
        <v>27</v>
      </c>
      <c r="K4" s="5" t="s">
        <v>20</v>
      </c>
      <c r="L4" s="5" t="s">
        <v>21</v>
      </c>
      <c r="M4" s="5" t="s">
        <v>22</v>
      </c>
      <c r="N4" s="5" t="s">
        <v>23</v>
      </c>
      <c r="O4" s="5" t="s">
        <v>28</v>
      </c>
      <c r="P4" s="6" t="s">
        <v>24</v>
      </c>
      <c r="Q4" s="8" t="s">
        <v>25</v>
      </c>
      <c r="R4" s="5" t="s">
        <v>16</v>
      </c>
      <c r="S4" s="5" t="s">
        <v>17</v>
      </c>
    </row>
    <row r="5" spans="1:19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</sheetData>
  <mergeCells count="1">
    <mergeCell ref="E1:S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selection activeCell="A5" sqref="A5"/>
    </sheetView>
  </sheetViews>
  <sheetFormatPr defaultRowHeight="15"/>
  <cols>
    <col min="1" max="1" width="7.625" customWidth="1"/>
    <col min="2" max="2" width="23.25" customWidth="1"/>
    <col min="3" max="3" width="15.125" customWidth="1"/>
    <col min="4" max="4" width="20.125" customWidth="1"/>
    <col min="5" max="5" width="14" customWidth="1"/>
    <col min="6" max="6" width="13.625" customWidth="1"/>
    <col min="7" max="7" width="10.75" customWidth="1"/>
    <col min="8" max="8" width="15.25" customWidth="1"/>
    <col min="9" max="9" width="15" customWidth="1"/>
    <col min="10" max="10" width="12" customWidth="1"/>
    <col min="12" max="12" width="12.75" customWidth="1"/>
    <col min="13" max="13" width="17.25" customWidth="1"/>
  </cols>
  <sheetData>
    <row r="1" spans="1:13" ht="20.25">
      <c r="A1" s="309" t="s">
        <v>511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</row>
    <row r="2" spans="1:13">
      <c r="A2" s="9" t="s">
        <v>512</v>
      </c>
      <c r="B2" s="255" t="s">
        <v>513</v>
      </c>
      <c r="C2" s="255"/>
      <c r="D2" s="255"/>
      <c r="E2" s="255"/>
      <c r="F2" s="255"/>
      <c r="G2" s="9" t="s">
        <v>327</v>
      </c>
      <c r="H2" s="255" t="s">
        <v>514</v>
      </c>
      <c r="I2" s="255"/>
      <c r="J2" s="255"/>
      <c r="K2" s="255"/>
      <c r="L2" s="310"/>
      <c r="M2" s="311" t="s">
        <v>515</v>
      </c>
    </row>
    <row r="3" spans="1:13" ht="60">
      <c r="A3" s="201" t="s">
        <v>516</v>
      </c>
      <c r="B3" s="202" t="s">
        <v>154</v>
      </c>
      <c r="C3" s="11" t="s">
        <v>32</v>
      </c>
      <c r="D3" s="11" t="s">
        <v>156</v>
      </c>
      <c r="E3" s="11" t="s">
        <v>517</v>
      </c>
      <c r="F3" s="11" t="s">
        <v>518</v>
      </c>
      <c r="G3" s="11" t="s">
        <v>519</v>
      </c>
      <c r="H3" s="80" t="s">
        <v>520</v>
      </c>
      <c r="I3" s="203" t="s">
        <v>521</v>
      </c>
      <c r="J3" s="203" t="s">
        <v>522</v>
      </c>
      <c r="K3" s="203" t="s">
        <v>523</v>
      </c>
      <c r="L3" s="204" t="s">
        <v>524</v>
      </c>
      <c r="M3" s="311"/>
    </row>
    <row r="4" spans="1:13">
      <c r="A4" s="201">
        <v>1</v>
      </c>
      <c r="B4" s="202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205">
        <v>8</v>
      </c>
      <c r="I4" s="205">
        <v>9</v>
      </c>
      <c r="J4" s="205"/>
      <c r="K4" s="205"/>
      <c r="L4" s="206" t="s">
        <v>525</v>
      </c>
      <c r="M4" s="9"/>
    </row>
    <row r="5" spans="1:13" ht="30">
      <c r="A5" s="207">
        <v>1</v>
      </c>
      <c r="B5" s="11" t="s">
        <v>161</v>
      </c>
      <c r="C5" s="9" t="s">
        <v>164</v>
      </c>
      <c r="D5" s="11" t="s">
        <v>163</v>
      </c>
      <c r="E5" s="208">
        <v>1533</v>
      </c>
      <c r="F5" s="209">
        <v>128772</v>
      </c>
      <c r="G5" s="210">
        <f>90.9+10.8</f>
        <v>101.7</v>
      </c>
      <c r="H5" s="9">
        <f>G5*240</f>
        <v>24408</v>
      </c>
      <c r="I5" s="9">
        <f>F5-H5</f>
        <v>104364</v>
      </c>
      <c r="J5" s="9">
        <v>104364</v>
      </c>
      <c r="K5" s="9">
        <v>0</v>
      </c>
      <c r="L5" s="206">
        <v>0</v>
      </c>
      <c r="M5" s="9" t="s">
        <v>526</v>
      </c>
    </row>
    <row r="6" spans="1:13" ht="30">
      <c r="A6" s="207">
        <v>2</v>
      </c>
      <c r="B6" s="11" t="s">
        <v>165</v>
      </c>
      <c r="C6" s="9" t="s">
        <v>167</v>
      </c>
      <c r="D6" s="11" t="s">
        <v>163</v>
      </c>
      <c r="E6" s="208">
        <v>1302</v>
      </c>
      <c r="F6" s="209">
        <v>109368</v>
      </c>
      <c r="G6" s="210">
        <f>63.9+26.1</f>
        <v>90</v>
      </c>
      <c r="H6" s="9">
        <f>G6*240</f>
        <v>21600</v>
      </c>
      <c r="I6" s="9">
        <f>F6-H6</f>
        <v>87768</v>
      </c>
      <c r="J6" s="9">
        <v>87768</v>
      </c>
      <c r="K6" s="9">
        <v>0</v>
      </c>
      <c r="L6" s="206">
        <v>0</v>
      </c>
      <c r="M6" s="9" t="s">
        <v>527</v>
      </c>
    </row>
    <row r="7" spans="1:13" ht="30">
      <c r="A7" s="207">
        <v>3</v>
      </c>
      <c r="B7" s="11" t="s">
        <v>168</v>
      </c>
      <c r="C7" s="9" t="s">
        <v>169</v>
      </c>
      <c r="D7" s="11" t="s">
        <v>163</v>
      </c>
      <c r="E7" s="208">
        <v>336</v>
      </c>
      <c r="F7" s="209">
        <v>28224</v>
      </c>
      <c r="G7" s="210">
        <f>57.6+21.6</f>
        <v>79.2</v>
      </c>
      <c r="H7" s="9">
        <f t="shared" ref="H7:H68" si="0">G7*240</f>
        <v>19008</v>
      </c>
      <c r="I7" s="9">
        <f t="shared" ref="I7:I69" si="1">F7-H7</f>
        <v>9216</v>
      </c>
      <c r="J7" s="9">
        <v>9216</v>
      </c>
      <c r="K7" s="9">
        <v>0</v>
      </c>
      <c r="L7" s="206">
        <v>0</v>
      </c>
      <c r="M7" s="9" t="s">
        <v>528</v>
      </c>
    </row>
    <row r="8" spans="1:13" ht="30">
      <c r="A8" s="207">
        <v>4</v>
      </c>
      <c r="B8" s="11" t="s">
        <v>171</v>
      </c>
      <c r="C8" s="9" t="s">
        <v>172</v>
      </c>
      <c r="D8" s="11" t="s">
        <v>163</v>
      </c>
      <c r="E8" s="208">
        <v>2205</v>
      </c>
      <c r="F8" s="209">
        <v>185220</v>
      </c>
      <c r="G8" s="210">
        <v>96.3</v>
      </c>
      <c r="H8" s="9">
        <f t="shared" si="0"/>
        <v>23112</v>
      </c>
      <c r="I8" s="9">
        <f t="shared" si="1"/>
        <v>162108</v>
      </c>
      <c r="J8" s="9">
        <v>162108</v>
      </c>
      <c r="K8" s="9">
        <v>0</v>
      </c>
      <c r="L8" s="206">
        <v>0</v>
      </c>
      <c r="M8" s="9" t="s">
        <v>529</v>
      </c>
    </row>
    <row r="9" spans="1:13" ht="24.75">
      <c r="A9" s="208">
        <v>5</v>
      </c>
      <c r="B9" s="211" t="s">
        <v>530</v>
      </c>
      <c r="C9" s="212" t="s">
        <v>162</v>
      </c>
      <c r="D9" s="11" t="s">
        <v>163</v>
      </c>
      <c r="E9" s="208">
        <v>217</v>
      </c>
      <c r="F9" s="209">
        <v>18228</v>
      </c>
      <c r="G9" s="210">
        <v>0</v>
      </c>
      <c r="H9" s="9">
        <f t="shared" si="0"/>
        <v>0</v>
      </c>
      <c r="I9" s="9">
        <f t="shared" si="1"/>
        <v>18228</v>
      </c>
      <c r="J9" s="9">
        <v>18228</v>
      </c>
      <c r="K9" s="9">
        <v>0</v>
      </c>
      <c r="L9" s="206">
        <v>0</v>
      </c>
      <c r="M9" s="9" t="s">
        <v>531</v>
      </c>
    </row>
    <row r="10" spans="1:13" ht="24.75">
      <c r="A10" s="207">
        <v>6</v>
      </c>
      <c r="B10" s="211" t="s">
        <v>532</v>
      </c>
      <c r="C10" s="212" t="s">
        <v>166</v>
      </c>
      <c r="D10" s="11" t="s">
        <v>163</v>
      </c>
      <c r="E10" s="208">
        <v>273</v>
      </c>
      <c r="F10" s="209">
        <v>22932</v>
      </c>
      <c r="G10" s="210">
        <v>0</v>
      </c>
      <c r="H10" s="9">
        <f t="shared" si="0"/>
        <v>0</v>
      </c>
      <c r="I10" s="9">
        <f t="shared" si="1"/>
        <v>22932</v>
      </c>
      <c r="J10" s="9">
        <v>22932</v>
      </c>
      <c r="K10" s="9">
        <v>0</v>
      </c>
      <c r="L10" s="206">
        <v>0</v>
      </c>
      <c r="M10" s="9" t="s">
        <v>531</v>
      </c>
    </row>
    <row r="11" spans="1:13" ht="24.75">
      <c r="A11" s="207">
        <v>7</v>
      </c>
      <c r="B11" s="211" t="s">
        <v>533</v>
      </c>
      <c r="C11" s="212" t="s">
        <v>534</v>
      </c>
      <c r="D11" s="11" t="s">
        <v>163</v>
      </c>
      <c r="E11" s="208">
        <v>560</v>
      </c>
      <c r="F11" s="209">
        <v>47040</v>
      </c>
      <c r="G11" s="210"/>
      <c r="H11" s="9">
        <f t="shared" si="0"/>
        <v>0</v>
      </c>
      <c r="I11" s="9">
        <f t="shared" si="1"/>
        <v>47040</v>
      </c>
      <c r="J11" s="9">
        <v>47040</v>
      </c>
      <c r="K11" s="9">
        <v>0</v>
      </c>
      <c r="L11" s="206">
        <v>0</v>
      </c>
      <c r="M11" s="9" t="s">
        <v>531</v>
      </c>
    </row>
    <row r="12" spans="1:13">
      <c r="A12" s="213">
        <v>1</v>
      </c>
      <c r="B12" s="39" t="s">
        <v>163</v>
      </c>
      <c r="C12" s="214"/>
      <c r="D12" s="39"/>
      <c r="E12" s="209">
        <f>SUM(E5:E11)</f>
        <v>6426</v>
      </c>
      <c r="F12" s="209">
        <v>202419</v>
      </c>
      <c r="G12" s="215">
        <f>SUM(G5:G11)</f>
        <v>367.2</v>
      </c>
      <c r="H12" s="216">
        <f>G12*90</f>
        <v>33048</v>
      </c>
      <c r="I12" s="9">
        <f t="shared" si="1"/>
        <v>169371</v>
      </c>
      <c r="J12" s="9">
        <v>169371</v>
      </c>
      <c r="K12" s="9">
        <v>0</v>
      </c>
      <c r="L12" s="217">
        <v>0</v>
      </c>
      <c r="M12" s="9" t="s">
        <v>535</v>
      </c>
    </row>
    <row r="13" spans="1:13" ht="30">
      <c r="A13" s="207">
        <v>8</v>
      </c>
      <c r="B13" s="11" t="s">
        <v>174</v>
      </c>
      <c r="C13" s="9" t="s">
        <v>175</v>
      </c>
      <c r="D13" s="11" t="s">
        <v>174</v>
      </c>
      <c r="E13" s="218">
        <v>1393</v>
      </c>
      <c r="F13" s="219">
        <v>117012</v>
      </c>
      <c r="G13" s="210">
        <v>327.60000000000002</v>
      </c>
      <c r="H13" s="9">
        <f t="shared" si="0"/>
        <v>78624</v>
      </c>
      <c r="I13" s="9">
        <f t="shared" si="1"/>
        <v>38388</v>
      </c>
      <c r="J13" s="9">
        <v>38388</v>
      </c>
      <c r="K13" s="9">
        <v>0</v>
      </c>
      <c r="L13" s="206"/>
      <c r="M13" s="312" t="s">
        <v>536</v>
      </c>
    </row>
    <row r="14" spans="1:13" ht="30">
      <c r="A14" s="209">
        <v>2</v>
      </c>
      <c r="B14" s="220" t="s">
        <v>174</v>
      </c>
      <c r="C14" s="216" t="s">
        <v>175</v>
      </c>
      <c r="D14" s="39" t="s">
        <v>174</v>
      </c>
      <c r="E14" s="221">
        <v>1393</v>
      </c>
      <c r="F14" s="221">
        <v>43879</v>
      </c>
      <c r="G14" s="215">
        <v>327.60000000000002</v>
      </c>
      <c r="H14" s="216">
        <f>G14*90</f>
        <v>29484.000000000004</v>
      </c>
      <c r="I14" s="9">
        <f t="shared" si="1"/>
        <v>14394.999999999996</v>
      </c>
      <c r="J14" s="9">
        <v>14395</v>
      </c>
      <c r="K14" s="9">
        <v>0</v>
      </c>
      <c r="L14" s="217"/>
      <c r="M14" s="313"/>
    </row>
    <row r="15" spans="1:13" ht="30">
      <c r="A15" s="207">
        <v>9</v>
      </c>
      <c r="B15" s="11" t="s">
        <v>179</v>
      </c>
      <c r="C15" s="9" t="s">
        <v>180</v>
      </c>
      <c r="D15" s="11" t="s">
        <v>181</v>
      </c>
      <c r="E15" s="222">
        <v>1239</v>
      </c>
      <c r="F15" s="209">
        <v>104076</v>
      </c>
      <c r="G15" s="210">
        <v>420.3</v>
      </c>
      <c r="H15" s="9">
        <f>G15*240</f>
        <v>100872</v>
      </c>
      <c r="I15" s="9">
        <f t="shared" si="1"/>
        <v>3204</v>
      </c>
      <c r="J15" s="9">
        <v>3204</v>
      </c>
      <c r="K15" s="9">
        <v>0</v>
      </c>
      <c r="L15" s="206"/>
      <c r="M15" s="11" t="s">
        <v>537</v>
      </c>
    </row>
    <row r="16" spans="1:13" ht="30">
      <c r="A16" s="213">
        <v>3</v>
      </c>
      <c r="B16" s="223" t="s">
        <v>179</v>
      </c>
      <c r="C16" s="216" t="s">
        <v>180</v>
      </c>
      <c r="D16" s="39" t="s">
        <v>181</v>
      </c>
      <c r="E16" s="224">
        <v>1239</v>
      </c>
      <c r="F16" s="224">
        <v>39029</v>
      </c>
      <c r="G16" s="215">
        <v>420.3</v>
      </c>
      <c r="H16" s="216">
        <f>G16*90</f>
        <v>37827</v>
      </c>
      <c r="I16" s="9">
        <f t="shared" si="1"/>
        <v>1202</v>
      </c>
      <c r="J16" s="9">
        <v>1201</v>
      </c>
      <c r="K16" s="9">
        <v>1</v>
      </c>
      <c r="L16" s="217"/>
      <c r="M16" s="11" t="s">
        <v>537</v>
      </c>
    </row>
    <row r="17" spans="1:13">
      <c r="A17" s="207">
        <v>10</v>
      </c>
      <c r="B17" s="11" t="s">
        <v>186</v>
      </c>
      <c r="C17" s="9" t="s">
        <v>187</v>
      </c>
      <c r="D17" s="11" t="s">
        <v>188</v>
      </c>
      <c r="E17" s="208">
        <v>364</v>
      </c>
      <c r="F17" s="209">
        <v>30576</v>
      </c>
      <c r="G17" s="210">
        <v>210</v>
      </c>
      <c r="H17" s="9">
        <f t="shared" si="0"/>
        <v>50400</v>
      </c>
      <c r="I17" s="9">
        <v>0</v>
      </c>
      <c r="J17" s="9">
        <v>0</v>
      </c>
      <c r="K17" s="9">
        <v>0</v>
      </c>
      <c r="L17" s="206">
        <v>19824</v>
      </c>
      <c r="M17" s="9"/>
    </row>
    <row r="18" spans="1:13" ht="30">
      <c r="A18" s="207">
        <v>11</v>
      </c>
      <c r="B18" s="11" t="s">
        <v>189</v>
      </c>
      <c r="C18" s="9" t="s">
        <v>190</v>
      </c>
      <c r="D18" s="11" t="s">
        <v>188</v>
      </c>
      <c r="E18" s="208">
        <v>721</v>
      </c>
      <c r="F18" s="209">
        <v>60564</v>
      </c>
      <c r="G18" s="210">
        <v>252</v>
      </c>
      <c r="H18" s="9">
        <f t="shared" si="0"/>
        <v>60480</v>
      </c>
      <c r="I18" s="9">
        <f t="shared" si="1"/>
        <v>84</v>
      </c>
      <c r="J18" s="9">
        <v>84</v>
      </c>
      <c r="K18" s="9">
        <v>0</v>
      </c>
      <c r="L18" s="206">
        <v>0</v>
      </c>
      <c r="M18" s="11" t="s">
        <v>538</v>
      </c>
    </row>
    <row r="19" spans="1:13" ht="30">
      <c r="A19" s="208">
        <v>12</v>
      </c>
      <c r="B19" s="11" t="s">
        <v>191</v>
      </c>
      <c r="C19" s="9" t="s">
        <v>192</v>
      </c>
      <c r="D19" s="11" t="s">
        <v>188</v>
      </c>
      <c r="E19" s="208">
        <v>777</v>
      </c>
      <c r="F19" s="209">
        <v>65268</v>
      </c>
      <c r="G19" s="210">
        <v>210</v>
      </c>
      <c r="H19" s="9">
        <f t="shared" si="0"/>
        <v>50400</v>
      </c>
      <c r="I19" s="9">
        <f t="shared" si="1"/>
        <v>14868</v>
      </c>
      <c r="J19" s="9">
        <v>14868</v>
      </c>
      <c r="K19" s="9">
        <v>0</v>
      </c>
      <c r="L19" s="206">
        <v>0</v>
      </c>
      <c r="M19" s="11" t="s">
        <v>539</v>
      </c>
    </row>
    <row r="20" spans="1:13">
      <c r="A20" s="213">
        <v>4</v>
      </c>
      <c r="B20" s="223" t="s">
        <v>188</v>
      </c>
      <c r="C20" s="224"/>
      <c r="D20" s="39" t="s">
        <v>188</v>
      </c>
      <c r="E20" s="209">
        <f>SUM(E17:E19)</f>
        <v>1862</v>
      </c>
      <c r="F20" s="224">
        <v>58653</v>
      </c>
      <c r="G20" s="215">
        <f>SUM(G17:G19)</f>
        <v>672</v>
      </c>
      <c r="H20" s="216">
        <f>G20*90</f>
        <v>60480</v>
      </c>
      <c r="I20" s="9">
        <v>0</v>
      </c>
      <c r="J20" s="9">
        <v>0</v>
      </c>
      <c r="K20" s="9">
        <v>0</v>
      </c>
      <c r="L20" s="217">
        <v>1827</v>
      </c>
      <c r="M20" s="9"/>
    </row>
    <row r="21" spans="1:13" ht="45">
      <c r="A21" s="207">
        <v>13</v>
      </c>
      <c r="B21" s="11" t="s">
        <v>196</v>
      </c>
      <c r="C21" s="9" t="s">
        <v>197</v>
      </c>
      <c r="D21" s="11" t="s">
        <v>198</v>
      </c>
      <c r="E21" s="208">
        <v>966</v>
      </c>
      <c r="F21" s="209">
        <v>81144</v>
      </c>
      <c r="G21" s="210">
        <v>454.2</v>
      </c>
      <c r="H21" s="9">
        <f t="shared" si="0"/>
        <v>109008</v>
      </c>
      <c r="I21" s="9">
        <v>0</v>
      </c>
      <c r="J21" s="9">
        <v>0</v>
      </c>
      <c r="K21" s="9">
        <v>0</v>
      </c>
      <c r="L21" s="206">
        <v>27864</v>
      </c>
      <c r="M21" s="9"/>
    </row>
    <row r="22" spans="1:13" ht="30">
      <c r="A22" s="207">
        <v>14</v>
      </c>
      <c r="B22" s="225" t="s">
        <v>199</v>
      </c>
      <c r="C22" s="226" t="s">
        <v>197</v>
      </c>
      <c r="D22" s="225" t="s">
        <v>198</v>
      </c>
      <c r="E22" s="227">
        <v>2495.5</v>
      </c>
      <c r="F22" s="228">
        <v>209622</v>
      </c>
      <c r="G22" s="229">
        <v>316.5</v>
      </c>
      <c r="H22" s="226">
        <f>G22*240</f>
        <v>75960</v>
      </c>
      <c r="I22" s="226">
        <f t="shared" si="1"/>
        <v>133662</v>
      </c>
      <c r="J22" s="9">
        <v>133662</v>
      </c>
      <c r="K22" s="9">
        <v>0</v>
      </c>
      <c r="L22" s="230">
        <v>0</v>
      </c>
      <c r="M22" s="11" t="s">
        <v>540</v>
      </c>
    </row>
    <row r="23" spans="1:13" ht="30">
      <c r="A23" s="207">
        <v>15</v>
      </c>
      <c r="B23" s="225" t="s">
        <v>202</v>
      </c>
      <c r="C23" s="226" t="s">
        <v>203</v>
      </c>
      <c r="D23" s="225" t="s">
        <v>198</v>
      </c>
      <c r="E23" s="227">
        <v>1000</v>
      </c>
      <c r="F23" s="228">
        <v>84000</v>
      </c>
      <c r="G23" s="229">
        <v>403.5</v>
      </c>
      <c r="H23" s="226">
        <f t="shared" si="0"/>
        <v>96840</v>
      </c>
      <c r="I23" s="226">
        <v>0</v>
      </c>
      <c r="J23" s="9">
        <v>0</v>
      </c>
      <c r="K23" s="9">
        <v>0</v>
      </c>
      <c r="L23" s="230">
        <f t="shared" ref="L23:L64" si="2">H23-F23</f>
        <v>12840</v>
      </c>
      <c r="M23" s="9"/>
    </row>
    <row r="24" spans="1:13" ht="105">
      <c r="A24" s="208">
        <v>16</v>
      </c>
      <c r="B24" s="225" t="s">
        <v>418</v>
      </c>
      <c r="C24" s="226" t="s">
        <v>206</v>
      </c>
      <c r="D24" s="225" t="s">
        <v>198</v>
      </c>
      <c r="E24" s="227">
        <v>1795.5</v>
      </c>
      <c r="F24" s="228">
        <v>150822</v>
      </c>
      <c r="G24" s="229">
        <v>330.6</v>
      </c>
      <c r="H24" s="226">
        <f t="shared" si="0"/>
        <v>79344</v>
      </c>
      <c r="I24" s="226">
        <f t="shared" si="1"/>
        <v>71478</v>
      </c>
      <c r="J24" s="9">
        <v>71478</v>
      </c>
      <c r="K24" s="9">
        <v>0</v>
      </c>
      <c r="L24" s="230">
        <v>0</v>
      </c>
      <c r="M24" s="11" t="s">
        <v>541</v>
      </c>
    </row>
    <row r="25" spans="1:13" ht="105">
      <c r="A25" s="207">
        <v>17</v>
      </c>
      <c r="B25" s="11" t="s">
        <v>207</v>
      </c>
      <c r="C25" s="9" t="s">
        <v>208</v>
      </c>
      <c r="D25" s="11" t="s">
        <v>198</v>
      </c>
      <c r="E25" s="208">
        <v>1100</v>
      </c>
      <c r="F25" s="209">
        <v>92400</v>
      </c>
      <c r="G25" s="210">
        <v>353.4</v>
      </c>
      <c r="H25" s="9">
        <f t="shared" si="0"/>
        <v>84816</v>
      </c>
      <c r="I25" s="9">
        <f t="shared" si="1"/>
        <v>7584</v>
      </c>
      <c r="J25" s="9">
        <v>7584</v>
      </c>
      <c r="K25" s="9">
        <v>0</v>
      </c>
      <c r="L25" s="206">
        <v>0</v>
      </c>
      <c r="M25" s="11" t="s">
        <v>542</v>
      </c>
    </row>
    <row r="26" spans="1:13" ht="105">
      <c r="A26" s="207">
        <v>18</v>
      </c>
      <c r="B26" s="11" t="s">
        <v>209</v>
      </c>
      <c r="C26" s="9" t="s">
        <v>210</v>
      </c>
      <c r="D26" s="11" t="s">
        <v>198</v>
      </c>
      <c r="E26" s="208">
        <v>2820</v>
      </c>
      <c r="F26" s="209">
        <v>236880</v>
      </c>
      <c r="G26" s="210">
        <v>277.5</v>
      </c>
      <c r="H26" s="9">
        <f t="shared" si="0"/>
        <v>66600</v>
      </c>
      <c r="I26" s="9">
        <f t="shared" si="1"/>
        <v>170280</v>
      </c>
      <c r="J26" s="9">
        <v>170280</v>
      </c>
      <c r="K26" s="9">
        <v>0</v>
      </c>
      <c r="L26" s="206">
        <v>0</v>
      </c>
      <c r="M26" s="11" t="s">
        <v>543</v>
      </c>
    </row>
    <row r="27" spans="1:13" ht="30">
      <c r="A27" s="213">
        <v>5</v>
      </c>
      <c r="B27" s="223" t="s">
        <v>198</v>
      </c>
      <c r="C27" s="224"/>
      <c r="D27" s="216"/>
      <c r="E27" s="209">
        <f>SUM(E21:E26)</f>
        <v>10177</v>
      </c>
      <c r="F27" s="224">
        <v>320576</v>
      </c>
      <c r="G27" s="215">
        <f>SUM(G21:G26)</f>
        <v>2135.7000000000003</v>
      </c>
      <c r="H27" s="216">
        <f>G27*90</f>
        <v>192213.00000000003</v>
      </c>
      <c r="I27" s="9">
        <f t="shared" si="1"/>
        <v>128362.99999999997</v>
      </c>
      <c r="J27" s="9">
        <v>128363</v>
      </c>
      <c r="K27" s="9">
        <v>0</v>
      </c>
      <c r="L27" s="217">
        <v>0</v>
      </c>
      <c r="M27" s="11" t="s">
        <v>544</v>
      </c>
    </row>
    <row r="28" spans="1:13" ht="45">
      <c r="A28" s="207">
        <v>19</v>
      </c>
      <c r="B28" s="11" t="s">
        <v>419</v>
      </c>
      <c r="C28" s="9" t="s">
        <v>340</v>
      </c>
      <c r="D28" s="11" t="s">
        <v>214</v>
      </c>
      <c r="E28" s="208">
        <v>371</v>
      </c>
      <c r="F28" s="209">
        <v>31164</v>
      </c>
      <c r="G28" s="210">
        <v>0</v>
      </c>
      <c r="H28" s="9">
        <f t="shared" si="0"/>
        <v>0</v>
      </c>
      <c r="I28" s="9">
        <f t="shared" si="1"/>
        <v>31164</v>
      </c>
      <c r="J28" s="9">
        <v>0</v>
      </c>
      <c r="K28" s="9">
        <v>31164</v>
      </c>
      <c r="L28" s="206">
        <v>0</v>
      </c>
      <c r="M28" s="11" t="s">
        <v>545</v>
      </c>
    </row>
    <row r="29" spans="1:13" ht="45">
      <c r="A29" s="208">
        <v>20</v>
      </c>
      <c r="B29" s="11" t="s">
        <v>212</v>
      </c>
      <c r="C29" s="9" t="s">
        <v>213</v>
      </c>
      <c r="D29" s="11" t="s">
        <v>214</v>
      </c>
      <c r="E29" s="208">
        <v>861</v>
      </c>
      <c r="F29" s="209">
        <v>72324</v>
      </c>
      <c r="G29" s="210">
        <v>319.5</v>
      </c>
      <c r="H29" s="9">
        <f t="shared" si="0"/>
        <v>76680</v>
      </c>
      <c r="I29" s="9">
        <v>0</v>
      </c>
      <c r="J29" s="9">
        <v>0</v>
      </c>
      <c r="K29" s="9">
        <v>0</v>
      </c>
      <c r="L29" s="206">
        <f t="shared" si="2"/>
        <v>4356</v>
      </c>
      <c r="M29" s="9"/>
    </row>
    <row r="30" spans="1:13" ht="30">
      <c r="A30" s="207">
        <v>21</v>
      </c>
      <c r="B30" s="11" t="s">
        <v>215</v>
      </c>
      <c r="C30" s="9" t="s">
        <v>213</v>
      </c>
      <c r="D30" s="11" t="s">
        <v>214</v>
      </c>
      <c r="E30" s="208">
        <v>903</v>
      </c>
      <c r="F30" s="209">
        <v>75852</v>
      </c>
      <c r="G30" s="210">
        <v>271.2</v>
      </c>
      <c r="H30" s="9">
        <f>G30*240</f>
        <v>65088</v>
      </c>
      <c r="I30" s="9">
        <f t="shared" si="1"/>
        <v>10764</v>
      </c>
      <c r="J30" s="9">
        <v>10764</v>
      </c>
      <c r="K30" s="9">
        <v>0</v>
      </c>
      <c r="L30" s="206">
        <v>0</v>
      </c>
      <c r="M30" s="11" t="s">
        <v>546</v>
      </c>
    </row>
    <row r="31" spans="1:13" ht="30">
      <c r="A31" s="213">
        <v>6</v>
      </c>
      <c r="B31" s="223" t="s">
        <v>214</v>
      </c>
      <c r="C31" s="224"/>
      <c r="D31" s="216"/>
      <c r="E31" s="209">
        <f>SUM(E28:E30)</f>
        <v>2135</v>
      </c>
      <c r="F31" s="224">
        <v>67253</v>
      </c>
      <c r="G31" s="215">
        <f>SUM(G28:G30)</f>
        <v>590.70000000000005</v>
      </c>
      <c r="H31" s="216">
        <f>G31*90</f>
        <v>53163.000000000007</v>
      </c>
      <c r="I31" s="9">
        <f t="shared" si="1"/>
        <v>14089.999999999993</v>
      </c>
      <c r="J31" s="9">
        <v>14091</v>
      </c>
      <c r="K31" s="9">
        <v>0</v>
      </c>
      <c r="L31" s="217">
        <v>0</v>
      </c>
      <c r="M31" s="11" t="s">
        <v>547</v>
      </c>
    </row>
    <row r="32" spans="1:13">
      <c r="A32" s="207">
        <v>22</v>
      </c>
      <c r="B32" s="11" t="s">
        <v>216</v>
      </c>
      <c r="C32" s="9" t="s">
        <v>217</v>
      </c>
      <c r="D32" s="11" t="s">
        <v>218</v>
      </c>
      <c r="E32" s="208">
        <v>1561</v>
      </c>
      <c r="F32" s="209">
        <v>131124</v>
      </c>
      <c r="G32" s="210">
        <v>453.6</v>
      </c>
      <c r="H32" s="9">
        <f t="shared" si="0"/>
        <v>108864</v>
      </c>
      <c r="I32" s="9">
        <f t="shared" si="1"/>
        <v>22260</v>
      </c>
      <c r="J32" s="9">
        <v>22260</v>
      </c>
      <c r="K32" s="9">
        <v>0</v>
      </c>
      <c r="L32" s="206">
        <v>0</v>
      </c>
      <c r="M32" s="308" t="s">
        <v>548</v>
      </c>
    </row>
    <row r="33" spans="1:13">
      <c r="A33" s="207">
        <v>23</v>
      </c>
      <c r="B33" s="11" t="s">
        <v>221</v>
      </c>
      <c r="C33" s="9" t="s">
        <v>222</v>
      </c>
      <c r="D33" s="11" t="s">
        <v>218</v>
      </c>
      <c r="E33" s="208">
        <v>322</v>
      </c>
      <c r="F33" s="209">
        <v>27048</v>
      </c>
      <c r="G33" s="210">
        <v>88.5</v>
      </c>
      <c r="H33" s="9">
        <f t="shared" si="0"/>
        <v>21240</v>
      </c>
      <c r="I33" s="9">
        <f t="shared" si="1"/>
        <v>5808</v>
      </c>
      <c r="J33" s="9">
        <v>5808</v>
      </c>
      <c r="K33" s="9">
        <v>0</v>
      </c>
      <c r="L33" s="206">
        <v>0</v>
      </c>
      <c r="M33" s="308"/>
    </row>
    <row r="34" spans="1:13">
      <c r="A34" s="209">
        <v>7</v>
      </c>
      <c r="B34" s="223" t="s">
        <v>218</v>
      </c>
      <c r="C34" s="224">
        <v>1883</v>
      </c>
      <c r="D34" s="216"/>
      <c r="E34" s="209">
        <f>SUM(E32:E33)</f>
        <v>1883</v>
      </c>
      <c r="F34" s="224">
        <v>59315</v>
      </c>
      <c r="G34" s="215">
        <f>SUM(G32:G33)</f>
        <v>542.1</v>
      </c>
      <c r="H34" s="216">
        <f>G34*90</f>
        <v>48789</v>
      </c>
      <c r="I34" s="9">
        <f t="shared" si="1"/>
        <v>10526</v>
      </c>
      <c r="J34" s="9">
        <v>10526</v>
      </c>
      <c r="K34" s="9">
        <v>0</v>
      </c>
      <c r="L34" s="217">
        <v>0</v>
      </c>
      <c r="M34" s="308"/>
    </row>
    <row r="35" spans="1:13" ht="30">
      <c r="A35" s="207">
        <v>24</v>
      </c>
      <c r="B35" s="11" t="s">
        <v>223</v>
      </c>
      <c r="C35" s="9" t="s">
        <v>224</v>
      </c>
      <c r="D35" s="11" t="s">
        <v>225</v>
      </c>
      <c r="E35" s="208">
        <v>1302</v>
      </c>
      <c r="F35" s="209">
        <v>109368</v>
      </c>
      <c r="G35" s="210">
        <v>429.3</v>
      </c>
      <c r="H35" s="9">
        <f t="shared" si="0"/>
        <v>103032</v>
      </c>
      <c r="I35" s="9">
        <f t="shared" si="1"/>
        <v>6336</v>
      </c>
      <c r="J35" s="9">
        <v>6336</v>
      </c>
      <c r="K35" s="9">
        <v>0</v>
      </c>
      <c r="L35" s="206">
        <v>0</v>
      </c>
      <c r="M35" s="308" t="s">
        <v>549</v>
      </c>
    </row>
    <row r="36" spans="1:13">
      <c r="A36" s="207">
        <v>25</v>
      </c>
      <c r="B36" s="11" t="s">
        <v>226</v>
      </c>
      <c r="C36" s="9" t="s">
        <v>177</v>
      </c>
      <c r="D36" s="11" t="s">
        <v>225</v>
      </c>
      <c r="E36" s="208">
        <v>568</v>
      </c>
      <c r="F36" s="209">
        <v>47712</v>
      </c>
      <c r="G36" s="210">
        <v>168.9</v>
      </c>
      <c r="H36" s="9">
        <f t="shared" si="0"/>
        <v>40536</v>
      </c>
      <c r="I36" s="9">
        <f t="shared" si="1"/>
        <v>7176</v>
      </c>
      <c r="J36" s="9">
        <v>7176</v>
      </c>
      <c r="K36" s="9">
        <v>0</v>
      </c>
      <c r="L36" s="206">
        <v>0</v>
      </c>
      <c r="M36" s="308"/>
    </row>
    <row r="37" spans="1:13">
      <c r="A37" s="207">
        <v>26</v>
      </c>
      <c r="B37" s="11" t="s">
        <v>227</v>
      </c>
      <c r="C37" s="9" t="s">
        <v>228</v>
      </c>
      <c r="D37" s="11" t="s">
        <v>225</v>
      </c>
      <c r="E37" s="208">
        <v>434</v>
      </c>
      <c r="F37" s="209">
        <v>36456</v>
      </c>
      <c r="G37" s="210">
        <v>135.30000000000001</v>
      </c>
      <c r="H37" s="9">
        <f t="shared" si="0"/>
        <v>32472.000000000004</v>
      </c>
      <c r="I37" s="9">
        <f t="shared" si="1"/>
        <v>3983.9999999999964</v>
      </c>
      <c r="J37" s="9">
        <v>3984</v>
      </c>
      <c r="K37" s="9">
        <v>0</v>
      </c>
      <c r="L37" s="206">
        <v>0</v>
      </c>
      <c r="M37" s="308"/>
    </row>
    <row r="38" spans="1:13">
      <c r="A38" s="213">
        <v>8</v>
      </c>
      <c r="B38" s="223" t="s">
        <v>225</v>
      </c>
      <c r="C38" s="224">
        <v>2304</v>
      </c>
      <c r="D38" s="216"/>
      <c r="E38" s="209">
        <f>SUM(E35:E37)</f>
        <v>2304</v>
      </c>
      <c r="F38" s="224">
        <v>72576</v>
      </c>
      <c r="G38" s="215">
        <f>SUM(G35:G37)</f>
        <v>733.5</v>
      </c>
      <c r="H38" s="216">
        <f>G38*90</f>
        <v>66015</v>
      </c>
      <c r="I38" s="9">
        <f t="shared" si="1"/>
        <v>6561</v>
      </c>
      <c r="J38" s="9">
        <v>6561</v>
      </c>
      <c r="K38" s="9">
        <v>-1980</v>
      </c>
      <c r="L38" s="217">
        <v>0</v>
      </c>
      <c r="M38" s="308"/>
    </row>
    <row r="39" spans="1:13" ht="30">
      <c r="A39" s="208">
        <v>27</v>
      </c>
      <c r="B39" s="11" t="s">
        <v>420</v>
      </c>
      <c r="C39" s="11" t="s">
        <v>194</v>
      </c>
      <c r="D39" s="11" t="s">
        <v>421</v>
      </c>
      <c r="E39" s="208">
        <v>343</v>
      </c>
      <c r="F39" s="209">
        <v>28812</v>
      </c>
      <c r="G39" s="210">
        <v>70.2</v>
      </c>
      <c r="H39" s="9">
        <f t="shared" si="0"/>
        <v>16848</v>
      </c>
      <c r="I39" s="9">
        <f t="shared" si="1"/>
        <v>11964</v>
      </c>
      <c r="J39" s="9">
        <v>0</v>
      </c>
      <c r="K39" s="9">
        <v>11964</v>
      </c>
      <c r="L39" s="206">
        <v>0</v>
      </c>
      <c r="M39" s="9"/>
    </row>
    <row r="40" spans="1:13" ht="45">
      <c r="A40" s="207">
        <v>28</v>
      </c>
      <c r="B40" s="11" t="s">
        <v>422</v>
      </c>
      <c r="C40" s="11" t="s">
        <v>246</v>
      </c>
      <c r="D40" s="11" t="s">
        <v>421</v>
      </c>
      <c r="E40" s="208">
        <v>420</v>
      </c>
      <c r="F40" s="209">
        <v>35280</v>
      </c>
      <c r="G40" s="210">
        <v>84.6</v>
      </c>
      <c r="H40" s="9">
        <f t="shared" si="0"/>
        <v>20304</v>
      </c>
      <c r="I40" s="9">
        <f t="shared" si="1"/>
        <v>14976</v>
      </c>
      <c r="J40" s="9">
        <v>0</v>
      </c>
      <c r="K40" s="9">
        <v>14976</v>
      </c>
      <c r="L40" s="206">
        <v>0</v>
      </c>
      <c r="M40" s="9"/>
    </row>
    <row r="41" spans="1:13" ht="30">
      <c r="A41" s="207">
        <v>29</v>
      </c>
      <c r="B41" s="231" t="s">
        <v>423</v>
      </c>
      <c r="C41" s="231" t="s">
        <v>340</v>
      </c>
      <c r="D41" s="231" t="s">
        <v>421</v>
      </c>
      <c r="E41" s="222">
        <v>378</v>
      </c>
      <c r="F41" s="232">
        <v>31752</v>
      </c>
      <c r="G41" s="233">
        <f>51+62.1-31.5</f>
        <v>81.599999999999994</v>
      </c>
      <c r="H41" s="234">
        <f t="shared" si="0"/>
        <v>19584</v>
      </c>
      <c r="I41" s="9">
        <f t="shared" si="1"/>
        <v>12168</v>
      </c>
      <c r="J41" s="9">
        <v>0</v>
      </c>
      <c r="K41" s="9">
        <v>12168</v>
      </c>
      <c r="L41" s="235">
        <v>0</v>
      </c>
      <c r="M41" s="9"/>
    </row>
    <row r="42" spans="1:13">
      <c r="A42" s="213">
        <v>9</v>
      </c>
      <c r="B42" s="223" t="s">
        <v>421</v>
      </c>
      <c r="C42" s="224">
        <v>1141</v>
      </c>
      <c r="D42" s="216"/>
      <c r="E42" s="209">
        <f>SUM(E39:E41)</f>
        <v>1141</v>
      </c>
      <c r="F42" s="224">
        <v>35942</v>
      </c>
      <c r="G42" s="215">
        <f>SUM(G39:G41)</f>
        <v>236.4</v>
      </c>
      <c r="H42" s="216">
        <f>G42*90</f>
        <v>21276</v>
      </c>
      <c r="I42" s="9">
        <f t="shared" si="1"/>
        <v>14666</v>
      </c>
      <c r="J42" s="9">
        <v>0</v>
      </c>
      <c r="K42" s="9">
        <v>14666</v>
      </c>
      <c r="L42" s="217">
        <v>0</v>
      </c>
      <c r="M42" s="9"/>
    </row>
    <row r="43" spans="1:13">
      <c r="A43" s="207">
        <v>30</v>
      </c>
      <c r="B43" s="11" t="s">
        <v>229</v>
      </c>
      <c r="C43" s="9" t="s">
        <v>213</v>
      </c>
      <c r="D43" s="11" t="s">
        <v>230</v>
      </c>
      <c r="E43" s="208">
        <v>1712</v>
      </c>
      <c r="F43" s="209">
        <v>143808</v>
      </c>
      <c r="G43" s="210">
        <v>707.4</v>
      </c>
      <c r="H43" s="9">
        <f>G43*240</f>
        <v>169776</v>
      </c>
      <c r="I43" s="9">
        <v>0</v>
      </c>
      <c r="J43" s="9">
        <v>0</v>
      </c>
      <c r="K43" s="9">
        <v>0</v>
      </c>
      <c r="L43" s="206">
        <f t="shared" si="2"/>
        <v>25968</v>
      </c>
      <c r="M43" s="9"/>
    </row>
    <row r="44" spans="1:13">
      <c r="A44" s="209">
        <v>10</v>
      </c>
      <c r="B44" s="236" t="s">
        <v>230</v>
      </c>
      <c r="C44" s="216"/>
      <c r="D44" s="216"/>
      <c r="E44" s="224">
        <v>1712</v>
      </c>
      <c r="F44" s="224">
        <v>53928</v>
      </c>
      <c r="G44" s="215">
        <v>707.4</v>
      </c>
      <c r="H44" s="216">
        <f>G44*90</f>
        <v>63666</v>
      </c>
      <c r="I44" s="9">
        <v>0</v>
      </c>
      <c r="J44" s="9">
        <v>0</v>
      </c>
      <c r="K44" s="9">
        <v>0</v>
      </c>
      <c r="L44" s="217">
        <f t="shared" si="2"/>
        <v>9738</v>
      </c>
      <c r="M44" s="9"/>
    </row>
    <row r="45" spans="1:13">
      <c r="A45" s="207">
        <v>31</v>
      </c>
      <c r="B45" s="11" t="s">
        <v>231</v>
      </c>
      <c r="C45" s="9" t="s">
        <v>232</v>
      </c>
      <c r="D45" s="11" t="s">
        <v>233</v>
      </c>
      <c r="E45" s="208">
        <v>105</v>
      </c>
      <c r="F45" s="209">
        <v>8820</v>
      </c>
      <c r="G45" s="210">
        <v>0</v>
      </c>
      <c r="H45" s="9">
        <f t="shared" si="0"/>
        <v>0</v>
      </c>
      <c r="I45" s="9">
        <f t="shared" si="1"/>
        <v>8820</v>
      </c>
      <c r="J45" s="9">
        <v>8820</v>
      </c>
      <c r="K45" s="9">
        <v>0</v>
      </c>
      <c r="L45" s="206">
        <v>0</v>
      </c>
      <c r="M45" s="308" t="s">
        <v>550</v>
      </c>
    </row>
    <row r="46" spans="1:13">
      <c r="A46" s="213">
        <v>11</v>
      </c>
      <c r="B46" s="223" t="s">
        <v>233</v>
      </c>
      <c r="C46" s="216"/>
      <c r="D46" s="216"/>
      <c r="E46" s="224">
        <v>105</v>
      </c>
      <c r="F46" s="224">
        <v>3308</v>
      </c>
      <c r="G46" s="215">
        <v>0</v>
      </c>
      <c r="H46" s="216">
        <v>0</v>
      </c>
      <c r="I46" s="9">
        <f t="shared" si="1"/>
        <v>3308</v>
      </c>
      <c r="J46" s="9">
        <v>3308</v>
      </c>
      <c r="K46" s="9">
        <v>0</v>
      </c>
      <c r="L46" s="217">
        <v>0</v>
      </c>
      <c r="M46" s="308"/>
    </row>
    <row r="47" spans="1:13" ht="30">
      <c r="A47" s="207">
        <v>32</v>
      </c>
      <c r="B47" s="11" t="s">
        <v>234</v>
      </c>
      <c r="C47" s="9" t="s">
        <v>235</v>
      </c>
      <c r="D47" s="11" t="s">
        <v>236</v>
      </c>
      <c r="E47" s="208">
        <v>1694</v>
      </c>
      <c r="F47" s="209">
        <v>142296</v>
      </c>
      <c r="G47" s="210">
        <v>563.70000000000005</v>
      </c>
      <c r="H47" s="9">
        <f t="shared" si="0"/>
        <v>135288</v>
      </c>
      <c r="I47" s="9">
        <f t="shared" si="1"/>
        <v>7008</v>
      </c>
      <c r="J47" s="9">
        <v>7008</v>
      </c>
      <c r="K47" s="9">
        <v>0</v>
      </c>
      <c r="L47" s="206">
        <v>0</v>
      </c>
      <c r="M47" s="11" t="s">
        <v>551</v>
      </c>
    </row>
    <row r="48" spans="1:13" ht="30">
      <c r="A48" s="207">
        <v>33</v>
      </c>
      <c r="B48" s="11" t="s">
        <v>237</v>
      </c>
      <c r="C48" s="9" t="s">
        <v>238</v>
      </c>
      <c r="D48" s="11" t="s">
        <v>236</v>
      </c>
      <c r="E48" s="208">
        <v>273</v>
      </c>
      <c r="F48" s="209">
        <v>22932</v>
      </c>
      <c r="G48" s="210">
        <v>115.5</v>
      </c>
      <c r="H48" s="9">
        <f t="shared" si="0"/>
        <v>27720</v>
      </c>
      <c r="I48" s="9">
        <v>0</v>
      </c>
      <c r="J48" s="9">
        <v>0</v>
      </c>
      <c r="K48" s="9">
        <v>0</v>
      </c>
      <c r="L48" s="206">
        <f t="shared" si="2"/>
        <v>4788</v>
      </c>
      <c r="M48" s="9"/>
    </row>
    <row r="49" spans="1:13" ht="30">
      <c r="A49" s="208">
        <v>34</v>
      </c>
      <c r="B49" s="11" t="s">
        <v>239</v>
      </c>
      <c r="C49" s="9" t="s">
        <v>240</v>
      </c>
      <c r="D49" s="11" t="s">
        <v>236</v>
      </c>
      <c r="E49" s="208">
        <v>252</v>
      </c>
      <c r="F49" s="209">
        <v>21168</v>
      </c>
      <c r="G49" s="210">
        <v>160.19999999999999</v>
      </c>
      <c r="H49" s="9">
        <f t="shared" si="0"/>
        <v>38448</v>
      </c>
      <c r="I49" s="9">
        <v>0</v>
      </c>
      <c r="J49" s="9">
        <v>0</v>
      </c>
      <c r="K49" s="9">
        <v>0</v>
      </c>
      <c r="L49" s="206">
        <f t="shared" si="2"/>
        <v>17280</v>
      </c>
      <c r="M49" s="9"/>
    </row>
    <row r="50" spans="1:13" ht="30">
      <c r="A50" s="207">
        <v>35</v>
      </c>
      <c r="B50" s="11" t="s">
        <v>241</v>
      </c>
      <c r="C50" s="9" t="s">
        <v>242</v>
      </c>
      <c r="D50" s="11" t="s">
        <v>236</v>
      </c>
      <c r="E50" s="208">
        <v>728</v>
      </c>
      <c r="F50" s="209">
        <v>61152</v>
      </c>
      <c r="G50" s="210">
        <v>90.3</v>
      </c>
      <c r="H50" s="9">
        <f t="shared" si="0"/>
        <v>21672</v>
      </c>
      <c r="I50" s="9">
        <f t="shared" si="1"/>
        <v>39480</v>
      </c>
      <c r="J50" s="9">
        <v>39480</v>
      </c>
      <c r="K50" s="9">
        <v>0</v>
      </c>
      <c r="L50" s="206">
        <v>0</v>
      </c>
      <c r="M50" s="11" t="s">
        <v>552</v>
      </c>
    </row>
    <row r="51" spans="1:13" ht="30">
      <c r="A51" s="207">
        <v>36</v>
      </c>
      <c r="B51" s="11" t="s">
        <v>243</v>
      </c>
      <c r="C51" s="9" t="s">
        <v>224</v>
      </c>
      <c r="D51" s="11" t="s">
        <v>236</v>
      </c>
      <c r="E51" s="208">
        <v>1638</v>
      </c>
      <c r="F51" s="209">
        <v>137592</v>
      </c>
      <c r="G51" s="210">
        <v>134.69999999999999</v>
      </c>
      <c r="H51" s="9">
        <f t="shared" si="0"/>
        <v>32327.999999999996</v>
      </c>
      <c r="I51" s="9">
        <f t="shared" si="1"/>
        <v>105264</v>
      </c>
      <c r="J51" s="9">
        <v>105264</v>
      </c>
      <c r="K51" s="9">
        <v>0</v>
      </c>
      <c r="L51" s="206">
        <v>0</v>
      </c>
      <c r="M51" s="11" t="s">
        <v>553</v>
      </c>
    </row>
    <row r="52" spans="1:13" ht="30">
      <c r="A52" s="207">
        <v>37</v>
      </c>
      <c r="B52" s="11" t="s">
        <v>244</v>
      </c>
      <c r="C52" s="9" t="s">
        <v>175</v>
      </c>
      <c r="D52" s="11" t="s">
        <v>236</v>
      </c>
      <c r="E52" s="208">
        <v>126</v>
      </c>
      <c r="F52" s="209">
        <v>10584</v>
      </c>
      <c r="G52" s="210">
        <v>88.2</v>
      </c>
      <c r="H52" s="9">
        <f t="shared" si="0"/>
        <v>21168</v>
      </c>
      <c r="I52" s="9">
        <v>0</v>
      </c>
      <c r="J52" s="9">
        <v>0</v>
      </c>
      <c r="K52" s="9">
        <v>0</v>
      </c>
      <c r="L52" s="206">
        <f t="shared" si="2"/>
        <v>10584</v>
      </c>
      <c r="M52" s="9"/>
    </row>
    <row r="53" spans="1:13">
      <c r="A53" s="213">
        <v>12</v>
      </c>
      <c r="B53" s="223" t="s">
        <v>236</v>
      </c>
      <c r="C53" s="224">
        <v>4711</v>
      </c>
      <c r="D53" s="216"/>
      <c r="E53" s="209">
        <f>SUM(E47:E52)</f>
        <v>4711</v>
      </c>
      <c r="F53" s="224">
        <v>148397</v>
      </c>
      <c r="G53" s="215">
        <f>SUM(G47:G52)</f>
        <v>1152.6000000000001</v>
      </c>
      <c r="H53" s="216">
        <f>G53*90</f>
        <v>103734.00000000001</v>
      </c>
      <c r="I53" s="9">
        <f t="shared" si="1"/>
        <v>44662.999999999985</v>
      </c>
      <c r="J53" s="9">
        <v>0</v>
      </c>
      <c r="K53" s="9">
        <v>44663</v>
      </c>
      <c r="L53" s="217">
        <v>0</v>
      </c>
      <c r="M53" s="9"/>
    </row>
    <row r="54" spans="1:13">
      <c r="A54" s="208">
        <v>38</v>
      </c>
      <c r="B54" s="11" t="s">
        <v>245</v>
      </c>
      <c r="C54" s="9" t="s">
        <v>246</v>
      </c>
      <c r="D54" s="11" t="s">
        <v>247</v>
      </c>
      <c r="E54" s="208">
        <v>217</v>
      </c>
      <c r="F54" s="209">
        <v>18228</v>
      </c>
      <c r="G54" s="210">
        <v>33.6</v>
      </c>
      <c r="H54" s="9">
        <f t="shared" si="0"/>
        <v>8064</v>
      </c>
      <c r="I54" s="9">
        <f t="shared" si="1"/>
        <v>10164</v>
      </c>
      <c r="J54" s="9">
        <v>10164</v>
      </c>
      <c r="K54" s="9">
        <v>0</v>
      </c>
      <c r="L54" s="206">
        <v>0</v>
      </c>
      <c r="M54" s="308" t="s">
        <v>554</v>
      </c>
    </row>
    <row r="55" spans="1:13" ht="45">
      <c r="A55" s="207">
        <v>39</v>
      </c>
      <c r="B55" s="11" t="s">
        <v>248</v>
      </c>
      <c r="C55" s="9" t="s">
        <v>249</v>
      </c>
      <c r="D55" s="11" t="s">
        <v>247</v>
      </c>
      <c r="E55" s="208">
        <v>203</v>
      </c>
      <c r="F55" s="209">
        <v>17052</v>
      </c>
      <c r="G55" s="210">
        <v>33</v>
      </c>
      <c r="H55" s="9">
        <f t="shared" si="0"/>
        <v>7920</v>
      </c>
      <c r="I55" s="9">
        <f t="shared" si="1"/>
        <v>9132</v>
      </c>
      <c r="J55" s="9">
        <v>9132</v>
      </c>
      <c r="K55" s="9">
        <v>0</v>
      </c>
      <c r="L55" s="206">
        <v>0</v>
      </c>
      <c r="M55" s="308"/>
    </row>
    <row r="56" spans="1:13">
      <c r="A56" s="213">
        <v>13</v>
      </c>
      <c r="B56" s="223" t="s">
        <v>247</v>
      </c>
      <c r="C56" s="224">
        <v>420</v>
      </c>
      <c r="D56" s="216"/>
      <c r="E56" s="209">
        <f>SUM(E54:E55)</f>
        <v>420</v>
      </c>
      <c r="F56" s="224">
        <v>13230</v>
      </c>
      <c r="G56" s="215">
        <f>SUM(G54:G55)</f>
        <v>66.599999999999994</v>
      </c>
      <c r="H56" s="216">
        <f>G56*90</f>
        <v>5993.9999999999991</v>
      </c>
      <c r="I56" s="9">
        <f t="shared" si="1"/>
        <v>7236.0000000000009</v>
      </c>
      <c r="J56" s="9">
        <v>7236</v>
      </c>
      <c r="K56" s="9">
        <v>0</v>
      </c>
      <c r="L56" s="217">
        <v>0</v>
      </c>
      <c r="M56" s="308"/>
    </row>
    <row r="57" spans="1:13" ht="60">
      <c r="A57" s="207">
        <v>40</v>
      </c>
      <c r="B57" s="11" t="s">
        <v>250</v>
      </c>
      <c r="C57" s="9" t="s">
        <v>240</v>
      </c>
      <c r="D57" s="11" t="s">
        <v>251</v>
      </c>
      <c r="E57" s="237">
        <v>1606</v>
      </c>
      <c r="F57" s="219">
        <v>134904</v>
      </c>
      <c r="G57" s="210">
        <f>115.2+172.8+91.8</f>
        <v>379.8</v>
      </c>
      <c r="H57" s="9">
        <f>G57*240</f>
        <v>91152</v>
      </c>
      <c r="I57" s="9">
        <f t="shared" si="1"/>
        <v>43752</v>
      </c>
      <c r="J57" s="9">
        <v>43752</v>
      </c>
      <c r="K57" s="9">
        <v>0</v>
      </c>
      <c r="L57" s="206">
        <v>0</v>
      </c>
      <c r="M57" s="11" t="s">
        <v>555</v>
      </c>
    </row>
    <row r="58" spans="1:13" ht="45">
      <c r="A58" s="207">
        <v>41</v>
      </c>
      <c r="B58" s="11" t="s">
        <v>253</v>
      </c>
      <c r="C58" s="9" t="s">
        <v>254</v>
      </c>
      <c r="D58" s="11" t="s">
        <v>251</v>
      </c>
      <c r="E58" s="208">
        <v>707</v>
      </c>
      <c r="F58" s="209">
        <v>59388</v>
      </c>
      <c r="G58" s="210">
        <v>136.80000000000001</v>
      </c>
      <c r="H58" s="9">
        <f t="shared" si="0"/>
        <v>32832</v>
      </c>
      <c r="I58" s="9">
        <f t="shared" si="1"/>
        <v>26556</v>
      </c>
      <c r="J58" s="9">
        <v>26556</v>
      </c>
      <c r="K58" s="9">
        <v>0</v>
      </c>
      <c r="L58" s="206"/>
      <c r="M58" s="11" t="s">
        <v>556</v>
      </c>
    </row>
    <row r="59" spans="1:13" ht="30">
      <c r="A59" s="208">
        <v>42</v>
      </c>
      <c r="B59" s="11" t="s">
        <v>255</v>
      </c>
      <c r="C59" s="9" t="s">
        <v>235</v>
      </c>
      <c r="D59" s="11" t="s">
        <v>251</v>
      </c>
      <c r="E59" s="237">
        <v>1575</v>
      </c>
      <c r="F59" s="219">
        <v>132300</v>
      </c>
      <c r="G59" s="210">
        <v>207.89999999999998</v>
      </c>
      <c r="H59" s="9">
        <f t="shared" si="0"/>
        <v>49895.999999999993</v>
      </c>
      <c r="I59" s="9">
        <f>F59-H59</f>
        <v>82404</v>
      </c>
      <c r="J59" s="9">
        <v>82404</v>
      </c>
      <c r="K59" s="9">
        <v>0</v>
      </c>
      <c r="L59" s="206">
        <v>0</v>
      </c>
      <c r="M59" s="11" t="s">
        <v>557</v>
      </c>
    </row>
    <row r="60" spans="1:13" ht="45">
      <c r="A60" s="207">
        <v>43</v>
      </c>
      <c r="B60" s="11" t="s">
        <v>256</v>
      </c>
      <c r="C60" s="9" t="s">
        <v>228</v>
      </c>
      <c r="D60" s="11" t="s">
        <v>251</v>
      </c>
      <c r="E60" s="237">
        <v>1211</v>
      </c>
      <c r="F60" s="219">
        <v>101724</v>
      </c>
      <c r="G60" s="210">
        <v>383.4</v>
      </c>
      <c r="H60" s="9">
        <f t="shared" si="0"/>
        <v>92016</v>
      </c>
      <c r="I60" s="9">
        <f t="shared" si="1"/>
        <v>9708</v>
      </c>
      <c r="J60" s="9">
        <v>9708</v>
      </c>
      <c r="K60" s="9">
        <v>0</v>
      </c>
      <c r="L60" s="206">
        <v>0</v>
      </c>
      <c r="M60" s="11" t="s">
        <v>558</v>
      </c>
    </row>
    <row r="61" spans="1:13" ht="30">
      <c r="A61" s="213">
        <v>14</v>
      </c>
      <c r="B61" s="223" t="s">
        <v>251</v>
      </c>
      <c r="C61" s="221">
        <v>5099</v>
      </c>
      <c r="D61" s="216"/>
      <c r="E61" s="238">
        <f>SUM(E57:E60)</f>
        <v>5099</v>
      </c>
      <c r="F61" s="221">
        <v>160617</v>
      </c>
      <c r="G61" s="215">
        <f>SUM(G57:G60)</f>
        <v>1107.9000000000001</v>
      </c>
      <c r="H61" s="216">
        <f>G61*90</f>
        <v>99711.000000000015</v>
      </c>
      <c r="I61" s="9">
        <f t="shared" si="1"/>
        <v>60905.999999999985</v>
      </c>
      <c r="J61" s="9">
        <v>60906</v>
      </c>
      <c r="K61" s="9">
        <v>0</v>
      </c>
      <c r="L61" s="217">
        <v>0</v>
      </c>
      <c r="M61" s="11" t="s">
        <v>559</v>
      </c>
    </row>
    <row r="62" spans="1:13" ht="45">
      <c r="A62" s="207">
        <v>44</v>
      </c>
      <c r="B62" s="11" t="s">
        <v>257</v>
      </c>
      <c r="C62" s="9" t="s">
        <v>164</v>
      </c>
      <c r="D62" s="11" t="s">
        <v>258</v>
      </c>
      <c r="E62" s="237">
        <v>672</v>
      </c>
      <c r="F62" s="219">
        <v>56448</v>
      </c>
      <c r="G62" s="210">
        <v>46.5</v>
      </c>
      <c r="H62" s="9">
        <f t="shared" si="0"/>
        <v>11160</v>
      </c>
      <c r="I62" s="9">
        <f>F62-H62</f>
        <v>45288</v>
      </c>
      <c r="J62" s="9">
        <v>45144</v>
      </c>
      <c r="K62" s="9">
        <v>144</v>
      </c>
      <c r="L62" s="206">
        <v>0</v>
      </c>
      <c r="M62" s="11" t="s">
        <v>560</v>
      </c>
    </row>
    <row r="63" spans="1:13" ht="45">
      <c r="A63" s="207">
        <v>45</v>
      </c>
      <c r="B63" s="11" t="s">
        <v>259</v>
      </c>
      <c r="C63" s="9" t="s">
        <v>260</v>
      </c>
      <c r="D63" s="11" t="s">
        <v>258</v>
      </c>
      <c r="E63" s="237">
        <v>350</v>
      </c>
      <c r="F63" s="219">
        <v>29400</v>
      </c>
      <c r="G63" s="210">
        <v>41.4</v>
      </c>
      <c r="H63" s="9">
        <f t="shared" si="0"/>
        <v>9936</v>
      </c>
      <c r="I63" s="9">
        <f>F63-H63</f>
        <v>19464</v>
      </c>
      <c r="J63" s="9">
        <v>19320</v>
      </c>
      <c r="K63" s="9">
        <v>144</v>
      </c>
      <c r="L63" s="206">
        <v>0</v>
      </c>
      <c r="M63" s="11" t="s">
        <v>561</v>
      </c>
    </row>
    <row r="64" spans="1:13" ht="45">
      <c r="A64" s="208">
        <v>46</v>
      </c>
      <c r="B64" s="11" t="s">
        <v>261</v>
      </c>
      <c r="C64" s="9" t="s">
        <v>262</v>
      </c>
      <c r="D64" s="11" t="s">
        <v>258</v>
      </c>
      <c r="E64" s="237">
        <v>126</v>
      </c>
      <c r="F64" s="219">
        <v>10584</v>
      </c>
      <c r="G64" s="210">
        <v>44.1</v>
      </c>
      <c r="H64" s="9">
        <f t="shared" si="0"/>
        <v>10584</v>
      </c>
      <c r="I64" s="9">
        <f t="shared" si="1"/>
        <v>0</v>
      </c>
      <c r="J64" s="9">
        <v>0</v>
      </c>
      <c r="K64" s="9">
        <v>0</v>
      </c>
      <c r="L64" s="206">
        <f t="shared" si="2"/>
        <v>0</v>
      </c>
      <c r="M64" s="9"/>
    </row>
    <row r="65" spans="1:13" ht="36.75">
      <c r="A65" s="207">
        <v>47</v>
      </c>
      <c r="B65" s="239" t="s">
        <v>562</v>
      </c>
      <c r="C65" s="240" t="s">
        <v>164</v>
      </c>
      <c r="D65" s="80" t="s">
        <v>258</v>
      </c>
      <c r="E65" s="237">
        <v>224</v>
      </c>
      <c r="F65" s="219">
        <v>18816</v>
      </c>
      <c r="G65" s="210">
        <v>0</v>
      </c>
      <c r="H65" s="9">
        <f t="shared" si="0"/>
        <v>0</v>
      </c>
      <c r="I65" s="9">
        <f t="shared" si="1"/>
        <v>18816</v>
      </c>
      <c r="J65" s="9">
        <v>18816</v>
      </c>
      <c r="K65" s="9">
        <v>0</v>
      </c>
      <c r="L65" s="206">
        <v>0</v>
      </c>
      <c r="M65" s="11" t="s">
        <v>563</v>
      </c>
    </row>
    <row r="66" spans="1:13" ht="45">
      <c r="A66" s="213">
        <v>15</v>
      </c>
      <c r="B66" s="223" t="s">
        <v>258</v>
      </c>
      <c r="C66" s="221"/>
      <c r="D66" s="216"/>
      <c r="E66" s="238">
        <f>SUM(E62:E65)</f>
        <v>1372</v>
      </c>
      <c r="F66" s="221">
        <v>43218</v>
      </c>
      <c r="G66" s="215">
        <f>SUM(G62:G65)</f>
        <v>132</v>
      </c>
      <c r="H66" s="216">
        <f>G66*90</f>
        <v>11880</v>
      </c>
      <c r="I66" s="9">
        <f>F66-H66</f>
        <v>31338</v>
      </c>
      <c r="J66" s="9">
        <f>20896+10307</f>
        <v>31203</v>
      </c>
      <c r="K66" s="9">
        <v>0</v>
      </c>
      <c r="L66" s="217">
        <v>0</v>
      </c>
      <c r="M66" s="241" t="s">
        <v>564</v>
      </c>
    </row>
    <row r="67" spans="1:13" ht="30">
      <c r="A67" s="207">
        <v>48</v>
      </c>
      <c r="B67" s="11" t="s">
        <v>263</v>
      </c>
      <c r="C67" s="9" t="s">
        <v>264</v>
      </c>
      <c r="D67" s="11" t="s">
        <v>265</v>
      </c>
      <c r="E67" s="208">
        <v>476</v>
      </c>
      <c r="F67" s="209">
        <v>39984</v>
      </c>
      <c r="G67" s="210">
        <v>118.8</v>
      </c>
      <c r="H67" s="9">
        <f t="shared" si="0"/>
        <v>28512</v>
      </c>
      <c r="I67" s="9">
        <f t="shared" si="1"/>
        <v>11472</v>
      </c>
      <c r="J67" s="9">
        <v>11472</v>
      </c>
      <c r="K67" s="9">
        <v>0</v>
      </c>
      <c r="L67" s="206">
        <v>0</v>
      </c>
      <c r="M67" s="308" t="s">
        <v>565</v>
      </c>
    </row>
    <row r="68" spans="1:13">
      <c r="A68" s="207">
        <v>49</v>
      </c>
      <c r="B68" s="11" t="s">
        <v>266</v>
      </c>
      <c r="C68" s="9" t="s">
        <v>208</v>
      </c>
      <c r="D68" s="11" t="s">
        <v>265</v>
      </c>
      <c r="E68" s="208">
        <v>560</v>
      </c>
      <c r="F68" s="209">
        <v>47040</v>
      </c>
      <c r="G68" s="210">
        <v>28.8</v>
      </c>
      <c r="H68" s="9">
        <f t="shared" si="0"/>
        <v>6912</v>
      </c>
      <c r="I68" s="9">
        <f t="shared" si="1"/>
        <v>40128</v>
      </c>
      <c r="J68" s="9">
        <v>40128</v>
      </c>
      <c r="K68" s="9">
        <v>0</v>
      </c>
      <c r="L68" s="206">
        <v>0</v>
      </c>
      <c r="M68" s="308"/>
    </row>
    <row r="69" spans="1:13">
      <c r="A69" s="209">
        <v>16</v>
      </c>
      <c r="B69" s="223" t="s">
        <v>265</v>
      </c>
      <c r="C69" s="224"/>
      <c r="D69" s="216"/>
      <c r="E69" s="209">
        <f>SUM(E67:E68)</f>
        <v>1036</v>
      </c>
      <c r="F69" s="224">
        <v>32634</v>
      </c>
      <c r="G69" s="215">
        <f>SUM(G67:G68)</f>
        <v>147.6</v>
      </c>
      <c r="H69" s="216">
        <f>G69*90</f>
        <v>13284</v>
      </c>
      <c r="I69" s="9">
        <f t="shared" si="1"/>
        <v>19350</v>
      </c>
      <c r="J69" s="9">
        <v>19350</v>
      </c>
      <c r="K69" s="9">
        <v>0</v>
      </c>
      <c r="L69" s="217">
        <v>0</v>
      </c>
      <c r="M69" s="308"/>
    </row>
    <row r="70" spans="1:13" ht="30">
      <c r="A70" s="207">
        <v>50</v>
      </c>
      <c r="B70" s="11" t="s">
        <v>424</v>
      </c>
      <c r="C70" s="9" t="s">
        <v>425</v>
      </c>
      <c r="D70" s="11" t="s">
        <v>426</v>
      </c>
      <c r="E70" s="208">
        <v>456</v>
      </c>
      <c r="F70" s="209">
        <v>38304</v>
      </c>
      <c r="G70" s="210">
        <v>456</v>
      </c>
      <c r="H70" s="9">
        <f t="shared" ref="H70:H76" si="3">G70*240</f>
        <v>109440</v>
      </c>
      <c r="I70" s="9">
        <v>0</v>
      </c>
      <c r="J70" s="9">
        <v>0</v>
      </c>
      <c r="K70" s="9">
        <v>0</v>
      </c>
      <c r="L70" s="206">
        <f t="shared" ref="L70:L72" si="4">H70-F70</f>
        <v>71136</v>
      </c>
      <c r="M70" s="9"/>
    </row>
    <row r="71" spans="1:13" ht="30">
      <c r="A71" s="207">
        <v>51</v>
      </c>
      <c r="B71" s="223" t="s">
        <v>424</v>
      </c>
      <c r="C71" s="9" t="s">
        <v>425</v>
      </c>
      <c r="D71" s="11" t="s">
        <v>426</v>
      </c>
      <c r="E71" s="209">
        <v>456</v>
      </c>
      <c r="F71" s="224">
        <v>14364</v>
      </c>
      <c r="G71" s="215">
        <v>456</v>
      </c>
      <c r="H71" s="216">
        <f>G71*90</f>
        <v>41040</v>
      </c>
      <c r="I71" s="9">
        <v>0</v>
      </c>
      <c r="J71" s="9">
        <v>0</v>
      </c>
      <c r="K71" s="9">
        <v>0</v>
      </c>
      <c r="L71" s="217">
        <f>H71-F71</f>
        <v>26676</v>
      </c>
      <c r="M71" s="9"/>
    </row>
    <row r="72" spans="1:13" ht="30">
      <c r="A72" s="207">
        <v>52</v>
      </c>
      <c r="B72" s="11" t="s">
        <v>176</v>
      </c>
      <c r="C72" s="9" t="s">
        <v>177</v>
      </c>
      <c r="D72" s="11" t="s">
        <v>566</v>
      </c>
      <c r="E72" s="208">
        <v>500</v>
      </c>
      <c r="F72" s="209">
        <v>42000</v>
      </c>
      <c r="G72" s="210">
        <v>290.10000000000002</v>
      </c>
      <c r="H72" s="9">
        <f t="shared" si="3"/>
        <v>69624</v>
      </c>
      <c r="I72" s="9">
        <v>0</v>
      </c>
      <c r="J72" s="9">
        <v>0</v>
      </c>
      <c r="K72" s="9">
        <v>0</v>
      </c>
      <c r="L72" s="206">
        <f t="shared" si="4"/>
        <v>27624</v>
      </c>
      <c r="M72" s="9"/>
    </row>
    <row r="73" spans="1:13">
      <c r="A73" s="213">
        <v>18</v>
      </c>
      <c r="B73" s="236" t="s">
        <v>567</v>
      </c>
      <c r="C73" s="216" t="s">
        <v>177</v>
      </c>
      <c r="D73" s="39" t="s">
        <v>566</v>
      </c>
      <c r="E73" s="209">
        <v>815</v>
      </c>
      <c r="F73" s="224">
        <v>25673</v>
      </c>
      <c r="G73" s="215">
        <v>290.10000000000002</v>
      </c>
      <c r="H73" s="216">
        <f>G73*90</f>
        <v>26109.000000000004</v>
      </c>
      <c r="I73" s="9">
        <v>0</v>
      </c>
      <c r="J73" s="9">
        <v>0</v>
      </c>
      <c r="K73" s="9">
        <v>0</v>
      </c>
      <c r="L73" s="217">
        <f>H73-F73</f>
        <v>436.00000000000364</v>
      </c>
      <c r="M73" s="9"/>
    </row>
    <row r="74" spans="1:13" ht="45">
      <c r="A74" s="208">
        <v>53</v>
      </c>
      <c r="B74" s="11" t="s">
        <v>193</v>
      </c>
      <c r="C74" s="9" t="s">
        <v>194</v>
      </c>
      <c r="D74" s="11" t="s">
        <v>195</v>
      </c>
      <c r="E74" s="208">
        <v>518</v>
      </c>
      <c r="F74" s="209">
        <v>43512</v>
      </c>
      <c r="G74" s="210">
        <v>31.8</v>
      </c>
      <c r="H74" s="9">
        <f t="shared" si="3"/>
        <v>7632</v>
      </c>
      <c r="I74" s="9">
        <f t="shared" ref="I74:I77" si="5">F74-H74</f>
        <v>35880</v>
      </c>
      <c r="J74" s="9">
        <v>35880</v>
      </c>
      <c r="K74" s="9">
        <v>0</v>
      </c>
      <c r="L74" s="206">
        <v>0</v>
      </c>
      <c r="M74" s="308" t="s">
        <v>568</v>
      </c>
    </row>
    <row r="75" spans="1:13">
      <c r="A75" s="213">
        <v>19</v>
      </c>
      <c r="B75" s="223" t="s">
        <v>195</v>
      </c>
      <c r="C75" s="216" t="s">
        <v>194</v>
      </c>
      <c r="D75" s="39" t="s">
        <v>195</v>
      </c>
      <c r="E75" s="224">
        <v>518</v>
      </c>
      <c r="F75" s="224">
        <v>16317</v>
      </c>
      <c r="G75" s="215">
        <v>31.8</v>
      </c>
      <c r="H75" s="216">
        <f>G75*90</f>
        <v>2862</v>
      </c>
      <c r="I75" s="9">
        <f t="shared" si="5"/>
        <v>13455</v>
      </c>
      <c r="J75" s="9">
        <v>13455</v>
      </c>
      <c r="K75" s="9">
        <v>0</v>
      </c>
      <c r="L75" s="217">
        <v>0</v>
      </c>
      <c r="M75" s="308"/>
    </row>
    <row r="76" spans="1:13" ht="30">
      <c r="A76" s="207">
        <v>54</v>
      </c>
      <c r="B76" s="239" t="s">
        <v>569</v>
      </c>
      <c r="C76" s="242" t="s">
        <v>570</v>
      </c>
      <c r="D76" s="80" t="s">
        <v>571</v>
      </c>
      <c r="E76" s="208">
        <v>2298</v>
      </c>
      <c r="F76" s="209">
        <v>193032</v>
      </c>
      <c r="G76" s="210">
        <v>600.29999999999995</v>
      </c>
      <c r="H76" s="9">
        <f t="shared" si="3"/>
        <v>144072</v>
      </c>
      <c r="I76" s="9">
        <f t="shared" si="5"/>
        <v>48960</v>
      </c>
      <c r="J76" s="9">
        <v>48960</v>
      </c>
      <c r="K76" s="9">
        <v>0</v>
      </c>
      <c r="L76" s="206">
        <v>0</v>
      </c>
      <c r="M76" s="11" t="s">
        <v>572</v>
      </c>
    </row>
    <row r="77" spans="1:13">
      <c r="A77" s="213">
        <v>20</v>
      </c>
      <c r="B77" s="223" t="s">
        <v>573</v>
      </c>
      <c r="C77" s="243" t="s">
        <v>570</v>
      </c>
      <c r="D77" s="74" t="s">
        <v>571</v>
      </c>
      <c r="E77" s="209">
        <v>2298</v>
      </c>
      <c r="F77" s="224">
        <v>72387</v>
      </c>
      <c r="G77" s="215">
        <v>600.29999999999995</v>
      </c>
      <c r="H77" s="216">
        <f>G77*90</f>
        <v>54026.999999999993</v>
      </c>
      <c r="I77" s="9">
        <f t="shared" si="5"/>
        <v>18360.000000000007</v>
      </c>
      <c r="J77" s="9">
        <v>0</v>
      </c>
      <c r="K77" s="9">
        <v>18360</v>
      </c>
      <c r="L77" s="217">
        <v>0</v>
      </c>
      <c r="M77" s="9"/>
    </row>
    <row r="78" spans="1:13">
      <c r="A78" s="213">
        <v>21</v>
      </c>
      <c r="B78" s="244" t="s">
        <v>574</v>
      </c>
      <c r="C78" s="215">
        <v>47102</v>
      </c>
      <c r="D78" s="245" t="s">
        <v>427</v>
      </c>
      <c r="E78" s="245">
        <f>E77+E75+E73+E71+E69+E66+E61+E56+E53+E46+E42+E38+E34+E31+E27+E20+E16+E14+E12+E44</f>
        <v>47102</v>
      </c>
      <c r="F78" s="246">
        <v>332878</v>
      </c>
      <c r="G78" s="245">
        <f>G77+G75+G73+G71+G69+G66+G61+G56+G53+G46+G42+G38+G34+G31+G27+G20+G16+G14+G12+G44</f>
        <v>10717.8</v>
      </c>
      <c r="H78" s="245">
        <f>G78*20</f>
        <v>214356</v>
      </c>
      <c r="I78" s="78">
        <f>F78-H78</f>
        <v>118522</v>
      </c>
      <c r="J78" s="78">
        <v>0</v>
      </c>
      <c r="K78" s="78">
        <v>118522</v>
      </c>
      <c r="L78" s="247">
        <v>0</v>
      </c>
      <c r="M78" s="9"/>
    </row>
    <row r="79" spans="1:13">
      <c r="B79" s="248" t="s">
        <v>575</v>
      </c>
      <c r="C79" s="248"/>
      <c r="D79" s="248"/>
      <c r="E79" s="248"/>
      <c r="F79" s="248">
        <f>SUM(F5:F78)</f>
        <v>5746701</v>
      </c>
      <c r="G79" s="248"/>
      <c r="H79" s="248">
        <f>SUM(H5:H78)</f>
        <v>3751230</v>
      </c>
      <c r="I79" s="248">
        <f t="shared" ref="I79:L79" si="6">SUM(I5:I78)</f>
        <v>2256412</v>
      </c>
      <c r="J79" s="248">
        <f t="shared" si="6"/>
        <v>1989506</v>
      </c>
      <c r="K79" s="248">
        <f t="shared" si="6"/>
        <v>264792</v>
      </c>
      <c r="L79" s="248">
        <f t="shared" si="6"/>
        <v>260941</v>
      </c>
      <c r="M79" s="9"/>
    </row>
  </sheetData>
  <mergeCells count="11">
    <mergeCell ref="M32:M34"/>
    <mergeCell ref="A1:M1"/>
    <mergeCell ref="B2:F2"/>
    <mergeCell ref="H2:L2"/>
    <mergeCell ref="M2:M3"/>
    <mergeCell ref="M13:M14"/>
    <mergeCell ref="M35:M38"/>
    <mergeCell ref="M45:M46"/>
    <mergeCell ref="M54:M56"/>
    <mergeCell ref="M67:M69"/>
    <mergeCell ref="M74:M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sqref="A1:L25"/>
    </sheetView>
  </sheetViews>
  <sheetFormatPr defaultRowHeight="15"/>
  <cols>
    <col min="2" max="2" width="16" customWidth="1"/>
    <col min="11" max="11" width="22.875" customWidth="1"/>
  </cols>
  <sheetData>
    <row r="1" spans="1:12" ht="18.75">
      <c r="A1" s="251" t="s">
        <v>89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</row>
    <row r="2" spans="1:12" ht="18.75">
      <c r="A2" s="251" t="s">
        <v>90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</row>
    <row r="3" spans="1:12" ht="17.25">
      <c r="A3" s="252" t="s">
        <v>91</v>
      </c>
      <c r="B3" s="252"/>
      <c r="C3" s="252"/>
      <c r="D3" s="252"/>
      <c r="E3" s="252"/>
      <c r="F3" s="252"/>
      <c r="G3" s="253" t="s">
        <v>1</v>
      </c>
      <c r="H3" s="253"/>
      <c r="I3" s="43"/>
      <c r="J3" s="253" t="s">
        <v>92</v>
      </c>
      <c r="K3" s="253"/>
      <c r="L3" s="253"/>
    </row>
    <row r="4" spans="1:12" ht="51.75">
      <c r="A4" s="44" t="s">
        <v>93</v>
      </c>
      <c r="B4" s="44" t="s">
        <v>94</v>
      </c>
      <c r="C4" s="44" t="s">
        <v>95</v>
      </c>
      <c r="D4" s="44" t="s">
        <v>96</v>
      </c>
      <c r="E4" s="44" t="s">
        <v>97</v>
      </c>
      <c r="F4" s="45" t="s">
        <v>98</v>
      </c>
      <c r="G4" s="45" t="s">
        <v>99</v>
      </c>
      <c r="H4" s="45" t="s">
        <v>100</v>
      </c>
      <c r="I4" s="45" t="s">
        <v>10</v>
      </c>
      <c r="J4" s="45" t="s">
        <v>32</v>
      </c>
      <c r="K4" s="45" t="s">
        <v>35</v>
      </c>
      <c r="L4" s="45" t="s">
        <v>101</v>
      </c>
    </row>
    <row r="5" spans="1:12" ht="17.25">
      <c r="A5" s="44">
        <v>1</v>
      </c>
      <c r="B5" s="44" t="s">
        <v>102</v>
      </c>
      <c r="C5" s="44"/>
      <c r="D5" s="44"/>
      <c r="E5" s="44"/>
      <c r="F5" s="46"/>
      <c r="G5" s="44"/>
      <c r="H5" s="46"/>
      <c r="I5" s="47"/>
      <c r="J5" s="44"/>
      <c r="K5" s="48" t="s">
        <v>78</v>
      </c>
      <c r="L5" s="44"/>
    </row>
    <row r="6" spans="1:12" ht="17.25">
      <c r="A6" s="44">
        <v>2</v>
      </c>
      <c r="B6" s="44" t="s">
        <v>102</v>
      </c>
      <c r="C6" s="44"/>
      <c r="D6" s="44"/>
      <c r="E6" s="44"/>
      <c r="F6" s="46"/>
      <c r="G6" s="44"/>
      <c r="H6" s="46"/>
      <c r="I6" s="47"/>
      <c r="J6" s="44"/>
      <c r="K6" s="48" t="s">
        <v>78</v>
      </c>
      <c r="L6" s="44"/>
    </row>
    <row r="7" spans="1:12" ht="17.25">
      <c r="A7" s="44">
        <v>3</v>
      </c>
      <c r="B7" s="44" t="s">
        <v>102</v>
      </c>
      <c r="C7" s="44"/>
      <c r="D7" s="44"/>
      <c r="E7" s="44"/>
      <c r="F7" s="46"/>
      <c r="G7" s="44"/>
      <c r="H7" s="44"/>
      <c r="I7" s="47"/>
      <c r="J7" s="44"/>
      <c r="K7" s="48" t="s">
        <v>78</v>
      </c>
      <c r="L7" s="46"/>
    </row>
    <row r="8" spans="1:12" ht="17.25">
      <c r="A8" s="44">
        <v>4</v>
      </c>
      <c r="B8" s="44" t="s">
        <v>102</v>
      </c>
      <c r="C8" s="44"/>
      <c r="D8" s="44"/>
      <c r="E8" s="44"/>
      <c r="F8" s="47"/>
      <c r="G8" s="44"/>
      <c r="H8" s="49"/>
      <c r="I8" s="47"/>
      <c r="J8" s="44"/>
      <c r="K8" s="48" t="s">
        <v>78</v>
      </c>
      <c r="L8" s="46"/>
    </row>
    <row r="9" spans="1:12" ht="17.25">
      <c r="A9" s="44">
        <v>5</v>
      </c>
      <c r="B9" s="44" t="s">
        <v>102</v>
      </c>
      <c r="C9" s="44"/>
      <c r="D9" s="44"/>
      <c r="E9" s="44"/>
      <c r="F9" s="46"/>
      <c r="G9" s="44"/>
      <c r="H9" s="46"/>
      <c r="I9" s="47"/>
      <c r="J9" s="44"/>
      <c r="K9" s="48" t="s">
        <v>78</v>
      </c>
      <c r="L9" s="46"/>
    </row>
    <row r="10" spans="1:12" ht="17.25">
      <c r="A10" s="44">
        <v>6</v>
      </c>
      <c r="B10" s="44" t="s">
        <v>102</v>
      </c>
      <c r="C10" s="44"/>
      <c r="D10" s="44"/>
      <c r="E10" s="44"/>
      <c r="F10" s="46"/>
      <c r="G10" s="44"/>
      <c r="H10" s="46"/>
      <c r="I10" s="47"/>
      <c r="J10" s="44"/>
      <c r="K10" s="48" t="s">
        <v>78</v>
      </c>
      <c r="L10" s="46"/>
    </row>
    <row r="11" spans="1:12" ht="17.25">
      <c r="A11" s="44">
        <v>7</v>
      </c>
      <c r="B11" s="44" t="s">
        <v>102</v>
      </c>
      <c r="C11" s="44"/>
      <c r="D11" s="44"/>
      <c r="E11" s="44"/>
      <c r="F11" s="46"/>
      <c r="G11" s="44"/>
      <c r="H11" s="44"/>
      <c r="I11" s="47"/>
      <c r="J11" s="44"/>
      <c r="K11" s="48" t="s">
        <v>78</v>
      </c>
      <c r="L11" s="46"/>
    </row>
    <row r="12" spans="1:12" ht="17.25">
      <c r="A12" s="44">
        <v>8</v>
      </c>
      <c r="B12" s="44" t="s">
        <v>102</v>
      </c>
      <c r="C12" s="44"/>
      <c r="D12" s="44"/>
      <c r="E12" s="44"/>
      <c r="F12" s="46"/>
      <c r="G12" s="44"/>
      <c r="H12" s="46"/>
      <c r="I12" s="47"/>
      <c r="J12" s="44"/>
      <c r="K12" s="48" t="s">
        <v>78</v>
      </c>
      <c r="L12" s="46"/>
    </row>
    <row r="13" spans="1:12" ht="17.25">
      <c r="A13" s="44">
        <v>9</v>
      </c>
      <c r="B13" s="44" t="s">
        <v>102</v>
      </c>
      <c r="C13" s="44"/>
      <c r="D13" s="44"/>
      <c r="E13" s="44"/>
      <c r="F13" s="46"/>
      <c r="G13" s="44"/>
      <c r="H13" s="46"/>
      <c r="I13" s="47"/>
      <c r="J13" s="44"/>
      <c r="K13" s="48" t="s">
        <v>78</v>
      </c>
      <c r="L13" s="46"/>
    </row>
    <row r="14" spans="1:12" ht="17.25">
      <c r="A14" s="44">
        <v>10</v>
      </c>
      <c r="B14" s="44" t="s">
        <v>102</v>
      </c>
      <c r="C14" s="44"/>
      <c r="D14" s="44"/>
      <c r="E14" s="44"/>
      <c r="F14" s="46"/>
      <c r="G14" s="44"/>
      <c r="H14" s="46"/>
      <c r="I14" s="47"/>
      <c r="J14" s="44"/>
      <c r="K14" s="48" t="s">
        <v>78</v>
      </c>
      <c r="L14" s="46"/>
    </row>
    <row r="15" spans="1:12" ht="17.25">
      <c r="A15" s="44">
        <v>11</v>
      </c>
      <c r="B15" s="44" t="s">
        <v>102</v>
      </c>
      <c r="C15" s="44"/>
      <c r="D15" s="44"/>
      <c r="E15" s="44"/>
      <c r="F15" s="46"/>
      <c r="G15" s="44"/>
      <c r="H15" s="46"/>
      <c r="I15" s="47"/>
      <c r="J15" s="44"/>
      <c r="K15" s="48" t="s">
        <v>78</v>
      </c>
      <c r="L15" s="46"/>
    </row>
    <row r="16" spans="1:12" ht="17.25">
      <c r="A16" s="44">
        <v>12</v>
      </c>
      <c r="B16" s="44" t="s">
        <v>102</v>
      </c>
      <c r="C16" s="44"/>
      <c r="D16" s="44"/>
      <c r="E16" s="44"/>
      <c r="F16" s="46"/>
      <c r="G16" s="44"/>
      <c r="H16" s="46"/>
      <c r="I16" s="47"/>
      <c r="J16" s="44"/>
      <c r="K16" s="48" t="s">
        <v>78</v>
      </c>
      <c r="L16" s="46"/>
    </row>
    <row r="17" spans="1:12" ht="17.25">
      <c r="A17" s="44">
        <v>13</v>
      </c>
      <c r="B17" s="44" t="s">
        <v>102</v>
      </c>
      <c r="C17" s="44"/>
      <c r="D17" s="44"/>
      <c r="E17" s="44"/>
      <c r="F17" s="46"/>
      <c r="G17" s="44"/>
      <c r="H17" s="46"/>
      <c r="I17" s="47"/>
      <c r="J17" s="44"/>
      <c r="K17" s="48" t="s">
        <v>78</v>
      </c>
      <c r="L17" s="46"/>
    </row>
    <row r="18" spans="1:12" ht="17.25">
      <c r="A18" s="44">
        <v>14</v>
      </c>
      <c r="B18" s="44" t="s">
        <v>102</v>
      </c>
      <c r="C18" s="44"/>
      <c r="D18" s="44"/>
      <c r="E18" s="44"/>
      <c r="F18" s="46"/>
      <c r="G18" s="44"/>
      <c r="H18" s="50"/>
      <c r="I18" s="47"/>
      <c r="J18" s="44"/>
      <c r="K18" s="48" t="s">
        <v>78</v>
      </c>
      <c r="L18" s="46"/>
    </row>
    <row r="19" spans="1:12" ht="17.25">
      <c r="A19" s="44">
        <v>15</v>
      </c>
      <c r="B19" s="44" t="s">
        <v>102</v>
      </c>
      <c r="C19" s="44"/>
      <c r="D19" s="44"/>
      <c r="E19" s="44"/>
      <c r="F19" s="46"/>
      <c r="G19" s="44"/>
      <c r="H19" s="46"/>
      <c r="I19" s="47"/>
      <c r="J19" s="44"/>
      <c r="K19" s="48" t="s">
        <v>78</v>
      </c>
      <c r="L19" s="46"/>
    </row>
    <row r="20" spans="1:12" ht="17.25">
      <c r="A20" s="44">
        <v>16</v>
      </c>
      <c r="B20" s="44" t="s">
        <v>102</v>
      </c>
      <c r="C20" s="44"/>
      <c r="D20" s="44"/>
      <c r="E20" s="44"/>
      <c r="F20" s="46"/>
      <c r="G20" s="44"/>
      <c r="H20" s="46"/>
      <c r="I20" s="47"/>
      <c r="J20" s="44"/>
      <c r="K20" s="48" t="s">
        <v>78</v>
      </c>
      <c r="L20" s="46"/>
    </row>
    <row r="21" spans="1:12" ht="17.25">
      <c r="A21" s="44">
        <v>17</v>
      </c>
      <c r="B21" s="44" t="s">
        <v>102</v>
      </c>
      <c r="C21" s="44"/>
      <c r="D21" s="44"/>
      <c r="E21" s="44"/>
      <c r="F21" s="46"/>
      <c r="G21" s="44"/>
      <c r="H21" s="46"/>
      <c r="I21" s="47"/>
      <c r="J21" s="44"/>
      <c r="K21" s="48" t="s">
        <v>78</v>
      </c>
      <c r="L21" s="46"/>
    </row>
    <row r="22" spans="1:12" ht="17.25">
      <c r="A22" s="44">
        <v>18</v>
      </c>
      <c r="B22" s="44" t="s">
        <v>102</v>
      </c>
      <c r="C22" s="44"/>
      <c r="D22" s="44"/>
      <c r="E22" s="44"/>
      <c r="F22" s="46"/>
      <c r="G22" s="44"/>
      <c r="H22" s="46"/>
      <c r="I22" s="47"/>
      <c r="J22" s="44"/>
      <c r="K22" s="48" t="s">
        <v>78</v>
      </c>
      <c r="L22" s="46"/>
    </row>
    <row r="23" spans="1:12" ht="17.25">
      <c r="A23" s="44">
        <v>19</v>
      </c>
      <c r="B23" s="44" t="s">
        <v>102</v>
      </c>
      <c r="C23" s="44"/>
      <c r="D23" s="44"/>
      <c r="E23" s="44"/>
      <c r="F23" s="46"/>
      <c r="G23" s="44"/>
      <c r="H23" s="46"/>
      <c r="I23" s="47"/>
      <c r="J23" s="44"/>
      <c r="K23" s="48" t="s">
        <v>78</v>
      </c>
      <c r="L23" s="46"/>
    </row>
    <row r="24" spans="1:12" ht="17.25">
      <c r="A24" s="44">
        <v>20</v>
      </c>
      <c r="B24" s="44" t="s">
        <v>102</v>
      </c>
      <c r="C24" s="44"/>
      <c r="D24" s="44"/>
      <c r="E24" s="44"/>
      <c r="F24" s="46"/>
      <c r="G24" s="44"/>
      <c r="H24" s="46"/>
      <c r="I24" s="47"/>
      <c r="J24" s="44"/>
      <c r="K24" s="48" t="s">
        <v>78</v>
      </c>
      <c r="L24" s="46"/>
    </row>
    <row r="25" spans="1:12" ht="17.25">
      <c r="A25" s="254" t="s">
        <v>103</v>
      </c>
      <c r="B25" s="254"/>
      <c r="C25" s="254"/>
      <c r="D25" s="254"/>
      <c r="E25" s="254"/>
      <c r="F25" s="254"/>
      <c r="G25" s="43"/>
      <c r="H25" s="44"/>
      <c r="I25" s="44"/>
      <c r="J25" s="44"/>
      <c r="K25" s="44"/>
      <c r="L25" s="44"/>
    </row>
  </sheetData>
  <mergeCells count="6">
    <mergeCell ref="A25:F25"/>
    <mergeCell ref="A1:L1"/>
    <mergeCell ref="A2:L2"/>
    <mergeCell ref="A3:F3"/>
    <mergeCell ref="G3:H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F18" sqref="F18"/>
    </sheetView>
  </sheetViews>
  <sheetFormatPr defaultRowHeight="15"/>
  <sheetData>
    <row r="1" spans="1:7">
      <c r="A1" s="255" t="s">
        <v>41</v>
      </c>
      <c r="B1" s="255"/>
      <c r="C1" s="255"/>
      <c r="D1" s="255"/>
      <c r="E1" s="255"/>
      <c r="F1" s="255"/>
      <c r="G1" s="255"/>
    </row>
    <row r="2" spans="1:7">
      <c r="A2" s="9" t="s">
        <v>31</v>
      </c>
      <c r="B2" s="9"/>
      <c r="C2" s="9" t="s">
        <v>32</v>
      </c>
      <c r="D2" s="9"/>
      <c r="E2" s="9"/>
      <c r="F2" s="9" t="s">
        <v>33</v>
      </c>
      <c r="G2" s="9"/>
    </row>
    <row r="3" spans="1:7">
      <c r="A3" s="9" t="s">
        <v>34</v>
      </c>
      <c r="B3" s="9"/>
      <c r="C3" s="9"/>
      <c r="D3" s="9"/>
      <c r="E3" s="9"/>
      <c r="F3" s="9" t="s">
        <v>35</v>
      </c>
      <c r="G3" s="9"/>
    </row>
    <row r="4" spans="1:7" ht="60">
      <c r="A4" s="9" t="s">
        <v>7</v>
      </c>
      <c r="B4" s="9" t="s">
        <v>36</v>
      </c>
      <c r="C4" s="11" t="s">
        <v>37</v>
      </c>
      <c r="D4" s="11"/>
      <c r="E4" s="9" t="s">
        <v>38</v>
      </c>
      <c r="F4" s="11" t="s">
        <v>39</v>
      </c>
      <c r="G4" s="11" t="s">
        <v>40</v>
      </c>
    </row>
    <row r="5" spans="1:7">
      <c r="A5" s="9"/>
      <c r="B5" s="9"/>
      <c r="C5" s="9"/>
      <c r="D5" s="9"/>
      <c r="E5" s="9"/>
      <c r="F5" s="9"/>
      <c r="G5" s="9"/>
    </row>
    <row r="6" spans="1:7">
      <c r="A6" s="9"/>
      <c r="B6" s="9"/>
      <c r="C6" s="9"/>
      <c r="D6" s="9"/>
      <c r="E6" s="9"/>
      <c r="F6" s="9"/>
      <c r="G6" s="9"/>
    </row>
    <row r="7" spans="1:7">
      <c r="A7" s="9"/>
      <c r="B7" s="9"/>
      <c r="C7" s="9"/>
      <c r="D7" s="9"/>
      <c r="E7" s="9"/>
      <c r="F7" s="9"/>
      <c r="G7" s="9"/>
    </row>
    <row r="8" spans="1:7">
      <c r="A8" s="9"/>
      <c r="B8" s="9"/>
      <c r="C8" s="9"/>
      <c r="D8" s="9"/>
      <c r="E8" s="9"/>
      <c r="F8" s="9"/>
      <c r="G8" s="9"/>
    </row>
    <row r="9" spans="1:7">
      <c r="A9" s="9"/>
      <c r="B9" s="9"/>
      <c r="C9" s="9"/>
      <c r="D9" s="9"/>
      <c r="E9" s="9"/>
      <c r="F9" s="9"/>
      <c r="G9" s="9"/>
    </row>
    <row r="10" spans="1:7">
      <c r="A10" s="9"/>
      <c r="B10" s="9"/>
      <c r="C10" s="9"/>
      <c r="D10" s="9"/>
      <c r="E10" s="9"/>
      <c r="F10" s="9"/>
      <c r="G10" s="9"/>
    </row>
    <row r="11" spans="1:7">
      <c r="A11" s="9"/>
      <c r="B11" s="9"/>
      <c r="C11" s="9"/>
      <c r="D11" s="9"/>
      <c r="E11" s="9"/>
      <c r="F11" s="9"/>
      <c r="G11" s="9"/>
    </row>
    <row r="12" spans="1:7">
      <c r="A12" s="9"/>
      <c r="B12" s="9"/>
      <c r="C12" s="9"/>
      <c r="D12" s="9"/>
      <c r="E12" s="9"/>
      <c r="F12" s="9"/>
      <c r="G12" s="9"/>
    </row>
    <row r="13" spans="1:7">
      <c r="A13" s="9"/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9"/>
      <c r="B15" s="9"/>
      <c r="C15" s="9"/>
      <c r="D15" s="9"/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  <row r="17" spans="1:7">
      <c r="A17" s="9"/>
      <c r="B17" s="9"/>
      <c r="C17" s="9"/>
      <c r="D17" s="9"/>
      <c r="E17" s="9"/>
      <c r="F17" s="9"/>
      <c r="G17" s="9"/>
    </row>
    <row r="18" spans="1:7">
      <c r="A18" s="9"/>
      <c r="B18" s="9"/>
      <c r="C18" s="9"/>
      <c r="D18" s="9"/>
      <c r="E18" s="9"/>
      <c r="F18" s="9"/>
      <c r="G18" s="9"/>
    </row>
    <row r="19" spans="1:7">
      <c r="A19" s="9"/>
      <c r="B19" s="9"/>
      <c r="C19" s="9"/>
      <c r="D19" s="9"/>
      <c r="E19" s="9"/>
      <c r="F19" s="9"/>
      <c r="G19" s="9"/>
    </row>
    <row r="20" spans="1:7">
      <c r="A20" s="9"/>
      <c r="B20" s="9"/>
      <c r="C20" s="9"/>
      <c r="D20" s="9"/>
      <c r="E20" s="9"/>
      <c r="F20" s="9"/>
      <c r="G20" s="9"/>
    </row>
    <row r="21" spans="1:7">
      <c r="A21" s="9"/>
      <c r="B21" s="9"/>
      <c r="C21" s="9"/>
      <c r="D21" s="9"/>
      <c r="E21" s="9"/>
      <c r="F21" s="9"/>
      <c r="G21" s="9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sqref="A1:N24"/>
    </sheetView>
  </sheetViews>
  <sheetFormatPr defaultRowHeight="15"/>
  <sheetData>
    <row r="1" spans="1:14" s="13" customFormat="1" ht="14.25">
      <c r="A1" s="259" t="s">
        <v>55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</row>
    <row r="2" spans="1:14" s="13" customFormat="1" ht="14.25">
      <c r="A2" s="261" t="s">
        <v>1</v>
      </c>
      <c r="B2" s="261"/>
      <c r="C2" s="261"/>
      <c r="D2" s="261"/>
      <c r="E2" s="261"/>
      <c r="F2" s="261" t="s">
        <v>2</v>
      </c>
      <c r="G2" s="261"/>
      <c r="H2" s="22"/>
      <c r="I2" s="262" t="s">
        <v>29</v>
      </c>
      <c r="J2" s="262"/>
      <c r="K2" s="262"/>
      <c r="L2" s="262"/>
      <c r="M2" s="262"/>
      <c r="N2" s="262"/>
    </row>
    <row r="3" spans="1:14" s="13" customFormat="1" ht="14.25">
      <c r="A3" s="261" t="s">
        <v>4</v>
      </c>
      <c r="B3" s="261"/>
      <c r="C3" s="261"/>
      <c r="D3" s="261"/>
      <c r="E3" s="261"/>
      <c r="F3" s="261" t="s">
        <v>5</v>
      </c>
      <c r="G3" s="261"/>
      <c r="H3" s="22"/>
      <c r="I3" s="262" t="s">
        <v>6</v>
      </c>
      <c r="J3" s="262"/>
      <c r="K3" s="262"/>
      <c r="L3" s="262"/>
      <c r="M3" s="262"/>
      <c r="N3" s="262"/>
    </row>
    <row r="4" spans="1:14" s="13" customFormat="1" ht="32.25" customHeight="1">
      <c r="A4" s="15" t="s">
        <v>7</v>
      </c>
      <c r="B4" s="15" t="s">
        <v>43</v>
      </c>
      <c r="C4" s="15" t="s">
        <v>44</v>
      </c>
      <c r="D4" s="15" t="s">
        <v>45</v>
      </c>
      <c r="E4" s="15" t="s">
        <v>10</v>
      </c>
      <c r="F4" s="15" t="s">
        <v>46</v>
      </c>
      <c r="G4" s="15" t="s">
        <v>47</v>
      </c>
      <c r="H4" s="16" t="s">
        <v>48</v>
      </c>
      <c r="I4" s="15" t="s">
        <v>49</v>
      </c>
      <c r="J4" s="256" t="s">
        <v>50</v>
      </c>
      <c r="K4" s="257"/>
      <c r="L4" s="258"/>
      <c r="M4" s="17" t="s">
        <v>51</v>
      </c>
      <c r="N4" s="18" t="s">
        <v>52</v>
      </c>
    </row>
    <row r="5" spans="1:14" s="13" customFormat="1" ht="37.5" customHeight="1">
      <c r="A5" s="15"/>
      <c r="B5" s="15"/>
      <c r="C5" s="15"/>
      <c r="D5" s="15"/>
      <c r="E5" s="15"/>
      <c r="F5" s="15"/>
      <c r="G5" s="15"/>
      <c r="H5" s="19"/>
      <c r="I5" s="15"/>
      <c r="J5" s="15" t="s">
        <v>33</v>
      </c>
      <c r="K5" s="15" t="s">
        <v>53</v>
      </c>
      <c r="L5" s="15" t="s">
        <v>54</v>
      </c>
      <c r="M5" s="17"/>
      <c r="N5" s="20"/>
    </row>
    <row r="6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</sheetData>
  <mergeCells count="8">
    <mergeCell ref="J4:L4"/>
    <mergeCell ref="A1:N1"/>
    <mergeCell ref="A2:E2"/>
    <mergeCell ref="F2:G2"/>
    <mergeCell ref="I2:N2"/>
    <mergeCell ref="A3:E3"/>
    <mergeCell ref="F3:G3"/>
    <mergeCell ref="I3:N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sqref="A1:S23"/>
    </sheetView>
  </sheetViews>
  <sheetFormatPr defaultRowHeight="15"/>
  <sheetData>
    <row r="1" spans="1:19" ht="26.25">
      <c r="A1" s="263" t="s">
        <v>74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</row>
    <row r="2" spans="1:19">
      <c r="A2" s="27" t="s">
        <v>31</v>
      </c>
      <c r="B2" s="28" t="s">
        <v>75</v>
      </c>
      <c r="C2" s="264" t="s">
        <v>76</v>
      </c>
      <c r="D2" s="264"/>
      <c r="E2" s="28"/>
      <c r="F2" s="27"/>
      <c r="G2" s="27"/>
      <c r="H2" s="28" t="s">
        <v>32</v>
      </c>
      <c r="I2" s="28"/>
      <c r="J2" s="27"/>
      <c r="K2" s="27"/>
      <c r="L2" s="27"/>
      <c r="M2" s="28" t="s">
        <v>77</v>
      </c>
      <c r="N2" s="28" t="s">
        <v>78</v>
      </c>
      <c r="O2" s="27"/>
      <c r="P2" s="27"/>
      <c r="Q2" s="27"/>
      <c r="R2" s="27"/>
      <c r="S2" s="27"/>
    </row>
    <row r="3" spans="1:19">
      <c r="A3" s="29" t="s">
        <v>72</v>
      </c>
      <c r="B3" s="28" t="s">
        <v>79</v>
      </c>
      <c r="C3" s="265" t="s">
        <v>80</v>
      </c>
      <c r="D3" s="26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ht="105">
      <c r="A4" s="26" t="s">
        <v>7</v>
      </c>
      <c r="B4" s="26" t="s">
        <v>8</v>
      </c>
      <c r="C4" s="26" t="s">
        <v>81</v>
      </c>
      <c r="D4" s="26" t="s">
        <v>9</v>
      </c>
      <c r="E4" s="26" t="s">
        <v>10</v>
      </c>
      <c r="F4" s="26" t="s">
        <v>32</v>
      </c>
      <c r="G4" s="26" t="s">
        <v>82</v>
      </c>
      <c r="H4" s="26" t="s">
        <v>83</v>
      </c>
      <c r="I4" s="26" t="s">
        <v>13</v>
      </c>
      <c r="J4" s="26" t="s">
        <v>84</v>
      </c>
      <c r="K4" s="26" t="s">
        <v>20</v>
      </c>
      <c r="L4" s="26"/>
      <c r="M4" s="26" t="s">
        <v>85</v>
      </c>
      <c r="N4" s="26" t="s">
        <v>22</v>
      </c>
      <c r="O4" s="26" t="s">
        <v>23</v>
      </c>
      <c r="P4" s="26" t="s">
        <v>86</v>
      </c>
      <c r="Q4" s="26" t="s">
        <v>28</v>
      </c>
      <c r="R4" s="26" t="s">
        <v>24</v>
      </c>
      <c r="S4" s="26" t="s">
        <v>87</v>
      </c>
    </row>
    <row r="5" spans="1:19">
      <c r="A5" s="30">
        <v>1</v>
      </c>
      <c r="B5" s="31"/>
      <c r="C5" s="31"/>
      <c r="D5" s="32"/>
      <c r="E5" s="33"/>
      <c r="F5" s="33"/>
      <c r="G5" s="34"/>
      <c r="H5" s="35"/>
      <c r="I5" s="32"/>
      <c r="J5" s="32"/>
      <c r="K5" s="36"/>
      <c r="L5" s="30"/>
      <c r="M5" s="30"/>
      <c r="N5" s="32"/>
      <c r="O5" s="37"/>
      <c r="P5" s="30"/>
      <c r="Q5" s="38"/>
      <c r="R5" s="38"/>
      <c r="S5" s="38"/>
    </row>
    <row r="6" spans="1:19">
      <c r="A6" s="30">
        <v>2</v>
      </c>
      <c r="B6" s="31"/>
      <c r="C6" s="31"/>
      <c r="D6" s="32"/>
      <c r="E6" s="33"/>
      <c r="F6" s="33"/>
      <c r="G6" s="34"/>
      <c r="H6" s="35"/>
      <c r="I6" s="32"/>
      <c r="J6" s="32"/>
      <c r="K6" s="36"/>
      <c r="L6" s="30"/>
      <c r="M6" s="30"/>
      <c r="N6" s="32"/>
      <c r="O6" s="37"/>
      <c r="P6" s="30"/>
      <c r="Q6" s="38"/>
      <c r="R6" s="38"/>
      <c r="S6" s="38"/>
    </row>
    <row r="7" spans="1:19">
      <c r="A7" s="30">
        <v>3</v>
      </c>
      <c r="B7" s="31"/>
      <c r="C7" s="31"/>
      <c r="D7" s="32"/>
      <c r="E7" s="33"/>
      <c r="F7" s="33"/>
      <c r="G7" s="34"/>
      <c r="H7" s="35"/>
      <c r="I7" s="32"/>
      <c r="J7" s="32"/>
      <c r="K7" s="36"/>
      <c r="L7" s="30"/>
      <c r="M7" s="30"/>
      <c r="N7" s="32"/>
      <c r="O7" s="30"/>
      <c r="P7" s="30"/>
      <c r="Q7" s="38"/>
      <c r="R7" s="38"/>
      <c r="S7" s="38"/>
    </row>
    <row r="8" spans="1:19">
      <c r="A8" s="30">
        <v>4</v>
      </c>
      <c r="B8" s="31"/>
      <c r="C8" s="31"/>
      <c r="D8" s="32"/>
      <c r="E8" s="33"/>
      <c r="F8" s="33"/>
      <c r="G8" s="34"/>
      <c r="H8" s="35"/>
      <c r="I8" s="32"/>
      <c r="J8" s="32"/>
      <c r="K8" s="36"/>
      <c r="L8" s="30"/>
      <c r="M8" s="30"/>
      <c r="N8" s="32"/>
      <c r="O8" s="30"/>
      <c r="P8" s="30"/>
      <c r="Q8" s="38"/>
      <c r="R8" s="38"/>
      <c r="S8" s="38"/>
    </row>
    <row r="9" spans="1:19">
      <c r="A9" s="30">
        <v>5</v>
      </c>
      <c r="B9" s="31"/>
      <c r="C9" s="31"/>
      <c r="D9" s="32"/>
      <c r="E9" s="33"/>
      <c r="F9" s="33"/>
      <c r="G9" s="34"/>
      <c r="H9" s="35"/>
      <c r="I9" s="32"/>
      <c r="J9" s="32"/>
      <c r="K9" s="36"/>
      <c r="L9" s="30"/>
      <c r="M9" s="30"/>
      <c r="N9" s="32"/>
      <c r="O9" s="37"/>
      <c r="P9" s="30"/>
      <c r="Q9" s="38"/>
      <c r="R9" s="38"/>
      <c r="S9" s="38"/>
    </row>
    <row r="10" spans="1:19">
      <c r="A10" s="30">
        <v>6</v>
      </c>
      <c r="B10" s="31"/>
      <c r="C10" s="31"/>
      <c r="D10" s="32"/>
      <c r="E10" s="33"/>
      <c r="F10" s="33"/>
      <c r="G10" s="34"/>
      <c r="H10" s="35"/>
      <c r="I10" s="32"/>
      <c r="J10" s="32"/>
      <c r="K10" s="36"/>
      <c r="L10" s="30"/>
      <c r="M10" s="30"/>
      <c r="N10" s="32"/>
      <c r="O10" s="30"/>
      <c r="P10" s="30"/>
      <c r="Q10" s="38"/>
      <c r="R10" s="38"/>
      <c r="S10" s="38"/>
    </row>
    <row r="11" spans="1:19">
      <c r="A11" s="30">
        <v>7</v>
      </c>
      <c r="B11" s="31"/>
      <c r="C11" s="31"/>
      <c r="D11" s="32"/>
      <c r="E11" s="33"/>
      <c r="F11" s="33"/>
      <c r="G11" s="34"/>
      <c r="H11" s="35"/>
      <c r="I11" s="32"/>
      <c r="J11" s="32"/>
      <c r="K11" s="36"/>
      <c r="L11" s="30"/>
      <c r="M11" s="30"/>
      <c r="N11" s="32"/>
      <c r="O11" s="37"/>
      <c r="P11" s="30"/>
      <c r="Q11" s="38"/>
      <c r="R11" s="38"/>
      <c r="S11" s="38"/>
    </row>
    <row r="12" spans="1:19">
      <c r="A12" s="30">
        <v>8</v>
      </c>
      <c r="B12" s="31"/>
      <c r="C12" s="31"/>
      <c r="D12" s="32"/>
      <c r="E12" s="33"/>
      <c r="F12" s="33"/>
      <c r="G12" s="34"/>
      <c r="H12" s="35"/>
      <c r="I12" s="32"/>
      <c r="J12" s="32"/>
      <c r="K12" s="36"/>
      <c r="L12" s="30"/>
      <c r="M12" s="30"/>
      <c r="N12" s="32"/>
      <c r="O12" s="30"/>
      <c r="P12" s="30"/>
      <c r="Q12" s="38"/>
      <c r="R12" s="38"/>
      <c r="S12" s="38"/>
    </row>
    <row r="13" spans="1:19">
      <c r="A13" s="30">
        <v>9</v>
      </c>
      <c r="B13" s="31"/>
      <c r="C13" s="31"/>
      <c r="D13" s="32"/>
      <c r="E13" s="33"/>
      <c r="F13" s="33"/>
      <c r="G13" s="34"/>
      <c r="H13" s="35"/>
      <c r="I13" s="32"/>
      <c r="J13" s="32"/>
      <c r="K13" s="36"/>
      <c r="L13" s="30"/>
      <c r="M13" s="30"/>
      <c r="N13" s="32"/>
      <c r="O13" s="30"/>
      <c r="P13" s="30"/>
      <c r="Q13" s="38"/>
      <c r="R13" s="38"/>
      <c r="S13" s="38"/>
    </row>
    <row r="14" spans="1:19">
      <c r="A14" s="30">
        <v>10</v>
      </c>
      <c r="B14" s="31"/>
      <c r="C14" s="31"/>
      <c r="D14" s="32"/>
      <c r="E14" s="33"/>
      <c r="F14" s="33"/>
      <c r="G14" s="34"/>
      <c r="H14" s="35"/>
      <c r="I14" s="32"/>
      <c r="J14" s="32"/>
      <c r="K14" s="36"/>
      <c r="L14" s="30"/>
      <c r="M14" s="30"/>
      <c r="N14" s="32"/>
      <c r="O14" s="30"/>
      <c r="P14" s="30"/>
      <c r="Q14" s="38"/>
      <c r="R14" s="38"/>
      <c r="S14" s="38"/>
    </row>
    <row r="15" spans="1:19">
      <c r="A15" s="30">
        <v>11</v>
      </c>
      <c r="B15" s="31"/>
      <c r="C15" s="31"/>
      <c r="D15" s="32"/>
      <c r="E15" s="33"/>
      <c r="F15" s="33"/>
      <c r="G15" s="34"/>
      <c r="H15" s="35"/>
      <c r="I15" s="32"/>
      <c r="J15" s="32"/>
      <c r="K15" s="36"/>
      <c r="L15" s="30"/>
      <c r="M15" s="30"/>
      <c r="N15" s="32"/>
      <c r="O15" s="30"/>
      <c r="P15" s="30"/>
      <c r="Q15" s="38"/>
      <c r="R15" s="38"/>
      <c r="S15" s="38"/>
    </row>
    <row r="16" spans="1:19">
      <c r="A16" s="30">
        <v>12</v>
      </c>
      <c r="B16" s="31"/>
      <c r="C16" s="31"/>
      <c r="D16" s="32"/>
      <c r="E16" s="33"/>
      <c r="F16" s="33"/>
      <c r="G16" s="34"/>
      <c r="H16" s="35"/>
      <c r="I16" s="32"/>
      <c r="J16" s="32"/>
      <c r="K16" s="36"/>
      <c r="L16" s="30"/>
      <c r="M16" s="30"/>
      <c r="N16" s="32"/>
      <c r="O16" s="30"/>
      <c r="P16" s="30"/>
      <c r="Q16" s="38"/>
      <c r="R16" s="38"/>
      <c r="S16" s="38"/>
    </row>
    <row r="17" spans="1:19">
      <c r="A17" s="30">
        <v>13</v>
      </c>
      <c r="B17" s="31"/>
      <c r="C17" s="31"/>
      <c r="D17" s="32"/>
      <c r="E17" s="33"/>
      <c r="F17" s="33"/>
      <c r="G17" s="34"/>
      <c r="H17" s="35"/>
      <c r="I17" s="32"/>
      <c r="J17" s="32"/>
      <c r="K17" s="36"/>
      <c r="L17" s="30"/>
      <c r="M17" s="30"/>
      <c r="N17" s="32"/>
      <c r="O17" s="30"/>
      <c r="P17" s="30"/>
      <c r="Q17" s="38"/>
      <c r="R17" s="38"/>
      <c r="S17" s="38"/>
    </row>
    <row r="18" spans="1:19">
      <c r="A18" s="30">
        <v>14</v>
      </c>
      <c r="B18" s="31"/>
      <c r="C18" s="31"/>
      <c r="D18" s="32"/>
      <c r="E18" s="33"/>
      <c r="F18" s="33"/>
      <c r="G18" s="36"/>
      <c r="H18" s="35"/>
      <c r="I18" s="32"/>
      <c r="J18" s="32"/>
      <c r="K18" s="36"/>
      <c r="L18" s="30"/>
      <c r="M18" s="30"/>
      <c r="N18" s="32"/>
      <c r="O18" s="30"/>
      <c r="P18" s="30"/>
      <c r="Q18" s="38"/>
      <c r="R18" s="38"/>
      <c r="S18" s="38"/>
    </row>
    <row r="19" spans="1:19">
      <c r="A19" s="30">
        <v>15</v>
      </c>
      <c r="B19" s="33"/>
      <c r="C19" s="36"/>
      <c r="D19" s="32"/>
      <c r="E19" s="33"/>
      <c r="F19" s="33"/>
      <c r="G19" s="34"/>
      <c r="H19" s="35"/>
      <c r="I19" s="32"/>
      <c r="J19" s="32"/>
      <c r="K19" s="36"/>
      <c r="L19" s="30"/>
      <c r="M19" s="30"/>
      <c r="N19" s="32"/>
      <c r="O19" s="30"/>
      <c r="P19" s="30"/>
      <c r="Q19" s="38"/>
      <c r="R19" s="38"/>
      <c r="S19" s="38"/>
    </row>
    <row r="20" spans="1:19">
      <c r="A20" s="30">
        <v>16</v>
      </c>
      <c r="B20" s="33"/>
      <c r="C20" s="36"/>
      <c r="D20" s="32"/>
      <c r="E20" s="33"/>
      <c r="F20" s="33"/>
      <c r="G20" s="34"/>
      <c r="H20" s="35"/>
      <c r="I20" s="32"/>
      <c r="J20" s="32"/>
      <c r="K20" s="36"/>
      <c r="L20" s="30"/>
      <c r="M20" s="30"/>
      <c r="N20" s="32"/>
      <c r="O20" s="30"/>
      <c r="P20" s="30"/>
      <c r="Q20" s="38"/>
      <c r="R20" s="38"/>
      <c r="S20" s="38"/>
    </row>
    <row r="21" spans="1:19">
      <c r="A21" s="30">
        <v>17</v>
      </c>
      <c r="B21" s="33"/>
      <c r="C21" s="36"/>
      <c r="D21" s="32"/>
      <c r="E21" s="33"/>
      <c r="F21" s="33"/>
      <c r="G21" s="34"/>
      <c r="H21" s="35"/>
      <c r="I21" s="32"/>
      <c r="J21" s="32"/>
      <c r="K21" s="36"/>
      <c r="L21" s="30"/>
      <c r="M21" s="30"/>
      <c r="N21" s="32"/>
      <c r="O21" s="30"/>
      <c r="P21" s="30"/>
      <c r="Q21" s="38"/>
      <c r="R21" s="38"/>
      <c r="S21" s="38"/>
    </row>
    <row r="22" spans="1:19">
      <c r="A22" s="30">
        <v>18</v>
      </c>
      <c r="B22" s="33"/>
      <c r="C22" s="36"/>
      <c r="D22" s="32"/>
      <c r="E22" s="33"/>
      <c r="F22" s="33"/>
      <c r="G22" s="34"/>
      <c r="H22" s="35"/>
      <c r="I22" s="32"/>
      <c r="J22" s="32"/>
      <c r="K22" s="36"/>
      <c r="L22" s="30"/>
      <c r="M22" s="30"/>
      <c r="N22" s="32"/>
      <c r="O22" s="30"/>
      <c r="P22" s="30"/>
      <c r="Q22" s="38"/>
      <c r="R22" s="38"/>
      <c r="S22" s="38"/>
    </row>
    <row r="23" spans="1:19" ht="15.75">
      <c r="A23" s="39"/>
      <c r="B23" s="39" t="s">
        <v>88</v>
      </c>
      <c r="C23" s="39"/>
      <c r="D23" s="39"/>
      <c r="E23" s="39"/>
      <c r="F23" s="39"/>
      <c r="G23" s="39"/>
      <c r="H23" s="39"/>
      <c r="I23" s="39"/>
      <c r="J23" s="40">
        <f>SUM(J5:J22)</f>
        <v>0</v>
      </c>
      <c r="K23" s="39"/>
      <c r="L23" s="39"/>
      <c r="M23" s="39"/>
      <c r="N23" s="39">
        <f>SUM(N5:N22)</f>
        <v>0</v>
      </c>
      <c r="O23" s="39"/>
      <c r="P23" s="39"/>
      <c r="Q23" s="41">
        <f>SUM(Q5:Q22)</f>
        <v>0</v>
      </c>
      <c r="R23" s="41">
        <f>SUM(R5:R22)</f>
        <v>0</v>
      </c>
      <c r="S23" s="41">
        <f>SUM(S5:S22)</f>
        <v>0</v>
      </c>
    </row>
  </sheetData>
  <mergeCells count="3">
    <mergeCell ref="A1:S1"/>
    <mergeCell ref="C2:D2"/>
    <mergeCell ref="C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sqref="A1:M24"/>
    </sheetView>
  </sheetViews>
  <sheetFormatPr defaultRowHeight="15"/>
  <sheetData>
    <row r="1" spans="1:13">
      <c r="A1" s="255" t="s">
        <v>31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13">
      <c r="A2" s="9" t="s">
        <v>31</v>
      </c>
      <c r="B2" s="9"/>
      <c r="C2" s="9"/>
      <c r="D2" s="9"/>
      <c r="E2" s="9" t="s">
        <v>72</v>
      </c>
      <c r="F2" s="9"/>
      <c r="G2" s="9"/>
      <c r="H2" s="9"/>
      <c r="I2" s="9" t="s">
        <v>30</v>
      </c>
      <c r="J2" s="9"/>
      <c r="K2" s="9"/>
      <c r="L2" s="9"/>
      <c r="M2" s="9"/>
    </row>
    <row r="3" spans="1:13">
      <c r="A3" s="9" t="s">
        <v>71</v>
      </c>
      <c r="B3" s="9"/>
      <c r="C3" s="9"/>
      <c r="D3" s="9"/>
      <c r="E3" s="9" t="s">
        <v>32</v>
      </c>
      <c r="F3" s="9"/>
      <c r="G3" s="9"/>
      <c r="H3" s="9"/>
      <c r="I3" s="9" t="s">
        <v>35</v>
      </c>
      <c r="J3" s="9"/>
      <c r="K3" s="9"/>
      <c r="L3" s="9"/>
      <c r="M3" s="9"/>
    </row>
    <row r="4" spans="1:13">
      <c r="A4" s="266" t="s">
        <v>7</v>
      </c>
      <c r="B4" s="266" t="s">
        <v>57</v>
      </c>
      <c r="C4" s="266" t="s">
        <v>44</v>
      </c>
      <c r="D4" s="266" t="s">
        <v>45</v>
      </c>
      <c r="E4" s="266" t="s">
        <v>10</v>
      </c>
      <c r="F4" s="266" t="s">
        <v>46</v>
      </c>
      <c r="G4" s="266" t="s">
        <v>16</v>
      </c>
      <c r="H4" s="266" t="s">
        <v>58</v>
      </c>
      <c r="I4" s="266" t="s">
        <v>47</v>
      </c>
      <c r="J4" s="266" t="s">
        <v>59</v>
      </c>
      <c r="K4" s="266" t="s">
        <v>60</v>
      </c>
      <c r="L4" s="266"/>
      <c r="M4" s="266" t="s">
        <v>61</v>
      </c>
    </row>
    <row r="5" spans="1:13" ht="30">
      <c r="A5" s="266"/>
      <c r="B5" s="266"/>
      <c r="C5" s="266"/>
      <c r="D5" s="266"/>
      <c r="E5" s="266"/>
      <c r="F5" s="266"/>
      <c r="G5" s="266"/>
      <c r="H5" s="266"/>
      <c r="I5" s="266"/>
      <c r="J5" s="266"/>
      <c r="K5" s="23" t="s">
        <v>8</v>
      </c>
      <c r="L5" s="12" t="s">
        <v>38</v>
      </c>
      <c r="M5" s="266"/>
    </row>
    <row r="6" spans="1:1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/>
      <c r="B24" s="9"/>
      <c r="C24" s="9"/>
      <c r="D24" s="9"/>
      <c r="E24" s="9"/>
      <c r="F24" s="9"/>
      <c r="G24" s="9"/>
      <c r="H24" s="9" t="s">
        <v>70</v>
      </c>
      <c r="I24" s="9"/>
      <c r="J24" s="9"/>
      <c r="K24" s="9"/>
      <c r="L24" s="9"/>
      <c r="M24" s="9"/>
    </row>
  </sheetData>
  <mergeCells count="13">
    <mergeCell ref="A1:M1"/>
    <mergeCell ref="G4:G5"/>
    <mergeCell ref="H4:H5"/>
    <mergeCell ref="I4:I5"/>
    <mergeCell ref="J4:J5"/>
    <mergeCell ref="K4:L4"/>
    <mergeCell ref="M4:M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3"/>
  <sheetViews>
    <sheetView topLeftCell="C1" workbookViewId="0">
      <selection activeCell="O12" sqref="O12"/>
    </sheetView>
  </sheetViews>
  <sheetFormatPr defaultRowHeight="15"/>
  <sheetData>
    <row r="1" spans="1:19">
      <c r="A1" s="268" t="s">
        <v>56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</row>
    <row r="2" spans="1:19">
      <c r="A2" s="269" t="s">
        <v>1</v>
      </c>
      <c r="B2" s="269"/>
      <c r="C2" s="269"/>
      <c r="D2" s="269"/>
      <c r="E2" s="269"/>
      <c r="F2" s="269" t="s">
        <v>2</v>
      </c>
      <c r="G2" s="269"/>
      <c r="H2" s="269"/>
      <c r="I2" s="269"/>
      <c r="J2" s="269"/>
      <c r="K2" s="269" t="s">
        <v>29</v>
      </c>
      <c r="L2" s="269"/>
      <c r="M2" s="269"/>
      <c r="N2" s="269"/>
      <c r="O2" s="269"/>
      <c r="P2" s="269"/>
      <c r="Q2" s="24"/>
      <c r="R2" s="24"/>
      <c r="S2" s="24"/>
    </row>
    <row r="3" spans="1:19">
      <c r="A3" s="269" t="s">
        <v>4</v>
      </c>
      <c r="B3" s="269"/>
      <c r="C3" s="269"/>
      <c r="D3" s="269"/>
      <c r="E3" s="269"/>
      <c r="F3" s="269" t="s">
        <v>5</v>
      </c>
      <c r="G3" s="269"/>
      <c r="H3" s="269"/>
      <c r="I3" s="269"/>
      <c r="J3" s="269"/>
      <c r="K3" s="269" t="s">
        <v>6</v>
      </c>
      <c r="L3" s="269"/>
      <c r="M3" s="269"/>
      <c r="N3" s="269"/>
      <c r="O3" s="269"/>
      <c r="P3" s="269"/>
      <c r="Q3" s="24"/>
      <c r="R3" s="24"/>
      <c r="S3" s="24"/>
    </row>
    <row r="4" spans="1:19">
      <c r="A4" s="267" t="s">
        <v>7</v>
      </c>
      <c r="B4" s="267" t="s">
        <v>57</v>
      </c>
      <c r="C4" s="267" t="s">
        <v>44</v>
      </c>
      <c r="D4" s="267" t="s">
        <v>45</v>
      </c>
      <c r="E4" s="267" t="s">
        <v>10</v>
      </c>
      <c r="F4" s="267" t="s">
        <v>46</v>
      </c>
      <c r="G4" s="267" t="s">
        <v>16</v>
      </c>
      <c r="H4" s="267" t="s">
        <v>58</v>
      </c>
      <c r="I4" s="267" t="s">
        <v>47</v>
      </c>
      <c r="J4" s="267" t="s">
        <v>59</v>
      </c>
      <c r="K4" s="267" t="s">
        <v>60</v>
      </c>
      <c r="L4" s="267"/>
      <c r="M4" s="267" t="s">
        <v>61</v>
      </c>
      <c r="N4" s="267" t="s">
        <v>62</v>
      </c>
      <c r="O4" s="267"/>
      <c r="P4" s="267"/>
      <c r="Q4" s="267" t="s">
        <v>63</v>
      </c>
      <c r="R4" s="267"/>
      <c r="S4" s="267"/>
    </row>
    <row r="5" spans="1:19" ht="38.25">
      <c r="A5" s="267"/>
      <c r="B5" s="267"/>
      <c r="C5" s="267"/>
      <c r="D5" s="267"/>
      <c r="E5" s="267"/>
      <c r="F5" s="267"/>
      <c r="G5" s="267"/>
      <c r="H5" s="267"/>
      <c r="I5" s="267"/>
      <c r="J5" s="267"/>
      <c r="K5" s="25" t="s">
        <v>8</v>
      </c>
      <c r="L5" s="14" t="s">
        <v>38</v>
      </c>
      <c r="M5" s="267"/>
      <c r="N5" s="14" t="s">
        <v>64</v>
      </c>
      <c r="O5" s="14" t="s">
        <v>65</v>
      </c>
      <c r="P5" s="14" t="s">
        <v>66</v>
      </c>
      <c r="Q5" s="21" t="s">
        <v>67</v>
      </c>
      <c r="R5" s="21" t="s">
        <v>68</v>
      </c>
      <c r="S5" s="21" t="s">
        <v>69</v>
      </c>
    </row>
    <row r="6" spans="1:19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</sheetData>
  <mergeCells count="21">
    <mergeCell ref="H4:H5"/>
    <mergeCell ref="I4:I5"/>
    <mergeCell ref="J4:J5"/>
    <mergeCell ref="K4:L4"/>
    <mergeCell ref="M4:M5"/>
    <mergeCell ref="F4:F5"/>
    <mergeCell ref="A1:S1"/>
    <mergeCell ref="A2:E2"/>
    <mergeCell ref="F2:J2"/>
    <mergeCell ref="K2:P2"/>
    <mergeCell ref="A3:E3"/>
    <mergeCell ref="F3:J3"/>
    <mergeCell ref="K3:P3"/>
    <mergeCell ref="A4:A5"/>
    <mergeCell ref="B4:B5"/>
    <mergeCell ref="C4:C5"/>
    <mergeCell ref="D4:D5"/>
    <mergeCell ref="E4:E5"/>
    <mergeCell ref="N4:P4"/>
    <mergeCell ref="Q4:S4"/>
    <mergeCell ref="G4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M9" sqref="M9"/>
    </sheetView>
  </sheetViews>
  <sheetFormatPr defaultRowHeight="15"/>
  <sheetData>
    <row r="1" spans="1:10" ht="21">
      <c r="A1" s="59" t="s">
        <v>122</v>
      </c>
    </row>
    <row r="2" spans="1:10" ht="15.75">
      <c r="A2" s="60" t="s">
        <v>123</v>
      </c>
      <c r="J2" t="s">
        <v>92</v>
      </c>
    </row>
    <row r="3" spans="1:10">
      <c r="A3" t="s">
        <v>124</v>
      </c>
    </row>
    <row r="4" spans="1:10">
      <c r="A4" s="61" t="s">
        <v>125</v>
      </c>
    </row>
    <row r="5" spans="1:10">
      <c r="A5" t="s">
        <v>126</v>
      </c>
    </row>
    <row r="6" spans="1:10">
      <c r="A6" t="s">
        <v>109</v>
      </c>
      <c r="B6" t="s">
        <v>127</v>
      </c>
      <c r="C6" t="s">
        <v>128</v>
      </c>
    </row>
    <row r="7" spans="1:10">
      <c r="A7" t="s">
        <v>129</v>
      </c>
      <c r="C7" t="s">
        <v>127</v>
      </c>
      <c r="D7" t="s">
        <v>130</v>
      </c>
    </row>
    <row r="8" spans="1:10" ht="15.75" thickBot="1">
      <c r="A8" t="s">
        <v>131</v>
      </c>
      <c r="C8" t="s">
        <v>127</v>
      </c>
      <c r="D8" t="s">
        <v>132</v>
      </c>
    </row>
    <row r="9" spans="1:10" ht="60.75" thickBot="1">
      <c r="A9" s="62" t="s">
        <v>133</v>
      </c>
      <c r="B9" s="63" t="s">
        <v>134</v>
      </c>
      <c r="C9" s="64" t="s">
        <v>135</v>
      </c>
      <c r="D9" s="65" t="s">
        <v>136</v>
      </c>
      <c r="E9" s="65" t="s">
        <v>137</v>
      </c>
    </row>
    <row r="10" spans="1:10" ht="15.75" thickBot="1">
      <c r="A10" s="66">
        <v>1</v>
      </c>
      <c r="B10" s="68" t="s">
        <v>138</v>
      </c>
      <c r="C10" s="67"/>
      <c r="D10" s="69">
        <v>90</v>
      </c>
      <c r="E10" s="67"/>
    </row>
    <row r="11" spans="1:10" ht="15.75" thickBot="1">
      <c r="A11" s="66">
        <v>2</v>
      </c>
      <c r="B11" s="68" t="s">
        <v>139</v>
      </c>
      <c r="C11" s="67"/>
      <c r="D11" s="69">
        <v>45</v>
      </c>
      <c r="E11" s="67"/>
    </row>
    <row r="12" spans="1:10" ht="15.75" thickBot="1">
      <c r="A12" s="66">
        <v>3</v>
      </c>
      <c r="B12" s="68" t="s">
        <v>140</v>
      </c>
      <c r="C12" s="67"/>
      <c r="D12" s="69">
        <v>15</v>
      </c>
      <c r="E12" s="67"/>
    </row>
    <row r="13" spans="1:10" ht="15.75" thickBot="1">
      <c r="A13" s="70"/>
      <c r="B13" s="71" t="s">
        <v>141</v>
      </c>
      <c r="C13" s="67"/>
      <c r="D13" s="69">
        <v>150</v>
      </c>
      <c r="E13" s="67"/>
    </row>
    <row r="16" spans="1:10">
      <c r="A16" t="s">
        <v>142</v>
      </c>
      <c r="G16" t="s">
        <v>143</v>
      </c>
    </row>
    <row r="17" spans="1:10">
      <c r="A17" s="72" t="s">
        <v>144</v>
      </c>
    </row>
    <row r="18" spans="1:10">
      <c r="A18" t="s">
        <v>145</v>
      </c>
    </row>
    <row r="22" spans="1:10">
      <c r="A22" s="72"/>
    </row>
    <row r="23" spans="1:10">
      <c r="A23" t="s">
        <v>146</v>
      </c>
      <c r="H23" t="s">
        <v>147</v>
      </c>
    </row>
    <row r="24" spans="1:10" ht="15.75">
      <c r="A24" s="73"/>
    </row>
    <row r="25" spans="1:10" ht="15.75">
      <c r="A25" s="73"/>
    </row>
    <row r="26" spans="1:10" ht="21">
      <c r="A26" s="59"/>
    </row>
    <row r="27" spans="1:10" ht="21">
      <c r="A27" s="59" t="s">
        <v>122</v>
      </c>
    </row>
    <row r="28" spans="1:10" ht="15.75">
      <c r="A28" s="60" t="s">
        <v>148</v>
      </c>
      <c r="J28" t="s">
        <v>92</v>
      </c>
    </row>
    <row r="29" spans="1:10">
      <c r="A29" t="s">
        <v>124</v>
      </c>
    </row>
    <row r="30" spans="1:10">
      <c r="A30" s="61" t="s">
        <v>125</v>
      </c>
    </row>
    <row r="31" spans="1:10">
      <c r="A31" t="s">
        <v>126</v>
      </c>
    </row>
    <row r="32" spans="1:10">
      <c r="A32" t="s">
        <v>109</v>
      </c>
      <c r="B32" t="s">
        <v>127</v>
      </c>
      <c r="C32" t="s">
        <v>119</v>
      </c>
    </row>
    <row r="33" spans="1:7">
      <c r="A33" t="s">
        <v>129</v>
      </c>
      <c r="C33" t="s">
        <v>127</v>
      </c>
      <c r="D33" t="s">
        <v>149</v>
      </c>
    </row>
    <row r="34" spans="1:7" ht="15.75" thickBot="1">
      <c r="A34" t="s">
        <v>131</v>
      </c>
      <c r="C34" t="s">
        <v>127</v>
      </c>
      <c r="D34" t="s">
        <v>150</v>
      </c>
    </row>
    <row r="35" spans="1:7" ht="60.75" thickBot="1">
      <c r="A35" s="62" t="s">
        <v>133</v>
      </c>
      <c r="B35" s="63" t="s">
        <v>134</v>
      </c>
      <c r="C35" s="64" t="s">
        <v>135</v>
      </c>
      <c r="D35" s="65" t="s">
        <v>136</v>
      </c>
      <c r="E35" s="65" t="s">
        <v>137</v>
      </c>
    </row>
    <row r="36" spans="1:7" ht="15.75" thickBot="1">
      <c r="A36" s="66">
        <v>1</v>
      </c>
      <c r="B36" s="68" t="s">
        <v>138</v>
      </c>
      <c r="C36" s="67"/>
      <c r="D36" s="69">
        <v>90</v>
      </c>
      <c r="E36" s="67"/>
    </row>
    <row r="37" spans="1:7" ht="15.75" thickBot="1">
      <c r="A37" s="66">
        <v>2</v>
      </c>
      <c r="B37" s="68" t="s">
        <v>139</v>
      </c>
      <c r="C37" s="67"/>
      <c r="D37" s="69">
        <v>45</v>
      </c>
      <c r="E37" s="67"/>
    </row>
    <row r="38" spans="1:7" ht="15.75" thickBot="1">
      <c r="A38" s="66">
        <v>3</v>
      </c>
      <c r="B38" s="68" t="s">
        <v>140</v>
      </c>
      <c r="C38" s="67"/>
      <c r="D38" s="69">
        <v>15</v>
      </c>
      <c r="E38" s="67"/>
    </row>
    <row r="39" spans="1:7" ht="15.75" thickBot="1">
      <c r="A39" s="70"/>
      <c r="B39" s="71" t="s">
        <v>141</v>
      </c>
      <c r="C39" s="67"/>
      <c r="D39" s="69">
        <v>150</v>
      </c>
      <c r="E39" s="67"/>
    </row>
    <row r="42" spans="1:7">
      <c r="A42" t="s">
        <v>142</v>
      </c>
      <c r="G42" t="s">
        <v>143</v>
      </c>
    </row>
    <row r="43" spans="1:7">
      <c r="A43" s="72" t="s">
        <v>144</v>
      </c>
    </row>
    <row r="44" spans="1:7">
      <c r="A44" t="s">
        <v>145</v>
      </c>
    </row>
    <row r="48" spans="1:7">
      <c r="A48" s="72"/>
    </row>
    <row r="49" spans="1:8">
      <c r="A49" t="s">
        <v>146</v>
      </c>
      <c r="H49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FOrmat 1</vt:lpstr>
      <vt:lpstr>Seed producers list </vt:lpstr>
      <vt:lpstr>Growers list</vt:lpstr>
      <vt:lpstr>Seed certification Data</vt:lpstr>
      <vt:lpstr>Rouging </vt:lpstr>
      <vt:lpstr>Mid season Data</vt:lpstr>
      <vt:lpstr>Seed indent </vt:lpstr>
      <vt:lpstr>Seed distbution data</vt:lpstr>
      <vt:lpstr>Invoice Gen</vt:lpstr>
      <vt:lpstr>Invoice SC</vt:lpstr>
      <vt:lpstr>Invoice ST</vt:lpstr>
      <vt:lpstr>UC</vt:lpstr>
      <vt:lpstr>Mandal  wise </vt:lpstr>
      <vt:lpstr>MVK Wise Advance data</vt:lpstr>
      <vt:lpstr>MVK PROCURMENT DATA </vt:lpstr>
      <vt:lpstr>Purchase data </vt:lpstr>
      <vt:lpstr>Sales </vt:lpstr>
      <vt:lpstr>Total Data </vt:lpstr>
      <vt:lpstr>Mandal wise </vt:lpstr>
      <vt:lpstr>incidental Charges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2016-10-10T09:20:42Z</dcterms:modified>
</cp:coreProperties>
</file>