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J:\All Data\57. BNP Trades Tracker\"/>
    </mc:Choice>
  </mc:AlternateContent>
  <xr:revisionPtr revIDLastSave="0" documentId="13_ncr:1_{6C0E935B-BA1F-40D8-8BD4-F7A047D7FF4D}" xr6:coauthVersionLast="47" xr6:coauthVersionMax="47" xr10:uidLastSave="{00000000-0000-0000-0000-000000000000}"/>
  <bookViews>
    <workbookView xWindow="-108" yWindow="-108" windowWidth="23256" windowHeight="12456" tabRatio="842" firstSheet="2" activeTab="8" xr2:uid="{00000000-000D-0000-FFFF-FFFF00000000}"/>
  </bookViews>
  <sheets>
    <sheet name="ACAFP Basis" sheetId="1" r:id="rId1"/>
    <sheet name="EU Defence vs Oil" sheetId="2" r:id="rId2"/>
    <sheet name="EU Insurance CDS RV" sheetId="3" r:id="rId3"/>
    <sheet name="Barclays" sheetId="5" r:id="rId4"/>
    <sheet name="KSA RV" sheetId="8" r:id="rId5"/>
    <sheet name="EU Banks CDS RV" sheetId="9" r:id="rId6"/>
    <sheet name="EU ETF Compression" sheetId="10" r:id="rId7"/>
    <sheet name="US ETF Compression" sheetId="12" r:id="rId8"/>
    <sheet name="US IG Cash Curve" sheetId="14" r:id="rId9"/>
    <sheet name="CDX IG vs SPX Puts" sheetId="16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0" i="9" l="1" a="1"/>
  <c r="C10" i="9"/>
  <c r="E10" i="12" a="1"/>
  <c r="E10" i="12"/>
  <c r="C10" i="12" a="1"/>
  <c r="C10" i="12"/>
  <c r="C10" i="1" a="1"/>
  <c r="C10" i="1"/>
  <c r="E10" i="14" a="1"/>
  <c r="E10" i="14"/>
  <c r="G10" i="12" a="1"/>
  <c r="G10" i="12"/>
  <c r="B10" i="10" a="1"/>
  <c r="B10" i="10"/>
  <c r="B10" i="5" a="1"/>
  <c r="B10" i="5"/>
  <c r="C10" i="16" a="1"/>
  <c r="C10" i="16"/>
  <c r="B10" i="2" a="1"/>
  <c r="B10" i="2"/>
  <c r="B10" i="1" a="1"/>
  <c r="B10" i="1"/>
  <c r="G10" i="14" a="1"/>
  <c r="G10" i="14"/>
  <c r="E10" i="10" a="1"/>
  <c r="E10" i="10"/>
  <c r="D10" i="2" a="1"/>
  <c r="D10" i="2"/>
  <c r="B10" i="8" a="1"/>
  <c r="B10" i="8"/>
  <c r="D10" i="14" a="1"/>
  <c r="D10" i="14"/>
  <c r="F10" i="12" a="1"/>
  <c r="F10" i="12"/>
  <c r="C10" i="3" a="1"/>
  <c r="C10" i="3"/>
  <c r="D10" i="8" a="1"/>
  <c r="D10" i="8"/>
  <c r="C10" i="10" a="1"/>
  <c r="C10" i="10"/>
  <c r="C10" i="5" a="1"/>
  <c r="C10" i="5"/>
  <c r="B10" i="16" a="1"/>
  <c r="B10" i="16"/>
  <c r="C10" i="8" a="1"/>
  <c r="C10" i="8"/>
  <c r="C10" i="2" a="1"/>
  <c r="C10" i="2"/>
  <c r="F10" i="14" a="1"/>
  <c r="F10" i="14"/>
  <c r="D10" i="10" a="1"/>
  <c r="D10" i="10"/>
  <c r="B10" i="14" a="1"/>
  <c r="B10" i="14"/>
  <c r="D10" i="12" a="1"/>
  <c r="D10" i="12"/>
  <c r="E10" i="8" a="1"/>
  <c r="E10" i="8"/>
  <c r="C10" i="14" a="1"/>
  <c r="C10" i="14"/>
  <c r="B10" i="9" a="1"/>
  <c r="B10" i="9"/>
  <c r="B10" i="3" a="1"/>
  <c r="B10" i="3"/>
  <c r="B10" i="12" a="1"/>
  <c r="B10" i="12"/>
  <c r="B46" i="12"/>
  <c r="Q14" i="12"/>
  <c r="N14" i="12"/>
  <c r="K14" i="12"/>
  <c r="E14" i="12"/>
  <c r="J48" i="12" a="1"/>
  <c r="F48" i="12" a="1"/>
  <c r="B48" i="12" a="1"/>
  <c r="L48" i="12" a="1"/>
  <c r="D48" i="12" a="1"/>
  <c r="H48" i="12" a="1"/>
  <c r="H48" i="12" l="1"/>
  <c r="D48" i="12"/>
  <c r="L48" i="12"/>
  <c r="B48" i="12"/>
  <c r="F48" i="12"/>
  <c r="J48" i="12"/>
  <c r="E6" i="12"/>
  <c r="C6" i="12"/>
  <c r="G5" i="12"/>
  <c r="F5" i="12"/>
  <c r="E5" i="12"/>
  <c r="D5" i="12"/>
  <c r="C5" i="12"/>
  <c r="B5" i="12"/>
  <c r="F24" i="12" l="1"/>
  <c r="F21" i="12"/>
  <c r="F25" i="12"/>
  <c r="F19" i="12"/>
  <c r="F16" i="12"/>
  <c r="F23" i="12"/>
  <c r="F18" i="12"/>
  <c r="F27" i="12"/>
  <c r="F31" i="12"/>
  <c r="F15" i="12"/>
  <c r="F28" i="12"/>
  <c r="F32" i="12"/>
  <c r="F26" i="12"/>
  <c r="F30" i="12"/>
  <c r="F20" i="12"/>
  <c r="F22" i="12"/>
  <c r="F29" i="12"/>
  <c r="F17" i="12"/>
  <c r="P19" i="12"/>
  <c r="P21" i="12"/>
  <c r="P32" i="12"/>
  <c r="P22" i="12"/>
  <c r="P17" i="12"/>
  <c r="P18" i="12"/>
  <c r="P30" i="12"/>
  <c r="P31" i="12"/>
  <c r="P16" i="12"/>
  <c r="P27" i="12"/>
  <c r="P24" i="12"/>
  <c r="P33" i="12"/>
  <c r="P26" i="12"/>
  <c r="P28" i="12"/>
  <c r="P23" i="12"/>
  <c r="P15" i="12"/>
  <c r="P25" i="12"/>
  <c r="P20" i="12"/>
  <c r="P29" i="12"/>
  <c r="O27" i="12"/>
  <c r="O19" i="12"/>
  <c r="O22" i="12"/>
  <c r="O32" i="12"/>
  <c r="O17" i="12"/>
  <c r="O29" i="12"/>
  <c r="O26" i="12"/>
  <c r="O20" i="12"/>
  <c r="O25" i="12"/>
  <c r="O30" i="12"/>
  <c r="O15" i="12"/>
  <c r="O24" i="12"/>
  <c r="O18" i="12"/>
  <c r="O16" i="12"/>
  <c r="O28" i="12"/>
  <c r="O21" i="12"/>
  <c r="O23" i="12"/>
  <c r="O31" i="12"/>
  <c r="C32" i="12"/>
  <c r="D27" i="12"/>
  <c r="C24" i="12"/>
  <c r="D31" i="12"/>
  <c r="D28" i="12"/>
  <c r="D23" i="12"/>
  <c r="C15" i="12"/>
  <c r="T15" i="12" s="1"/>
  <c r="C27" i="12"/>
  <c r="D22" i="12"/>
  <c r="C16" i="12"/>
  <c r="D25" i="12"/>
  <c r="C20" i="12"/>
  <c r="C22" i="12"/>
  <c r="D17" i="12"/>
  <c r="D16" i="12"/>
  <c r="C28" i="12"/>
  <c r="C23" i="12"/>
  <c r="C25" i="12"/>
  <c r="C17" i="12"/>
  <c r="C18" i="12"/>
  <c r="D30" i="12"/>
  <c r="D29" i="12"/>
  <c r="C29" i="12"/>
  <c r="D24" i="12"/>
  <c r="D19" i="12"/>
  <c r="C26" i="12"/>
  <c r="D21" i="12"/>
  <c r="C19" i="12"/>
  <c r="D26" i="12"/>
  <c r="D18" i="12"/>
  <c r="C21" i="12"/>
  <c r="D15" i="12"/>
  <c r="D32" i="12"/>
  <c r="C31" i="12"/>
  <c r="D33" i="12"/>
  <c r="D20" i="12"/>
  <c r="C30" i="12"/>
  <c r="L31" i="12"/>
  <c r="L30" i="12"/>
  <c r="L27" i="12"/>
  <c r="L19" i="12"/>
  <c r="L16" i="12"/>
  <c r="L22" i="12"/>
  <c r="L23" i="12"/>
  <c r="L15" i="12"/>
  <c r="L20" i="12"/>
  <c r="L26" i="12"/>
  <c r="L21" i="12"/>
  <c r="L28" i="12"/>
  <c r="L18" i="12"/>
  <c r="L25" i="12"/>
  <c r="L32" i="12"/>
  <c r="L17" i="12"/>
  <c r="L24" i="12"/>
  <c r="L29" i="12"/>
  <c r="G17" i="12"/>
  <c r="G29" i="12"/>
  <c r="G31" i="12"/>
  <c r="G33" i="12"/>
  <c r="G27" i="12"/>
  <c r="G28" i="12"/>
  <c r="G18" i="12"/>
  <c r="G25" i="12"/>
  <c r="G22" i="12"/>
  <c r="G23" i="12"/>
  <c r="G19" i="12"/>
  <c r="G21" i="12"/>
  <c r="G16" i="12"/>
  <c r="G20" i="12"/>
  <c r="G15" i="12"/>
  <c r="G24" i="12"/>
  <c r="G26" i="12"/>
  <c r="G30" i="12"/>
  <c r="G32" i="12"/>
  <c r="I24" i="12"/>
  <c r="J26" i="12"/>
  <c r="I21" i="12"/>
  <c r="J16" i="12"/>
  <c r="J28" i="12"/>
  <c r="I18" i="12"/>
  <c r="I30" i="12"/>
  <c r="J27" i="12"/>
  <c r="I27" i="12"/>
  <c r="J29" i="12"/>
  <c r="J19" i="12"/>
  <c r="J25" i="12"/>
  <c r="J17" i="12"/>
  <c r="I29" i="12"/>
  <c r="J24" i="12"/>
  <c r="J33" i="12"/>
  <c r="J30" i="12"/>
  <c r="I31" i="12"/>
  <c r="I26" i="12"/>
  <c r="I28" i="12"/>
  <c r="I19" i="12"/>
  <c r="I16" i="12"/>
  <c r="J23" i="12"/>
  <c r="I23" i="12"/>
  <c r="I25" i="12"/>
  <c r="I17" i="12"/>
  <c r="J31" i="12"/>
  <c r="J21" i="12"/>
  <c r="J18" i="12"/>
  <c r="J20" i="12"/>
  <c r="J22" i="12"/>
  <c r="J15" i="12"/>
  <c r="I15" i="12"/>
  <c r="J32" i="12"/>
  <c r="I20" i="12"/>
  <c r="I32" i="12"/>
  <c r="I22" i="12"/>
  <c r="R19" i="12"/>
  <c r="S33" i="12"/>
  <c r="S31" i="12"/>
  <c r="S25" i="12"/>
  <c r="S26" i="12"/>
  <c r="S28" i="12"/>
  <c r="S23" i="12"/>
  <c r="S15" i="12"/>
  <c r="S17" i="12"/>
  <c r="S24" i="12"/>
  <c r="S21" i="12"/>
  <c r="S20" i="12"/>
  <c r="S22" i="12"/>
  <c r="S19" i="12"/>
  <c r="S16" i="12"/>
  <c r="S18" i="12"/>
  <c r="S30" i="12"/>
  <c r="S29" i="12"/>
  <c r="S27" i="12"/>
  <c r="S32" i="12"/>
  <c r="R16" i="12"/>
  <c r="R32" i="12"/>
  <c r="R20" i="12"/>
  <c r="R25" i="12"/>
  <c r="R30" i="12"/>
  <c r="R18" i="12"/>
  <c r="R27" i="12"/>
  <c r="R17" i="12"/>
  <c r="R22" i="12"/>
  <c r="R21" i="12"/>
  <c r="R29" i="12"/>
  <c r="R31" i="12"/>
  <c r="R23" i="12"/>
  <c r="R28" i="12"/>
  <c r="R24" i="12"/>
  <c r="R26" i="12"/>
  <c r="R15" i="12"/>
  <c r="M29" i="12"/>
  <c r="M24" i="12"/>
  <c r="M31" i="12"/>
  <c r="M19" i="12"/>
  <c r="M17" i="12"/>
  <c r="M26" i="12"/>
  <c r="M21" i="12"/>
  <c r="M18" i="12"/>
  <c r="M22" i="12"/>
  <c r="M16" i="12"/>
  <c r="M28" i="12"/>
  <c r="M20" i="12"/>
  <c r="M15" i="12"/>
  <c r="M27" i="12"/>
  <c r="M23" i="12"/>
  <c r="M25" i="12"/>
  <c r="M32" i="12"/>
  <c r="M33" i="12"/>
  <c r="M30" i="12"/>
  <c r="J9" i="12"/>
  <c r="K9" i="12"/>
  <c r="T19" i="12" l="1"/>
  <c r="T23" i="12"/>
  <c r="T24" i="12"/>
  <c r="T17" i="12"/>
  <c r="T25" i="12"/>
  <c r="T22" i="12"/>
  <c r="T21" i="12"/>
  <c r="T18" i="12"/>
  <c r="T20" i="12"/>
  <c r="R8" i="12"/>
  <c r="T27" i="12" s="1"/>
  <c r="T32" i="12"/>
  <c r="T26" i="12"/>
  <c r="T16" i="12"/>
  <c r="T29" i="12" l="1"/>
  <c r="T30" i="12"/>
  <c r="T31" i="12"/>
  <c r="T28" i="12"/>
  <c r="V1" i="12"/>
  <c r="I1" i="12"/>
  <c r="M3" i="12" a="1"/>
  <c r="S3" i="12" a="1"/>
  <c r="Z3" i="12" a="1"/>
  <c r="AF3" i="12" a="1"/>
  <c r="AD3" i="12" a="1"/>
  <c r="V3" i="12" a="1"/>
  <c r="AB3" i="12" a="1"/>
  <c r="X3" i="12" a="1"/>
  <c r="K3" i="12" a="1"/>
  <c r="O3" i="12" a="1"/>
  <c r="I3" i="12" a="1"/>
  <c r="Q3" i="12" a="1"/>
  <c r="M3" i="12" l="1"/>
  <c r="S3" i="12"/>
  <c r="Q3" i="12"/>
  <c r="I3" i="12"/>
  <c r="O3" i="12"/>
  <c r="K3" i="12"/>
  <c r="X3" i="12"/>
  <c r="AB3" i="12"/>
  <c r="V3" i="12"/>
  <c r="AD3" i="12"/>
  <c r="AF3" i="12"/>
  <c r="Z3" i="12"/>
  <c r="Q33" i="12"/>
  <c r="R33" i="12" s="1"/>
  <c r="N33" i="12"/>
  <c r="O33" i="12" s="1"/>
  <c r="K33" i="12"/>
  <c r="L33" i="12" s="1"/>
  <c r="H33" i="12"/>
  <c r="I33" i="12" s="1"/>
  <c r="E33" i="12"/>
  <c r="F33" i="12" s="1"/>
  <c r="B33" i="12"/>
  <c r="C33" i="12" s="1"/>
  <c r="T33" i="12" l="1"/>
  <c r="Q14" i="14"/>
  <c r="K14" i="14"/>
  <c r="H14" i="14"/>
  <c r="E14" i="14"/>
  <c r="G6" i="14" l="1"/>
  <c r="C6" i="14"/>
  <c r="G5" i="14"/>
  <c r="F5" i="14"/>
  <c r="E5" i="14"/>
  <c r="D5" i="14"/>
  <c r="C5" i="14"/>
  <c r="B5" i="14"/>
  <c r="X4" i="14"/>
  <c r="W4" i="14"/>
  <c r="W9" i="14" s="1"/>
  <c r="J21" i="14" l="1"/>
  <c r="J16" i="14"/>
  <c r="J23" i="14"/>
  <c r="J18" i="14"/>
  <c r="J20" i="14"/>
  <c r="J22" i="14"/>
  <c r="J24" i="14"/>
  <c r="J15" i="14"/>
  <c r="J17" i="14"/>
  <c r="I24" i="14"/>
  <c r="J25" i="14"/>
  <c r="J19" i="14"/>
  <c r="I19" i="14"/>
  <c r="I16" i="14"/>
  <c r="I17" i="14"/>
  <c r="I22" i="14"/>
  <c r="I15" i="14"/>
  <c r="I20" i="14"/>
  <c r="I21" i="14"/>
  <c r="I18" i="14"/>
  <c r="I23" i="14"/>
  <c r="M16" i="14"/>
  <c r="M23" i="14"/>
  <c r="M18" i="14"/>
  <c r="M20" i="14"/>
  <c r="M15" i="14"/>
  <c r="M19" i="14"/>
  <c r="L19" i="14"/>
  <c r="M21" i="14"/>
  <c r="L24" i="14"/>
  <c r="M25" i="14"/>
  <c r="M24" i="14"/>
  <c r="M17" i="14"/>
  <c r="M22" i="14"/>
  <c r="L21" i="14"/>
  <c r="L17" i="14"/>
  <c r="L22" i="14"/>
  <c r="L20" i="14"/>
  <c r="L18" i="14"/>
  <c r="L15" i="14"/>
  <c r="L23" i="14"/>
  <c r="L16" i="14"/>
  <c r="F19" i="14"/>
  <c r="F24" i="14"/>
  <c r="F22" i="14"/>
  <c r="F21" i="14"/>
  <c r="F17" i="14"/>
  <c r="F15" i="14"/>
  <c r="F20" i="14"/>
  <c r="F18" i="14"/>
  <c r="F23" i="14"/>
  <c r="F16" i="14"/>
  <c r="P23" i="14"/>
  <c r="O23" i="14"/>
  <c r="P18" i="14"/>
  <c r="O18" i="14"/>
  <c r="P20" i="14"/>
  <c r="O20" i="14"/>
  <c r="P15" i="14"/>
  <c r="O15" i="14"/>
  <c r="P17" i="14"/>
  <c r="O19" i="14"/>
  <c r="P21" i="14"/>
  <c r="P16" i="14"/>
  <c r="P25" i="14"/>
  <c r="O22" i="14"/>
  <c r="P22" i="14"/>
  <c r="O17" i="14"/>
  <c r="P19" i="14"/>
  <c r="O24" i="14"/>
  <c r="O21" i="14"/>
  <c r="P24" i="14"/>
  <c r="O16" i="14"/>
  <c r="S25" i="14"/>
  <c r="S23" i="14"/>
  <c r="S18" i="14"/>
  <c r="S20" i="14"/>
  <c r="S15" i="14"/>
  <c r="S22" i="14"/>
  <c r="S19" i="14"/>
  <c r="S21" i="14"/>
  <c r="S17" i="14"/>
  <c r="S16" i="14"/>
  <c r="S24" i="14"/>
  <c r="C19" i="14"/>
  <c r="D21" i="14"/>
  <c r="C21" i="14"/>
  <c r="D16" i="14"/>
  <c r="C16" i="14"/>
  <c r="D23" i="14"/>
  <c r="C23" i="14"/>
  <c r="T23" i="14" s="1"/>
  <c r="D18" i="14"/>
  <c r="C18" i="14"/>
  <c r="T18" i="14" s="1"/>
  <c r="D25" i="14"/>
  <c r="D15" i="14"/>
  <c r="D24" i="14"/>
  <c r="D20" i="14"/>
  <c r="C20" i="14"/>
  <c r="C15" i="14"/>
  <c r="C22" i="14"/>
  <c r="C24" i="14"/>
  <c r="D17" i="14"/>
  <c r="C17" i="14"/>
  <c r="D19" i="14"/>
  <c r="D22" i="14"/>
  <c r="R16" i="14"/>
  <c r="R21" i="14"/>
  <c r="R23" i="14"/>
  <c r="R22" i="14"/>
  <c r="R19" i="14"/>
  <c r="R24" i="14"/>
  <c r="R17" i="14"/>
  <c r="R15" i="14"/>
  <c r="R18" i="14"/>
  <c r="R20" i="14"/>
  <c r="G21" i="14"/>
  <c r="G16" i="14"/>
  <c r="G23" i="14"/>
  <c r="G18" i="14"/>
  <c r="G25" i="14"/>
  <c r="G20" i="14"/>
  <c r="G24" i="14"/>
  <c r="G19" i="14"/>
  <c r="G15" i="14"/>
  <c r="G22" i="14"/>
  <c r="G17" i="14"/>
  <c r="T16" i="14" l="1"/>
  <c r="T21" i="14"/>
  <c r="T19" i="14"/>
  <c r="T24" i="14"/>
  <c r="T17" i="14"/>
  <c r="T20" i="14"/>
  <c r="T22" i="14"/>
  <c r="T15" i="14"/>
  <c r="Z1" i="14"/>
  <c r="I1" i="14"/>
  <c r="K3" i="14" a="1"/>
  <c r="Q3" i="14" a="1"/>
  <c r="I3" i="14" a="1"/>
  <c r="O3" i="14" a="1"/>
  <c r="AJ3" i="14" a="1"/>
  <c r="Z3" i="14" a="1"/>
  <c r="AF3" i="14" a="1"/>
  <c r="AB3" i="14" a="1"/>
  <c r="AH3" i="14" a="1"/>
  <c r="AD3" i="14" a="1"/>
  <c r="M3" i="14" a="1"/>
  <c r="S3" i="14" a="1"/>
  <c r="I3" i="14" l="1"/>
  <c r="Q3" i="14"/>
  <c r="K3" i="14"/>
  <c r="O3" i="14"/>
  <c r="S3" i="14"/>
  <c r="M3" i="14"/>
  <c r="AD3" i="14"/>
  <c r="AH3" i="14"/>
  <c r="AB3" i="14"/>
  <c r="AF3" i="14"/>
  <c r="Z3" i="14"/>
  <c r="AJ3" i="14"/>
  <c r="Q25" i="14"/>
  <c r="R25" i="14" s="1"/>
  <c r="N25" i="14"/>
  <c r="O25" i="14" s="1"/>
  <c r="K25" i="14"/>
  <c r="L25" i="14" s="1"/>
  <c r="H25" i="14"/>
  <c r="I25" i="14" s="1"/>
  <c r="E25" i="14"/>
  <c r="F25" i="14" s="1"/>
  <c r="B25" i="14"/>
  <c r="C25" i="14" s="1"/>
  <c r="T25" i="14" l="1"/>
  <c r="E5" i="10" l="1"/>
  <c r="D5" i="10"/>
  <c r="C5" i="10"/>
  <c r="B5" i="10"/>
  <c r="G16" i="10" l="1"/>
  <c r="F16" i="10"/>
  <c r="G15" i="10"/>
  <c r="F15" i="10"/>
  <c r="G17" i="10"/>
  <c r="J16" i="10"/>
  <c r="I16" i="10"/>
  <c r="J15" i="10"/>
  <c r="I15" i="10"/>
  <c r="J17" i="10"/>
  <c r="D17" i="10"/>
  <c r="D16" i="10"/>
  <c r="C16" i="10"/>
  <c r="D15" i="10"/>
  <c r="C15" i="10"/>
  <c r="M16" i="10"/>
  <c r="L16" i="10"/>
  <c r="M15" i="10"/>
  <c r="L15" i="10"/>
  <c r="M17" i="10"/>
  <c r="N15" i="10" l="1"/>
  <c r="N16" i="10"/>
  <c r="P1" i="10"/>
  <c r="G1" i="10"/>
  <c r="M3" i="10" a="1"/>
  <c r="G3" i="10" a="1"/>
  <c r="K3" i="10" a="1"/>
  <c r="T3" i="10" a="1"/>
  <c r="P3" i="10" a="1"/>
  <c r="R3" i="10" a="1"/>
  <c r="V3" i="10" a="1"/>
  <c r="I3" i="10" a="1"/>
  <c r="M3" i="10" l="1"/>
  <c r="K3" i="10"/>
  <c r="G3" i="10"/>
  <c r="I3" i="10"/>
  <c r="V3" i="10"/>
  <c r="R3" i="10"/>
  <c r="P3" i="10"/>
  <c r="T3" i="10"/>
  <c r="K17" i="10"/>
  <c r="L17" i="10" s="1"/>
  <c r="H17" i="10"/>
  <c r="I17" i="10" s="1"/>
  <c r="E17" i="10"/>
  <c r="F17" i="10" s="1"/>
  <c r="B17" i="10"/>
  <c r="C17" i="10" s="1"/>
  <c r="N17" i="10" l="1"/>
  <c r="F15" i="16"/>
  <c r="B5" i="16" l="1"/>
  <c r="D15" i="16" l="1"/>
  <c r="C15" i="16"/>
  <c r="G15" i="16" s="1"/>
  <c r="E1" i="16"/>
  <c r="E3" i="16" a="1"/>
  <c r="G3" i="16" a="1"/>
  <c r="E3" i="16" l="1"/>
  <c r="G3" i="16"/>
  <c r="C19" i="9" l="1"/>
  <c r="D19" i="9"/>
  <c r="F19" i="9"/>
  <c r="G19" i="9"/>
  <c r="C21" i="8"/>
  <c r="D21" i="8"/>
  <c r="F21" i="8"/>
  <c r="G21" i="8"/>
  <c r="I21" i="8"/>
  <c r="J21" i="8"/>
  <c r="L21" i="8"/>
  <c r="M21" i="8"/>
  <c r="C22" i="5"/>
  <c r="D22" i="5"/>
  <c r="F22" i="5"/>
  <c r="G22" i="5"/>
  <c r="C25" i="3"/>
  <c r="H25" i="3" s="1"/>
  <c r="D25" i="3"/>
  <c r="F25" i="3"/>
  <c r="G25" i="3"/>
  <c r="C26" i="2"/>
  <c r="D26" i="2"/>
  <c r="F26" i="2"/>
  <c r="G26" i="2"/>
  <c r="I26" i="2"/>
  <c r="J26" i="2"/>
  <c r="C42" i="1"/>
  <c r="D42" i="1"/>
  <c r="E42" i="1"/>
  <c r="G42" i="1"/>
  <c r="H42" i="1"/>
  <c r="H19" i="9" l="1"/>
  <c r="N21" i="8"/>
  <c r="H22" i="5"/>
  <c r="K26" i="2"/>
  <c r="I42" i="1"/>
  <c r="C18" i="9"/>
  <c r="D18" i="9"/>
  <c r="F18" i="9"/>
  <c r="G18" i="9"/>
  <c r="C20" i="8"/>
  <c r="D20" i="8"/>
  <c r="F20" i="8"/>
  <c r="G20" i="8"/>
  <c r="I20" i="8"/>
  <c r="J20" i="8"/>
  <c r="L20" i="8"/>
  <c r="M20" i="8"/>
  <c r="C21" i="5"/>
  <c r="D21" i="5"/>
  <c r="F21" i="5"/>
  <c r="G21" i="5"/>
  <c r="C24" i="3"/>
  <c r="D24" i="3"/>
  <c r="F24" i="3"/>
  <c r="G24" i="3"/>
  <c r="C25" i="2"/>
  <c r="D25" i="2"/>
  <c r="F25" i="2"/>
  <c r="G25" i="2"/>
  <c r="I25" i="2"/>
  <c r="J25" i="2"/>
  <c r="E41" i="1"/>
  <c r="G41" i="1"/>
  <c r="H41" i="1"/>
  <c r="H18" i="9" l="1"/>
  <c r="N20" i="8"/>
  <c r="H21" i="5"/>
  <c r="H24" i="3"/>
  <c r="K25" i="2"/>
  <c r="E1" i="9" l="1"/>
  <c r="C17" i="9"/>
  <c r="D17" i="9"/>
  <c r="F17" i="9"/>
  <c r="G17" i="9"/>
  <c r="C19" i="8"/>
  <c r="D19" i="8"/>
  <c r="F19" i="8"/>
  <c r="G19" i="8"/>
  <c r="I19" i="8"/>
  <c r="J19" i="8"/>
  <c r="L19" i="8"/>
  <c r="M19" i="8"/>
  <c r="C20" i="5"/>
  <c r="D20" i="5"/>
  <c r="F20" i="5"/>
  <c r="G20" i="5"/>
  <c r="C23" i="3"/>
  <c r="D23" i="3"/>
  <c r="F23" i="3"/>
  <c r="G23" i="3"/>
  <c r="I24" i="2"/>
  <c r="K24" i="2" s="1"/>
  <c r="J24" i="2"/>
  <c r="F24" i="2"/>
  <c r="G24" i="2"/>
  <c r="C24" i="2"/>
  <c r="D24" i="2"/>
  <c r="G40" i="1"/>
  <c r="H40" i="1"/>
  <c r="E40" i="1"/>
  <c r="E3" i="9" a="1"/>
  <c r="G3" i="9" a="1"/>
  <c r="G3" i="9" l="1"/>
  <c r="E3" i="9"/>
  <c r="H23" i="3"/>
  <c r="H17" i="9"/>
  <c r="N19" i="8"/>
  <c r="H20" i="5"/>
  <c r="G16" i="9" l="1"/>
  <c r="F16" i="9"/>
  <c r="H16" i="9" s="1"/>
  <c r="C16" i="9"/>
  <c r="D16" i="9"/>
  <c r="L18" i="8"/>
  <c r="M18" i="8"/>
  <c r="I18" i="8"/>
  <c r="J18" i="8"/>
  <c r="F18" i="8"/>
  <c r="G18" i="8"/>
  <c r="C18" i="8"/>
  <c r="D18" i="8"/>
  <c r="G19" i="5"/>
  <c r="F19" i="5"/>
  <c r="D19" i="5"/>
  <c r="C19" i="5"/>
  <c r="G22" i="3"/>
  <c r="F22" i="3"/>
  <c r="D22" i="3"/>
  <c r="C22" i="3"/>
  <c r="J23" i="2"/>
  <c r="G23" i="2"/>
  <c r="I23" i="2"/>
  <c r="F23" i="2"/>
  <c r="D23" i="2"/>
  <c r="C23" i="2"/>
  <c r="H39" i="1"/>
  <c r="E39" i="1"/>
  <c r="G39" i="1"/>
  <c r="L17" i="8"/>
  <c r="M17" i="8"/>
  <c r="I17" i="8"/>
  <c r="J17" i="8"/>
  <c r="F17" i="8"/>
  <c r="G17" i="8"/>
  <c r="C17" i="8"/>
  <c r="D17" i="8"/>
  <c r="F18" i="5"/>
  <c r="G18" i="5"/>
  <c r="C18" i="5"/>
  <c r="D18" i="5"/>
  <c r="G21" i="3"/>
  <c r="D21" i="3"/>
  <c r="F21" i="3"/>
  <c r="C21" i="3"/>
  <c r="J22" i="2"/>
  <c r="G22" i="2"/>
  <c r="D22" i="2"/>
  <c r="I22" i="2"/>
  <c r="F22" i="2"/>
  <c r="C22" i="2"/>
  <c r="H38" i="1"/>
  <c r="E38" i="1"/>
  <c r="G38" i="1"/>
  <c r="C5" i="9"/>
  <c r="G15" i="9"/>
  <c r="F15" i="9"/>
  <c r="B5" i="9"/>
  <c r="L16" i="8"/>
  <c r="M16" i="8"/>
  <c r="I16" i="8"/>
  <c r="J16" i="8"/>
  <c r="F16" i="8"/>
  <c r="G16" i="8"/>
  <c r="C16" i="8"/>
  <c r="D16" i="8"/>
  <c r="F17" i="5"/>
  <c r="G17" i="5"/>
  <c r="C17" i="5"/>
  <c r="D17" i="5"/>
  <c r="G20" i="3"/>
  <c r="F20" i="3"/>
  <c r="D20" i="3"/>
  <c r="C20" i="3"/>
  <c r="J21" i="2"/>
  <c r="G21" i="2"/>
  <c r="D21" i="2"/>
  <c r="I21" i="2"/>
  <c r="F21" i="2"/>
  <c r="C21" i="2"/>
  <c r="H37" i="1"/>
  <c r="G37" i="1"/>
  <c r="E37" i="1"/>
  <c r="N18" i="8" l="1"/>
  <c r="H19" i="5"/>
  <c r="H22" i="3"/>
  <c r="K23" i="2"/>
  <c r="N17" i="8"/>
  <c r="H18" i="5"/>
  <c r="H21" i="3"/>
  <c r="K22" i="2"/>
  <c r="N16" i="8"/>
  <c r="H17" i="5"/>
  <c r="H20" i="3"/>
  <c r="K21" i="2"/>
  <c r="C15" i="9"/>
  <c r="D15" i="9"/>
  <c r="H15" i="9" l="1"/>
  <c r="M15" i="8"/>
  <c r="L15" i="8"/>
  <c r="J15" i="8"/>
  <c r="I15" i="8"/>
  <c r="G15" i="8"/>
  <c r="F15" i="8"/>
  <c r="D15" i="8"/>
  <c r="C15" i="8"/>
  <c r="H15" i="5"/>
  <c r="F16" i="5"/>
  <c r="G16" i="5"/>
  <c r="D16" i="5"/>
  <c r="D15" i="5"/>
  <c r="C16" i="5"/>
  <c r="F19" i="3"/>
  <c r="G19" i="3"/>
  <c r="D19" i="3"/>
  <c r="C19" i="3"/>
  <c r="J20" i="2"/>
  <c r="G20" i="2"/>
  <c r="D20" i="2"/>
  <c r="I20" i="2"/>
  <c r="F20" i="2"/>
  <c r="C20" i="2"/>
  <c r="H36" i="1"/>
  <c r="E36" i="1"/>
  <c r="G36" i="1"/>
  <c r="E5" i="8"/>
  <c r="D5" i="8"/>
  <c r="C5" i="8"/>
  <c r="N15" i="8" l="1"/>
  <c r="H16" i="5"/>
  <c r="H19" i="3"/>
  <c r="K20" i="2"/>
  <c r="B5" i="8"/>
  <c r="G1" i="8"/>
  <c r="M3" i="8" a="1"/>
  <c r="G3" i="8" a="1"/>
  <c r="I3" i="8" a="1"/>
  <c r="K3" i="8" a="1"/>
  <c r="M3" i="8" l="1"/>
  <c r="G3" i="8"/>
  <c r="K3" i="8"/>
  <c r="I3" i="8"/>
  <c r="G15" i="5"/>
  <c r="F15" i="5"/>
  <c r="C15" i="5"/>
  <c r="F18" i="3"/>
  <c r="G18" i="3"/>
  <c r="C18" i="3"/>
  <c r="D18" i="3"/>
  <c r="J19" i="2"/>
  <c r="G19" i="2"/>
  <c r="D19" i="2"/>
  <c r="I19" i="2"/>
  <c r="F19" i="2"/>
  <c r="C19" i="2"/>
  <c r="H35" i="1"/>
  <c r="E35" i="1"/>
  <c r="G35" i="1"/>
  <c r="C5" i="5"/>
  <c r="B5" i="5"/>
  <c r="E1" i="5"/>
  <c r="E3" i="5" a="1"/>
  <c r="G3" i="5" a="1"/>
  <c r="E3" i="5" l="1"/>
  <c r="G3" i="5"/>
  <c r="H18" i="3"/>
  <c r="K19" i="2"/>
  <c r="F17" i="3"/>
  <c r="G17" i="3"/>
  <c r="C17" i="3"/>
  <c r="H17" i="3" s="1"/>
  <c r="D17" i="3"/>
  <c r="C18" i="2"/>
  <c r="I18" i="2"/>
  <c r="J18" i="2"/>
  <c r="F18" i="2"/>
  <c r="G18" i="2"/>
  <c r="D18" i="2"/>
  <c r="H34" i="1"/>
  <c r="E34" i="1"/>
  <c r="G34" i="1"/>
  <c r="D16" i="3"/>
  <c r="K18" i="2" l="1"/>
  <c r="H15" i="3"/>
  <c r="G16" i="3"/>
  <c r="G15" i="3"/>
  <c r="F16" i="3"/>
  <c r="C16" i="3"/>
  <c r="C5" i="3"/>
  <c r="H16" i="3" l="1"/>
  <c r="B5" i="3"/>
  <c r="E1" i="3" l="1"/>
  <c r="K16" i="2"/>
  <c r="J16" i="2"/>
  <c r="J17" i="2"/>
  <c r="J15" i="2"/>
  <c r="I16" i="2"/>
  <c r="I17" i="2"/>
  <c r="F16" i="2"/>
  <c r="G16" i="2"/>
  <c r="F17" i="2"/>
  <c r="G17" i="2"/>
  <c r="C16" i="2"/>
  <c r="D16" i="2"/>
  <c r="C17" i="2"/>
  <c r="D17" i="2"/>
  <c r="F1" i="2"/>
  <c r="H32" i="1"/>
  <c r="H33" i="1"/>
  <c r="E31" i="1"/>
  <c r="E32" i="1"/>
  <c r="E33" i="1"/>
  <c r="G33" i="1"/>
  <c r="G32" i="1"/>
  <c r="L1" i="1"/>
  <c r="H3" i="2" a="1"/>
  <c r="F3" i="2" a="1"/>
  <c r="J3" i="2" a="1"/>
  <c r="L3" i="1" a="1"/>
  <c r="N3" i="1" a="1"/>
  <c r="G3" i="3" a="1"/>
  <c r="E3" i="3" a="1"/>
  <c r="H3" i="2" l="1"/>
  <c r="N3" i="1"/>
  <c r="L3" i="1"/>
  <c r="J3" i="2"/>
  <c r="F3" i="2"/>
  <c r="E3" i="3"/>
  <c r="G3" i="3"/>
  <c r="K17" i="2"/>
  <c r="C15" i="3"/>
  <c r="D15" i="3" l="1"/>
  <c r="F15" i="3"/>
  <c r="I15" i="2" l="1"/>
  <c r="G15" i="2"/>
  <c r="D15" i="2"/>
  <c r="C15" i="2"/>
  <c r="H16" i="1"/>
  <c r="H17" i="1"/>
  <c r="H18" i="1"/>
  <c r="H19" i="1"/>
  <c r="H20" i="1"/>
  <c r="H21" i="1"/>
  <c r="H22" i="1"/>
  <c r="H23" i="1"/>
  <c r="H24" i="1"/>
  <c r="H25" i="1"/>
  <c r="H26" i="1"/>
  <c r="H28" i="1"/>
  <c r="H29" i="1"/>
  <c r="H30" i="1"/>
  <c r="H31" i="1"/>
  <c r="H15" i="1"/>
  <c r="G16" i="1"/>
  <c r="G17" i="1"/>
  <c r="G18" i="1"/>
  <c r="G19" i="1"/>
  <c r="G20" i="1"/>
  <c r="G21" i="1"/>
  <c r="G22" i="1"/>
  <c r="G23" i="1"/>
  <c r="G24" i="1"/>
  <c r="G25" i="1"/>
  <c r="G26" i="1"/>
  <c r="G28" i="1"/>
  <c r="G29" i="1"/>
  <c r="G30" i="1"/>
  <c r="G31" i="1"/>
  <c r="G15" i="1"/>
  <c r="K15" i="2" l="1"/>
  <c r="I3" i="1"/>
  <c r="J4" i="1" s="1"/>
  <c r="G6" i="1" s="1"/>
  <c r="E16" i="1"/>
  <c r="E17" i="1"/>
  <c r="E18" i="1"/>
  <c r="E19" i="1"/>
  <c r="E20" i="1"/>
  <c r="E21" i="1"/>
  <c r="E22" i="1"/>
  <c r="E23" i="1"/>
  <c r="E24" i="1"/>
  <c r="E25" i="1"/>
  <c r="E26" i="1"/>
  <c r="E28" i="1"/>
  <c r="E29" i="1"/>
  <c r="E30" i="1"/>
  <c r="E15" i="1"/>
  <c r="D18" i="1"/>
  <c r="I18" i="1" s="1"/>
  <c r="D19" i="1"/>
  <c r="I19" i="1" s="1"/>
  <c r="D20" i="1"/>
  <c r="I20" i="1" s="1"/>
  <c r="D21" i="1"/>
  <c r="I21" i="1" s="1"/>
  <c r="D22" i="1"/>
  <c r="I22" i="1" s="1"/>
  <c r="D23" i="1"/>
  <c r="I23" i="1" s="1"/>
  <c r="D24" i="1"/>
  <c r="I24" i="1" s="1"/>
  <c r="D25" i="1"/>
  <c r="I25" i="1" s="1"/>
  <c r="D26" i="1"/>
  <c r="I26" i="1" s="1"/>
  <c r="D16" i="1"/>
  <c r="I16" i="1" s="1"/>
  <c r="D17" i="1"/>
  <c r="I17" i="1" s="1"/>
  <c r="D15" i="1"/>
  <c r="I15" i="1" s="1"/>
  <c r="F15" i="2"/>
  <c r="C41" i="1" l="1"/>
  <c r="D41" i="1" s="1"/>
  <c r="I41" i="1" s="1"/>
  <c r="C40" i="1"/>
  <c r="D40" i="1" s="1"/>
  <c r="I40" i="1" s="1"/>
  <c r="C37" i="1"/>
  <c r="D37" i="1" s="1"/>
  <c r="I37" i="1" s="1"/>
  <c r="C38" i="1"/>
  <c r="D38" i="1" s="1"/>
  <c r="I38" i="1" s="1"/>
  <c r="C39" i="1"/>
  <c r="D39" i="1" s="1"/>
  <c r="I39" i="1" s="1"/>
  <c r="C36" i="1"/>
  <c r="D36" i="1" s="1"/>
  <c r="I36" i="1" s="1"/>
  <c r="C35" i="1"/>
  <c r="D35" i="1" s="1"/>
  <c r="I35" i="1" s="1"/>
  <c r="C34" i="1"/>
  <c r="D34" i="1" s="1"/>
  <c r="I34" i="1" s="1"/>
  <c r="C33" i="1"/>
  <c r="D33" i="1" s="1"/>
  <c r="I33" i="1" s="1"/>
  <c r="C32" i="1"/>
  <c r="D32" i="1" s="1"/>
  <c r="I32" i="1" s="1"/>
  <c r="C29" i="1"/>
  <c r="D29" i="1" s="1"/>
  <c r="I29" i="1" s="1"/>
  <c r="C30" i="1"/>
  <c r="D30" i="1" s="1"/>
  <c r="I30" i="1" s="1"/>
  <c r="C31" i="1"/>
  <c r="D31" i="1" s="1"/>
  <c r="I31" i="1" s="1"/>
  <c r="C28" i="1"/>
  <c r="D28" i="1" s="1"/>
  <c r="I28" i="1" s="1"/>
  <c r="D5" i="2" l="1"/>
  <c r="C5" i="2"/>
  <c r="B5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<sst xmlns="http://schemas.openxmlformats.org/spreadsheetml/2006/main" count="454" uniqueCount="88">
  <si>
    <t>Long Risk</t>
  </si>
  <si>
    <t>Short Risk</t>
  </si>
  <si>
    <t>CDS Roll:</t>
  </si>
  <si>
    <t>Delta</t>
  </si>
  <si>
    <t>Val on 9/22</t>
  </si>
  <si>
    <t>ACAFP CDS Sub EUR 5Y</t>
  </si>
  <si>
    <t>$ACAFP 6.7% 34 AT1</t>
  </si>
  <si>
    <t>SubFin S43</t>
  </si>
  <si>
    <t>Not'l=</t>
  </si>
  <si>
    <t>Old ACAFP SUB CDS Series</t>
  </si>
  <si>
    <t>Carry=</t>
  </si>
  <si>
    <t>New ACAFP SUB CDS Series</t>
  </si>
  <si>
    <t>Financing Rate=</t>
  </si>
  <si>
    <t>Non-economic sprd =</t>
  </si>
  <si>
    <t>Initial Duration=</t>
  </si>
  <si>
    <t>EUR/USD=</t>
  </si>
  <si>
    <t>Net P/L</t>
  </si>
  <si>
    <t>Price</t>
  </si>
  <si>
    <t>Roll Adj Sprd</t>
  </si>
  <si>
    <t>Sprd P/L</t>
  </si>
  <si>
    <t>Carry P/L</t>
  </si>
  <si>
    <t>Price P/L</t>
  </si>
  <si>
    <t>Roll</t>
  </si>
  <si>
    <t>Date</t>
  </si>
  <si>
    <t>-</t>
  </si>
  <si>
    <t>Sprd</t>
  </si>
  <si>
    <t>LDOIM CDS EUR SR 5Y D14 Corp</t>
  </si>
  <si>
    <t>HOFP CDS EUR SR 5Y D14 Corp</t>
  </si>
  <si>
    <t>ENIIM CDS EUR SR 5Y D14 Corp</t>
  </si>
  <si>
    <t>Live BBG PX=</t>
  </si>
  <si>
    <t>Leonardo</t>
  </si>
  <si>
    <t>Thales</t>
  </si>
  <si>
    <t>Eni</t>
  </si>
  <si>
    <t>Name=</t>
  </si>
  <si>
    <t>BBG Ticker=</t>
  </si>
  <si>
    <t>LCL SA CDS EUR SUB 5Y D14 Corp</t>
  </si>
  <si>
    <t>ACAFP 6.7 PERP REGS Corp</t>
  </si>
  <si>
    <t>Aviva</t>
  </si>
  <si>
    <t>Zurich Insurance</t>
  </si>
  <si>
    <t>AVLN CDS EUR SR 5Y D14 Corp</t>
  </si>
  <si>
    <t>ZURNVXINS CDS EUR SR 5Y D14 Corp</t>
  </si>
  <si>
    <t>BACR 4 ⅜ PERP Corp</t>
  </si>
  <si>
    <t>BACR 7 ⅝ PERP Corp</t>
  </si>
  <si>
    <t>US06738EBT10 Corp</t>
  </si>
  <si>
    <t>US06738EDC66 Corp</t>
  </si>
  <si>
    <t>KSA 4.875% 35</t>
  </si>
  <si>
    <t>T 4.25% 08/15/35</t>
  </si>
  <si>
    <t>PIFKSA 5.375% 54</t>
  </si>
  <si>
    <t>T 4.75% 05/15/55</t>
  </si>
  <si>
    <t>YL816138@IBVL Corp</t>
  </si>
  <si>
    <t>91282CNC@BGN Govt</t>
  </si>
  <si>
    <t>ZF486828@IBVL Corp</t>
  </si>
  <si>
    <t>912810UK@BGN Govt</t>
  </si>
  <si>
    <t>Rabobank</t>
  </si>
  <si>
    <t>Mediobanca</t>
  </si>
  <si>
    <t>RABOBK CDS EUR SUB 5Y D14 Corp</t>
  </si>
  <si>
    <t>BACRED CDS EUR SR 5Y D14 Corp</t>
  </si>
  <si>
    <t>IHYG</t>
  </si>
  <si>
    <t>OBL 2.4% 28</t>
  </si>
  <si>
    <t>IEAC</t>
  </si>
  <si>
    <t>OBL 2.2% 30</t>
  </si>
  <si>
    <t>IHYG LN EQUITY</t>
  </si>
  <si>
    <t>IEAC LN EQUITY</t>
  </si>
  <si>
    <t>ZK885444@BGN Corp</t>
  </si>
  <si>
    <t>YN961570@BGN Corp</t>
  </si>
  <si>
    <t>HYG</t>
  </si>
  <si>
    <t>HYG US EQUITY</t>
  </si>
  <si>
    <t>CT5</t>
  </si>
  <si>
    <t>LQD</t>
  </si>
  <si>
    <t>CT10</t>
  </si>
  <si>
    <t>CT30</t>
  </si>
  <si>
    <t>LQD US EQUITY</t>
  </si>
  <si>
    <t>912810UM@BGN Govt</t>
  </si>
  <si>
    <t>91282CNT@BGN Govt</t>
  </si>
  <si>
    <t>91282CNX@BGN Govt</t>
  </si>
  <si>
    <t>VCIT</t>
  </si>
  <si>
    <t>VCIT US EQUITY</t>
  </si>
  <si>
    <t>CT7</t>
  </si>
  <si>
    <t>91282CNZ@BGN Govt</t>
  </si>
  <si>
    <t>91282CPA@BGN Govt</t>
  </si>
  <si>
    <t>Div:</t>
  </si>
  <si>
    <t>Units Held:</t>
  </si>
  <si>
    <t>Net Div Effect:</t>
  </si>
  <si>
    <t>s</t>
  </si>
  <si>
    <t>CDX IG 5Y</t>
  </si>
  <si>
    <t>SPX</t>
  </si>
  <si>
    <t>CDX IG CDSI GEN 5Y CORP</t>
  </si>
  <si>
    <t>SPX US 12/19/25 P6750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</si>
</sst>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  <numFmt numFmtId="165" formatCode="0.000%"/>
    <numFmt numFmtId="166" formatCode="0.000"/>
  </numFmts>
  <fonts count="6" x14ac:knownFonts="1">
    <font>
      <sz val="11"/>
      <color theme="1"/>
      <name val="Calibri"/>
      <family val="2"/>
      <scheme val="minor"/>
    </font>
    <font>
      <sz val="11"/>
      <color rgb="FF000000"/>
      <name val="Aptos Narrow"/>
      <family val="2"/>
    </font>
    <font>
      <b/>
      <sz val="11"/>
      <color rgb="FF000000"/>
      <name val="Aptos Narrow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Aptos Narrow"/>
      <family val="2"/>
    </font>
  </fonts>
  <fills count="10">
    <fill>
      <patternFill patternType="none"/>
    </fill>
    <fill>
      <patternFill patternType="gray125"/>
    </fill>
    <fill>
      <patternFill patternType="solid">
        <fgColor rgb="FFB5E6A2"/>
        <bgColor rgb="FF000000"/>
      </patternFill>
    </fill>
    <fill>
      <patternFill patternType="solid">
        <fgColor rgb="FFF5C6AB"/>
        <bgColor rgb="FF000000"/>
      </patternFill>
    </fill>
    <fill>
      <patternFill patternType="solid">
        <fgColor rgb="FFF1A983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rgb="FF000000"/>
      </patternFill>
    </fill>
    <fill>
      <patternFill patternType="solid">
        <fgColor theme="5" tint="0.59999389629810485"/>
        <bgColor rgb="FF000000"/>
      </patternFill>
    </fill>
    <fill>
      <patternFill patternType="solid">
        <fgColor theme="2" tint="-0.249977111117893"/>
        <bgColor rgb="FF000000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131">
    <xf numFmtId="0" fontId="0" fillId="0" borderId="0" xfId="0"/>
    <xf numFmtId="0" fontId="1" fillId="0" borderId="0" xfId="0" applyFont="1" applyAlignment="1">
      <alignment horizontal="center" vertical="center"/>
    </xf>
    <xf numFmtId="16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/>
    </xf>
    <xf numFmtId="164" fontId="1" fillId="0" borderId="3" xfId="0" applyNumberFormat="1" applyFont="1" applyBorder="1" applyAlignment="1">
      <alignment horizontal="center" vertical="center"/>
    </xf>
    <xf numFmtId="9" fontId="1" fillId="0" borderId="0" xfId="0" applyNumberFormat="1" applyFont="1" applyAlignment="1">
      <alignment horizontal="center" vertical="center"/>
    </xf>
    <xf numFmtId="10" fontId="1" fillId="0" borderId="3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164" fontId="1" fillId="0" borderId="8" xfId="0" applyNumberFormat="1" applyFont="1" applyBorder="1" applyAlignment="1">
      <alignment horizontal="center" vertical="center"/>
    </xf>
    <xf numFmtId="9" fontId="1" fillId="0" borderId="8" xfId="0" applyNumberFormat="1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16" fontId="1" fillId="0" borderId="10" xfId="0" applyNumberFormat="1" applyFont="1" applyBorder="1" applyAlignment="1">
      <alignment horizontal="center" vertical="center"/>
    </xf>
    <xf numFmtId="16" fontId="1" fillId="0" borderId="12" xfId="0" applyNumberFormat="1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1" fontId="1" fillId="0" borderId="3" xfId="0" applyNumberFormat="1" applyFont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5" fontId="1" fillId="0" borderId="8" xfId="0" applyNumberFormat="1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" fontId="1" fillId="0" borderId="8" xfId="0" applyNumberFormat="1" applyFont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9" fontId="1" fillId="0" borderId="3" xfId="0" applyNumberFormat="1" applyFont="1" applyBorder="1" applyAlignment="1">
      <alignment horizontal="center" vertical="center"/>
    </xf>
    <xf numFmtId="0" fontId="2" fillId="7" borderId="12" xfId="0" applyFont="1" applyFill="1" applyBorder="1" applyAlignment="1">
      <alignment horizontal="center" vertical="center"/>
    </xf>
    <xf numFmtId="2" fontId="1" fillId="0" borderId="2" xfId="0" applyNumberFormat="1" applyFont="1" applyBorder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2" fontId="1" fillId="0" borderId="3" xfId="0" applyNumberFormat="1" applyFont="1" applyBorder="1" applyAlignment="1">
      <alignment horizontal="center" vertical="center"/>
    </xf>
    <xf numFmtId="2" fontId="1" fillId="0" borderId="4" xfId="0" applyNumberFormat="1" applyFont="1" applyBorder="1" applyAlignment="1">
      <alignment horizontal="center" vertical="center"/>
    </xf>
    <xf numFmtId="1" fontId="1" fillId="0" borderId="5" xfId="0" applyNumberFormat="1" applyFont="1" applyBorder="1" applyAlignment="1">
      <alignment horizontal="center" vertical="center"/>
    </xf>
    <xf numFmtId="1" fontId="1" fillId="0" borderId="6" xfId="0" applyNumberFormat="1" applyFont="1" applyBorder="1" applyAlignment="1">
      <alignment horizontal="center" vertical="center"/>
    </xf>
    <xf numFmtId="1" fontId="1" fillId="0" borderId="9" xfId="0" applyNumberFormat="1" applyFont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8" xfId="0" applyBorder="1" applyAlignment="1">
      <alignment horizontal="center"/>
    </xf>
    <xf numFmtId="2" fontId="0" fillId="0" borderId="2" xfId="0" applyNumberFormat="1" applyBorder="1" applyAlignment="1">
      <alignment horizontal="center"/>
    </xf>
    <xf numFmtId="1" fontId="0" fillId="0" borderId="0" xfId="0" applyNumberFormat="1" applyAlignment="1">
      <alignment horizontal="center"/>
    </xf>
    <xf numFmtId="1" fontId="0" fillId="0" borderId="3" xfId="0" applyNumberFormat="1" applyBorder="1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2" xfId="0" applyNumberFormat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" fontId="0" fillId="0" borderId="3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65" fontId="1" fillId="0" borderId="3" xfId="0" applyNumberFormat="1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164" fontId="1" fillId="0" borderId="2" xfId="0" applyNumberFormat="1" applyFont="1" applyBorder="1" applyAlignment="1">
      <alignment horizontal="center" vertical="center"/>
    </xf>
    <xf numFmtId="165" fontId="1" fillId="0" borderId="2" xfId="0" applyNumberFormat="1" applyFont="1" applyBorder="1" applyAlignment="1">
      <alignment horizontal="center" vertical="center"/>
    </xf>
    <xf numFmtId="10" fontId="1" fillId="0" borderId="2" xfId="0" applyNumberFormat="1" applyFont="1" applyBorder="1" applyAlignment="1">
      <alignment horizontal="center" vertical="center"/>
    </xf>
    <xf numFmtId="1" fontId="0" fillId="0" borderId="5" xfId="0" applyNumberFormat="1" applyBorder="1" applyAlignment="1">
      <alignment horizontal="center" vertical="center"/>
    </xf>
    <xf numFmtId="44" fontId="0" fillId="0" borderId="0" xfId="0" applyNumberFormat="1" applyAlignment="1">
      <alignment horizontal="center" vertical="center"/>
    </xf>
    <xf numFmtId="0" fontId="2" fillId="8" borderId="12" xfId="0" applyFont="1" applyFill="1" applyBorder="1" applyAlignment="1">
      <alignment horizontal="center" vertical="center"/>
    </xf>
    <xf numFmtId="0" fontId="2" fillId="9" borderId="11" xfId="0" applyFont="1" applyFill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10" fontId="1" fillId="0" borderId="0" xfId="0" applyNumberFormat="1" applyFont="1" applyAlignment="1">
      <alignment horizontal="center" vertical="center"/>
    </xf>
    <xf numFmtId="14" fontId="0" fillId="0" borderId="0" xfId="0" applyNumberFormat="1" applyAlignment="1">
      <alignment horizontal="center"/>
    </xf>
    <xf numFmtId="166" fontId="1" fillId="0" borderId="2" xfId="0" applyNumberFormat="1" applyFont="1" applyBorder="1" applyAlignment="1">
      <alignment horizontal="center" vertical="center"/>
    </xf>
    <xf numFmtId="0" fontId="2" fillId="5" borderId="12" xfId="0" applyFont="1" applyFill="1" applyBorder="1" applyAlignment="1">
      <alignment horizontal="center" vertical="center"/>
    </xf>
    <xf numFmtId="14" fontId="1" fillId="0" borderId="5" xfId="0" applyNumberFormat="1" applyFont="1" applyBorder="1" applyAlignment="1">
      <alignment horizontal="center" vertical="center"/>
    </xf>
    <xf numFmtId="14" fontId="1" fillId="0" borderId="4" xfId="0" applyNumberFormat="1" applyFont="1" applyBorder="1" applyAlignment="1">
      <alignment horizontal="center" vertical="center"/>
    </xf>
    <xf numFmtId="14" fontId="1" fillId="0" borderId="6" xfId="0" applyNumberFormat="1" applyFont="1" applyBorder="1" applyAlignment="1">
      <alignment horizontal="center" vertical="center"/>
    </xf>
    <xf numFmtId="44" fontId="1" fillId="0" borderId="8" xfId="1" applyFont="1" applyBorder="1" applyAlignment="1">
      <alignment horizontal="center" vertical="center"/>
    </xf>
    <xf numFmtId="164" fontId="1" fillId="0" borderId="8" xfId="1" applyNumberFormat="1" applyFont="1" applyBorder="1" applyAlignment="1">
      <alignment horizontal="center" vertical="center"/>
    </xf>
    <xf numFmtId="44" fontId="0" fillId="0" borderId="8" xfId="1" applyFont="1" applyBorder="1" applyAlignment="1">
      <alignment horizontal="center" vertical="center"/>
    </xf>
    <xf numFmtId="44" fontId="0" fillId="0" borderId="9" xfId="1" applyFont="1" applyBorder="1" applyAlignment="1">
      <alignment horizontal="center" vertical="center"/>
    </xf>
    <xf numFmtId="44" fontId="0" fillId="0" borderId="0" xfId="1" applyFont="1" applyAlignment="1">
      <alignment horizontal="center" vertic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4" xfId="0" applyBorder="1" applyAlignment="1">
      <alignment horizontal="center"/>
    </xf>
    <xf numFmtId="1" fontId="0" fillId="0" borderId="5" xfId="0" applyNumberFormat="1" applyBorder="1" applyAlignment="1">
      <alignment horizontal="center"/>
    </xf>
    <xf numFmtId="1" fontId="0" fillId="0" borderId="6" xfId="0" applyNumberFormat="1" applyBorder="1" applyAlignment="1">
      <alignment horizontal="center"/>
    </xf>
    <xf numFmtId="14" fontId="1" fillId="0" borderId="14" xfId="0" applyNumberFormat="1" applyFont="1" applyBorder="1" applyAlignment="1">
      <alignment horizontal="center" vertical="center"/>
    </xf>
    <xf numFmtId="2" fontId="1" fillId="0" borderId="6" xfId="0" applyNumberFormat="1" applyFont="1" applyBorder="1" applyAlignment="1">
      <alignment horizontal="center" vertical="center"/>
    </xf>
    <xf numFmtId="164" fontId="1" fillId="0" borderId="11" xfId="1" applyNumberFormat="1" applyFont="1" applyBorder="1" applyAlignment="1">
      <alignment horizontal="center" vertical="center"/>
    </xf>
    <xf numFmtId="0" fontId="4" fillId="0" borderId="13" xfId="0" applyFont="1" applyBorder="1" applyAlignment="1">
      <alignment horizontal="center"/>
    </xf>
    <xf numFmtId="14" fontId="2" fillId="0" borderId="13" xfId="0" applyNumberFormat="1" applyFont="1" applyBorder="1" applyAlignment="1">
      <alignment horizontal="center" vertical="center"/>
    </xf>
    <xf numFmtId="14" fontId="2" fillId="0" borderId="10" xfId="0" applyNumberFormat="1" applyFont="1" applyBorder="1" applyAlignment="1">
      <alignment horizontal="center" vertical="center"/>
    </xf>
    <xf numFmtId="164" fontId="1" fillId="0" borderId="9" xfId="0" applyNumberFormat="1" applyFont="1" applyBorder="1" applyAlignment="1">
      <alignment horizontal="center" vertical="center"/>
    </xf>
    <xf numFmtId="164" fontId="5" fillId="0" borderId="8" xfId="1" applyNumberFormat="1" applyFont="1" applyBorder="1" applyAlignment="1">
      <alignment horizontal="center" vertical="center"/>
    </xf>
    <xf numFmtId="164" fontId="1" fillId="0" borderId="9" xfId="1" applyNumberFormat="1" applyFont="1" applyBorder="1" applyAlignment="1">
      <alignment horizontal="center" vertical="center"/>
    </xf>
    <xf numFmtId="164" fontId="1" fillId="6" borderId="1" xfId="1" applyNumberFormat="1" applyFont="1" applyFill="1" applyBorder="1" applyAlignment="1">
      <alignment horizontal="center" vertical="center"/>
    </xf>
    <xf numFmtId="14" fontId="2" fillId="9" borderId="11" xfId="0" applyNumberFormat="1" applyFont="1" applyFill="1" applyBorder="1" applyAlignment="1">
      <alignment horizontal="center" vertical="center"/>
    </xf>
    <xf numFmtId="14" fontId="2" fillId="2" borderId="1" xfId="0" applyNumberFormat="1" applyFont="1" applyFill="1" applyBorder="1" applyAlignment="1">
      <alignment horizontal="center" vertical="center"/>
    </xf>
    <xf numFmtId="14" fontId="2" fillId="7" borderId="12" xfId="0" applyNumberFormat="1" applyFont="1" applyFill="1" applyBorder="1" applyAlignment="1">
      <alignment horizontal="center" vertical="center"/>
    </xf>
    <xf numFmtId="14" fontId="2" fillId="3" borderId="11" xfId="0" applyNumberFormat="1" applyFont="1" applyFill="1" applyBorder="1" applyAlignment="1">
      <alignment horizontal="center" vertical="center"/>
    </xf>
    <xf numFmtId="14" fontId="2" fillId="5" borderId="12" xfId="0" applyNumberFormat="1" applyFont="1" applyFill="1" applyBorder="1" applyAlignment="1">
      <alignment horizontal="center" vertical="center"/>
    </xf>
    <xf numFmtId="14" fontId="2" fillId="8" borderId="12" xfId="0" applyNumberFormat="1" applyFont="1" applyFill="1" applyBorder="1" applyAlignment="1">
      <alignment horizontal="center" vertical="center"/>
    </xf>
    <xf numFmtId="2" fontId="1" fillId="0" borderId="13" xfId="0" applyNumberFormat="1" applyFont="1" applyBorder="1" applyAlignment="1">
      <alignment horizontal="center" vertical="center"/>
    </xf>
    <xf numFmtId="2" fontId="1" fillId="0" borderId="15" xfId="0" applyNumberFormat="1" applyFont="1" applyBorder="1" applyAlignment="1">
      <alignment horizontal="center" vertical="center"/>
    </xf>
    <xf numFmtId="2" fontId="1" fillId="0" borderId="14" xfId="0" applyNumberFormat="1" applyFont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0" fontId="2" fillId="7" borderId="10" xfId="0" applyFont="1" applyFill="1" applyBorder="1" applyAlignment="1">
      <alignment horizontal="center" vertical="center"/>
    </xf>
    <xf numFmtId="0" fontId="2" fillId="7" borderId="12" xfId="0" applyFont="1" applyFill="1" applyBorder="1" applyAlignment="1">
      <alignment horizontal="center" vertical="center"/>
    </xf>
    <xf numFmtId="0" fontId="2" fillId="7" borderId="11" xfId="0" applyFont="1" applyFill="1" applyBorder="1" applyAlignment="1">
      <alignment horizontal="center" vertical="center"/>
    </xf>
    <xf numFmtId="0" fontId="2" fillId="9" borderId="10" xfId="0" applyFont="1" applyFill="1" applyBorder="1" applyAlignment="1">
      <alignment horizontal="center" vertical="center"/>
    </xf>
    <xf numFmtId="0" fontId="2" fillId="9" borderId="12" xfId="0" applyFont="1" applyFill="1" applyBorder="1" applyAlignment="1">
      <alignment horizontal="center" vertical="center"/>
    </xf>
    <xf numFmtId="0" fontId="2" fillId="9" borderId="11" xfId="0" applyFont="1" applyFill="1" applyBorder="1" applyAlignment="1">
      <alignment horizontal="center" vertical="center"/>
    </xf>
    <xf numFmtId="14" fontId="2" fillId="9" borderId="10" xfId="0" applyNumberFormat="1" applyFont="1" applyFill="1" applyBorder="1" applyAlignment="1">
      <alignment horizontal="center" vertical="center"/>
    </xf>
    <xf numFmtId="14" fontId="2" fillId="9" borderId="11" xfId="0" applyNumberFormat="1" applyFont="1" applyFill="1" applyBorder="1" applyAlignment="1">
      <alignment horizontal="center" vertical="center"/>
    </xf>
    <xf numFmtId="14" fontId="2" fillId="4" borderId="12" xfId="0" applyNumberFormat="1" applyFont="1" applyFill="1" applyBorder="1" applyAlignment="1">
      <alignment horizontal="center" vertical="center"/>
    </xf>
    <xf numFmtId="14" fontId="2" fillId="5" borderId="10" xfId="0" applyNumberFormat="1" applyFont="1" applyFill="1" applyBorder="1" applyAlignment="1">
      <alignment horizontal="center" vertical="center"/>
    </xf>
    <xf numFmtId="0" fontId="2" fillId="5" borderId="12" xfId="0" applyFont="1" applyFill="1" applyBorder="1" applyAlignment="1">
      <alignment horizontal="center" vertical="center"/>
    </xf>
    <xf numFmtId="14" fontId="2" fillId="5" borderId="11" xfId="0" applyNumberFormat="1" applyFont="1" applyFill="1" applyBorder="1" applyAlignment="1">
      <alignment horizontal="center" vertical="center"/>
    </xf>
  </cellXfs>
  <cellStyles count="2">
    <cellStyle name="Currency" xfId="1" builtinId="4"/>
    <cellStyle name="Normal" xfId="0" builtinId="0"/>
  </cellStyles>
  <dxfs count="10"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s">
        <v>#N/A Requesting Data...4274770012</v>
        <stp/>
        <stp>BDH|12116854532330640252</stp>
        <tr r="Q3" s="14"/>
      </tp>
      <tp t="s">
        <v>#N/A Requesting Data...3349293404</v>
        <stp/>
        <stp>BDP|11883986536691201393</stp>
        <tr r="C10" s="10"/>
      </tp>
      <tp t="s">
        <v>#N/A Requesting Data...2556683992</v>
        <stp/>
        <stp>BDP|18062887627254797806</stp>
        <tr r="C10" s="12"/>
        <tr r="E10" s="12"/>
      </tp>
      <tp t="s">
        <v>#N/A Requesting Data...2524631181</v>
        <stp/>
        <stp>BDP|16545953933052450030</stp>
        <tr r="B10" s="5"/>
      </tp>
      <tp t="s">
        <v>#N/A Requesting Data...1731972618</v>
        <stp/>
        <stp>BDH|18160367419705922390</stp>
        <tr r="X3" s="12"/>
        <tr r="AB3" s="12"/>
      </tp>
      <tp t="s">
        <v>#N/A Requesting Data...2540126784</v>
        <stp/>
        <stp>BDP|14650062796027575721</stp>
        <tr r="G10" s="12"/>
        <tr r="E10" s="14"/>
      </tp>
      <tp t="s">
        <v>#N/A Requesting Data...3114232630</v>
        <stp/>
        <stp>BDH|15144711807459214629</stp>
        <tr r="M3" s="10"/>
      </tp>
      <tp t="s">
        <v>#N/A Requesting Data...2960948921</v>
        <stp/>
        <stp>BDH|15271328436646533101</stp>
        <tr r="H3" s="2"/>
      </tp>
      <tp t="s">
        <v>#N/A Requesting Data...3756486889</v>
        <stp/>
        <stp>BDP|12076286461161277423</stp>
        <tr r="C10" s="5"/>
      </tp>
      <tp t="s">
        <v>#N/A Requesting Data...4285172594</v>
        <stp/>
        <stp>BDP|14602333172280113394</stp>
        <tr r="C10" s="16"/>
      </tp>
      <tp t="s">
        <v>#N/A Requesting Data...3383695061</v>
        <stp/>
        <stp>BDH|13290034116942619318</stp>
        <tr r="T3" s="10"/>
      </tp>
      <tp t="s">
        <v>#N/A Requesting Data...1685288211</v>
        <stp/>
        <stp>BDH|13034394832189930911</stp>
        <tr r="E3" s="5"/>
      </tp>
      <tp t="s">
        <v>#N/A Requesting Data...2087837144</v>
        <stp/>
        <stp>BDH|11339535512284831228</stp>
        <tr r="K3" s="14"/>
      </tp>
      <tp t="s">
        <v>#N/A Requesting Data...2842905051</v>
        <stp/>
        <stp>BDH|15979061673089740867</stp>
        <tr r="V3" s="10"/>
      </tp>
      <tp t="s">
        <v>#N/A Requesting Data...639984631</v>
        <stp/>
        <stp>BDP|18219294914923540841</stp>
        <tr r="C10" s="9"/>
      </tp>
      <tp t="s">
        <v>#N/A Requesting Data...2150065523</v>
        <stp/>
        <stp>BDH|13824375334043592056</stp>
        <tr r="E3" s="16"/>
      </tp>
      <tp t="s">
        <v>#N/A Requesting Data...637882384</v>
        <stp/>
        <stp>BDP|13030111079165378191</stp>
        <tr r="F10" s="14"/>
      </tp>
      <tp t="s">
        <v>#N/A Requesting Data...983170767</v>
        <stp/>
        <stp>BDP|17674809694487604003</stp>
        <tr r="B10" s="10"/>
      </tp>
      <tp t="s">
        <v>#N/A Requesting Data...3213198068</v>
        <stp/>
        <stp>BDH|16230626229301294290</stp>
        <tr r="G3" s="9"/>
      </tp>
      <tp t="s">
        <v>#N/A Requesting Data...826569187</v>
        <stp/>
        <stp>BDP|11473368239062878490</stp>
        <tr r="F10" s="12"/>
        <tr r="D10" s="14"/>
      </tp>
      <tp t="s">
        <v>#N/A Requesting Data...800275550</v>
        <stp/>
        <stp>BDP|14572736216992007722</stp>
        <tr r="B10" s="2"/>
      </tp>
      <tp t="s">
        <v>#N/A Requesting Data...2088907102</v>
        <stp/>
        <stp>BDH|13141475542814203054</stp>
        <tr r="M3" s="8"/>
      </tp>
      <tp t="s">
        <v>#N/A Requesting Data...3243161388</v>
        <stp/>
        <stp>BDH|13227067034055069220</stp>
        <tr r="I3" s="14"/>
        <tr r="M3" s="12"/>
      </tp>
      <tp t="s">
        <v>#N/A Requesting Data...695261883</v>
        <stp/>
        <stp>BDH|17184442646027426724</stp>
        <tr r="G3" s="3"/>
      </tp>
      <tp t="s">
        <v>#N/A Requesting Data...3625780916</v>
        <stp/>
        <stp>BDP|13060443244535072213</stp>
        <tr r="B10" s="1"/>
      </tp>
      <tp t="s">
        <v>#N/A Requesting Data...1339134149</v>
        <stp/>
        <stp>BDH|17410490907474235362</stp>
        <tr r="O3" s="12"/>
        <tr r="K3" s="12"/>
      </tp>
      <tp t="s">
        <v>#N/A Requesting Data...1395690020</v>
        <stp/>
        <stp>BDP|17166731865344641740</stp>
        <tr r="C10" s="1"/>
      </tp>
      <tp t="s">
        <v>#N/A Requesting Data...2043746357</v>
        <stp/>
        <stp>BDH|11781662009716850471</stp>
        <tr r="R3" s="10"/>
      </tp>
      <tp t="s">
        <v>#N/A Requesting Data...1305009430</v>
        <stp/>
        <stp>BDH|14902072550771643548</stp>
        <tr r="E3" s="9"/>
      </tp>
      <tp t="s">
        <v>#N/A Requesting Data...1329181990</v>
        <stp/>
        <stp>BDH|17092883695291068218</stp>
        <tr r="V3" s="12"/>
      </tp>
    </main>
    <main first="bofaddin.rtdserver">
      <tp t="s">
        <v>#N/A Requesting Data...2605981016</v>
        <stp/>
        <stp>BDH|2198192775278593031</stp>
        <tr r="J48" s="12"/>
      </tp>
      <tp t="s">
        <v>#N/A Requesting Data...796489141</v>
        <stp/>
        <stp>BDH|7448665236128171783</stp>
        <tr r="P3" s="10"/>
      </tp>
      <tp t="s">
        <v>#N/A Requesting Data...680097505</v>
        <stp/>
        <stp>BDH|3117665433933194806</stp>
        <tr r="F48" s="12"/>
      </tp>
      <tp t="s">
        <v>#N/A Requesting Data...1531377745</v>
        <stp/>
        <stp>BDH|4582965733975233672</stp>
        <tr r="AD3" s="14"/>
        <tr r="AD3" s="12"/>
      </tp>
      <tp t="s">
        <v>#N/A Requesting Data...1369566595</v>
        <stp/>
        <stp>BDH|5543223765756691910</stp>
        <tr r="AB3" s="14"/>
      </tp>
      <tp t="s">
        <v>#N/A Requesting Data...2998480632</v>
        <stp/>
        <stp>BDH|2245991715683759601</stp>
        <tr r="I3" s="12"/>
      </tp>
      <tp t="s">
        <v>#N/A Requesting Data...1761773168</v>
        <stp/>
        <stp>BDH|7232744281751729674</stp>
        <tr r="N3" s="1"/>
      </tp>
      <tp t="s">
        <v>#N/A Requesting Data...1082889754</v>
        <stp/>
        <stp>BDP|9706553668206945454</stp>
        <tr r="D10" s="8"/>
      </tp>
      <tp t="s">
        <v>#N/A Requesting Data...2760935605</v>
        <stp/>
        <stp>BDH|8644075743285964009</stp>
        <tr r="O3" s="14"/>
        <tr r="S3" s="12"/>
      </tp>
      <tp t="s">
        <v>#N/A Requesting Data...1943588289</v>
        <stp/>
        <stp>BDP|4329662592027264695</stp>
        <tr r="B10" s="12"/>
      </tp>
      <tp t="s">
        <v>#N/A Requesting Data...2035449782</v>
        <stp/>
        <stp>BDP|3445302272426769594</stp>
        <tr r="B10" s="16"/>
      </tp>
      <tp t="s">
        <v>#N/A Requesting Data...3875440870</v>
        <stp/>
        <stp>BDH|6564564898689659733</stp>
        <tr r="J3" s="2"/>
      </tp>
      <tp t="s">
        <v>#N/A Requesting Data...1624612579</v>
        <stp/>
        <stp>BDH|3078906460840486882</stp>
        <tr r="G3" s="5"/>
      </tp>
      <tp t="s">
        <v>#N/A Requesting Data...4040555089</v>
        <stp/>
        <stp>BDP|6614610459362681385</stp>
        <tr r="E10" s="10"/>
      </tp>
      <tp t="s">
        <v>#N/A Requesting Data...1027003928</v>
        <stp/>
        <stp>BDH|3137898882800080604</stp>
        <tr r="K3" s="8"/>
      </tp>
      <tp t="s">
        <v>#N/A Requesting Data...1885329747</v>
        <stp/>
        <stp>BDH|2669988756143225814</stp>
        <tr r="E3" s="3"/>
      </tp>
      <tp t="s">
        <v>#N/A Requesting Data...4155916781</v>
        <stp/>
        <stp>BDH|3064723395581607916</stp>
        <tr r="AJ3" s="14"/>
      </tp>
      <tp t="s">
        <v>#N/A Requesting Data...1113481857</v>
        <stp/>
        <stp>BDH|5910610681569820705</stp>
        <tr r="G3" s="10"/>
      </tp>
      <tp t="s">
        <v>#N/A Requesting Data...2204419639</v>
        <stp/>
        <stp>BDH|1519121449667360688</stp>
        <tr r="I3" s="8"/>
      </tp>
      <tp t="s">
        <v>#N/A Requesting Data...3369019043</v>
        <stp/>
        <stp>BDH|2595797866451704472</stp>
        <tr r="Z3" s="14"/>
        <tr r="Z3" s="12"/>
      </tp>
      <tp t="s">
        <v>#N/A Requesting Data...4148404326</v>
        <stp/>
        <stp>BDP|3122389811593012513</stp>
        <tr r="C10" s="14"/>
      </tp>
      <tp t="s">
        <v>#N/A Requesting Data...2862088881</v>
        <stp/>
        <stp>BDP|1931107217112743305</stp>
        <tr r="D10" s="2"/>
      </tp>
      <tp t="s">
        <v>#N/A Requesting Data...3337756319</v>
        <stp/>
        <stp>BDH|1163005449103566629</stp>
        <tr r="L48" s="12"/>
      </tp>
      <tp t="s">
        <v>#N/A Requesting Data...1141843588</v>
        <stp/>
        <stp>BDP|8919074471278682748</stp>
        <tr r="C10" s="3"/>
      </tp>
      <tp t="s">
        <v>#N/A Requesting Data...1142930657</v>
        <stp/>
        <stp>BDP|6499873574608943180</stp>
        <tr r="B10" s="8"/>
      </tp>
      <tp t="s">
        <v>#N/A Requesting Data...2664564956</v>
        <stp/>
        <stp>BDP|9073119891745028595</stp>
        <tr r="E10" s="8"/>
      </tp>
      <tp t="s">
        <v>#N/A Requesting Data...3284053641</v>
        <stp/>
        <stp>BDH|4503102178687531410</stp>
        <tr r="AH3" s="14"/>
      </tp>
      <tp t="s">
        <v>#N/A Requesting Data...2139559666</v>
        <stp/>
        <stp>BDH|7462021783709095791</stp>
        <tr r="G3" s="8"/>
      </tp>
      <tp t="s">
        <v>#N/A Requesting Data...2497289545</v>
        <stp/>
        <stp>BDP|7280882837258491593</stp>
        <tr r="D10" s="10"/>
      </tp>
      <tp t="s">
        <v>#N/A Requesting Data...2955726239</v>
        <stp/>
        <stp>BDH|1373884432892784985</stp>
        <tr r="S3" s="14"/>
      </tp>
      <tp t="s">
        <v>#N/A Requesting Data...2679347225</v>
        <stp/>
        <stp>BDH|1227556210667929054</stp>
        <tr r="H48" s="12"/>
        <tr r="D48" s="12"/>
      </tp>
      <tp t="s">
        <v>#N/A Requesting Data...624046171</v>
        <stp/>
        <stp>BDH|4284382271282591068</stp>
        <tr r="G3" s="16"/>
      </tp>
      <tp t="s">
        <v>#N/A Requesting Data...3263955303</v>
        <stp/>
        <stp>BDP|4720520890802409863</stp>
        <tr r="B10" s="3"/>
      </tp>
      <tp t="s">
        <v>#N/A Requesting Data...4001786198</v>
        <stp/>
        <stp>BDH|6788408684139149163</stp>
        <tr r="K3" s="10"/>
      </tp>
      <tp t="s">
        <v>#N/A Requesting Data...1109660854</v>
        <stp/>
        <stp>BDP|2192385730727379645</stp>
        <tr r="C10" s="8"/>
      </tp>
      <tp t="s">
        <v>#N/A Requesting Data...3010434954</v>
        <stp/>
        <stp>BDH|2203144056572752787</stp>
        <tr r="I3" s="10"/>
      </tp>
      <tp t="s">
        <v>#N/A Requesting Data...3605796349</v>
        <stp/>
        <stp>BDH|4796325569085514766</stp>
        <tr r="F3" s="2"/>
      </tp>
      <tp t="s">
        <v>#N/A Requesting Data...4039125817</v>
        <stp/>
        <stp>BDH|7607087460916369486</stp>
        <tr r="L3" s="1"/>
      </tp>
      <tp t="s">
        <v>#N/A Requesting Data...3719822314</v>
        <stp/>
        <stp>BDP|519161733290183679</stp>
        <tr r="B10" s="9"/>
      </tp>
      <tp t="s">
        <v>#N/A Requesting Data...1405060421</v>
        <stp/>
        <stp>BDP|332801733094788947</stp>
        <tr r="D10" s="12"/>
        <tr r="B10" s="14"/>
      </tp>
      <tp t="s">
        <v>#N/A Requesting Data...1035663556</v>
        <stp/>
        <stp>BDP|416056535068485843</stp>
        <tr r="C10" s="2"/>
      </tp>
      <tp t="s">
        <v>#N/A Requesting Data...1040253776</v>
        <stp/>
        <stp>BDH|311813290135870661</stp>
        <tr r="AF3" s="14"/>
        <tr r="AF3" s="12"/>
      </tp>
      <tp t="s">
        <v>#N/A Requesting Data...2876903010</v>
        <stp/>
        <stp>BDP|967432059673127000</stp>
        <tr r="G10" s="14"/>
      </tp>
      <tp t="s">
        <v>#N/A Requesting Data...2657085615</v>
        <stp/>
        <stp>BDH|248424323376509938</stp>
        <tr r="B48" s="12"/>
      </tp>
      <tp t="s">
        <v>#N/A Requesting Data...2437204517</v>
        <stp/>
        <stp>BDH|915940802084826537</stp>
        <tr r="M3" s="14"/>
        <tr r="Q3" s="12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volatileDependencies" Target="volatileDependenci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'ACAFP Basis'!$I$12</c:f>
              <c:strCache>
                <c:ptCount val="1"/>
                <c:pt idx="0">
                  <c:v>Net P/L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'ACAFP Basis'!$A$13:$A$316</c:f>
              <c:numCache>
                <c:formatCode>d\-mmm\-yy</c:formatCode>
                <c:ptCount val="290"/>
                <c:pt idx="1">
                  <c:v>45903</c:v>
                </c:pt>
                <c:pt idx="2">
                  <c:v>45904</c:v>
                </c:pt>
                <c:pt idx="3">
                  <c:v>45905</c:v>
                </c:pt>
                <c:pt idx="4">
                  <c:v>45908</c:v>
                </c:pt>
                <c:pt idx="5">
                  <c:v>45909</c:v>
                </c:pt>
                <c:pt idx="6">
                  <c:v>45910</c:v>
                </c:pt>
                <c:pt idx="7">
                  <c:v>45911</c:v>
                </c:pt>
                <c:pt idx="8">
                  <c:v>45912</c:v>
                </c:pt>
                <c:pt idx="9">
                  <c:v>45915</c:v>
                </c:pt>
                <c:pt idx="10">
                  <c:v>45933</c:v>
                </c:pt>
                <c:pt idx="11">
                  <c:v>45936</c:v>
                </c:pt>
                <c:pt idx="12">
                  <c:v>45937</c:v>
                </c:pt>
                <c:pt idx="13">
                  <c:v>45938</c:v>
                </c:pt>
                <c:pt idx="14">
                  <c:v>45939</c:v>
                </c:pt>
                <c:pt idx="15">
                  <c:v>45940</c:v>
                </c:pt>
                <c:pt idx="16">
                  <c:v>45941</c:v>
                </c:pt>
                <c:pt idx="17">
                  <c:v>45942</c:v>
                </c:pt>
                <c:pt idx="18">
                  <c:v>45943</c:v>
                </c:pt>
                <c:pt idx="19">
                  <c:v>45944</c:v>
                </c:pt>
              </c:numCache>
            </c:numRef>
          </c:cat>
          <c:val>
            <c:numRef>
              <c:f>'ACAFP Basis'!$I$13:$I$316</c:f>
              <c:numCache>
                <c:formatCode>General</c:formatCode>
                <c:ptCount val="290"/>
                <c:pt idx="2" formatCode="_(&quot;$&quot;* #,##0_);_(&quot;$&quot;* \(#,##0\);_(&quot;$&quot;* &quot;-&quot;??_);_(@_)">
                  <c:v>20572.519958333647</c:v>
                </c:pt>
                <c:pt idx="3" formatCode="_(&quot;$&quot;* #,##0_);_(&quot;$&quot;* \(#,##0\);_(&quot;$&quot;* &quot;-&quot;??_);_(@_)">
                  <c:v>18236.58391666643</c:v>
                </c:pt>
                <c:pt idx="4" formatCode="_(&quot;$&quot;* #,##0_);_(&quot;$&quot;* \(#,##0\);_(&quot;$&quot;* &quot;-&quot;??_);_(@_)">
                  <c:v>45757.170791666686</c:v>
                </c:pt>
                <c:pt idx="5" formatCode="_(&quot;$&quot;* #,##0_);_(&quot;$&quot;* \(#,##0\);_(&quot;$&quot;* &quot;-&quot;??_);_(@_)">
                  <c:v>63393.419749999666</c:v>
                </c:pt>
                <c:pt idx="6" formatCode="_(&quot;$&quot;* #,##0_);_(&quot;$&quot;* \(#,##0\);_(&quot;$&quot;* &quot;-&quot;??_);_(@_)">
                  <c:v>61094.388208332988</c:v>
                </c:pt>
                <c:pt idx="7" formatCode="_(&quot;$&quot;* #,##0_);_(&quot;$&quot;* \(#,##0\);_(&quot;$&quot;* &quot;-&quot;??_);_(@_)">
                  <c:v>90173.865666666854</c:v>
                </c:pt>
                <c:pt idx="8" formatCode="_(&quot;$&quot;* #,##0_);_(&quot;$&quot;* \(#,##0\);_(&quot;$&quot;* &quot;-&quot;??_);_(@_)">
                  <c:v>74992.472625000097</c:v>
                </c:pt>
                <c:pt idx="9" formatCode="_(&quot;$&quot;* #,##0_);_(&quot;$&quot;* \(#,##0\);_(&quot;$&quot;* &quot;-&quot;??_);_(@_)">
                  <c:v>81807.740500000044</c:v>
                </c:pt>
                <c:pt idx="10" formatCode="_(&quot;$&quot;* #,##0_);_(&quot;$&quot;* \(#,##0\);_(&quot;$&quot;* &quot;-&quot;??_);_(@_)">
                  <c:v>59055.41124999959</c:v>
                </c:pt>
                <c:pt idx="11" formatCode="_(&quot;$&quot;* #,##0_);_(&quot;$&quot;* \(#,##0\);_(&quot;$&quot;* &quot;-&quot;??_);_(@_)">
                  <c:v>42354.969124999763</c:v>
                </c:pt>
                <c:pt idx="12" formatCode="_(&quot;$&quot;* #,##0_);_(&quot;$&quot;* \(#,##0\);_(&quot;$&quot;* &quot;-&quot;??_);_(@_)">
                  <c:v>38059.901083333454</c:v>
                </c:pt>
                <c:pt idx="13" formatCode="_(&quot;$&quot;* #,##0_);_(&quot;$&quot;* \(#,##0\);_(&quot;$&quot;* &quot;-&quot;??_);_(@_)">
                  <c:v>56211.406041666407</c:v>
                </c:pt>
                <c:pt idx="14" formatCode="_(&quot;$&quot;* #,##0_);_(&quot;$&quot;* \(#,##0\);_(&quot;$&quot;* &quot;-&quot;??_);_(@_)">
                  <c:v>80989.857000000542</c:v>
                </c:pt>
                <c:pt idx="15" formatCode="_(&quot;$&quot;* #,##0_);_(&quot;$&quot;* \(#,##0\);_(&quot;$&quot;* &quot;-&quot;??_);_(@_)">
                  <c:v>77180.93145833342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AA8-4D2A-9404-F9FBDE77E2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6281952"/>
        <c:axId val="26282432"/>
      </c:lineChart>
      <c:dateAx>
        <c:axId val="262819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282432"/>
        <c:crosses val="autoZero"/>
        <c:auto val="1"/>
        <c:lblOffset val="100"/>
        <c:baseTimeUnit val="days"/>
      </c:dateAx>
      <c:valAx>
        <c:axId val="26282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2819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'EU Defence vs Oil'!$K$12:$K$14</c:f>
              <c:strCache>
                <c:ptCount val="3"/>
                <c:pt idx="0">
                  <c:v>Net P/L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'EU Defence vs Oil'!$A$14:$A$29</c:f>
              <c:numCache>
                <c:formatCode>d\-mmm\-yy</c:formatCode>
                <c:ptCount val="16"/>
                <c:pt idx="0">
                  <c:v>45924</c:v>
                </c:pt>
                <c:pt idx="1">
                  <c:v>45925</c:v>
                </c:pt>
                <c:pt idx="2">
                  <c:v>45926</c:v>
                </c:pt>
                <c:pt idx="3">
                  <c:v>45929</c:v>
                </c:pt>
                <c:pt idx="4">
                  <c:v>45930</c:v>
                </c:pt>
                <c:pt idx="5">
                  <c:v>45931</c:v>
                </c:pt>
                <c:pt idx="6">
                  <c:v>45932</c:v>
                </c:pt>
                <c:pt idx="7">
                  <c:v>45933</c:v>
                </c:pt>
                <c:pt idx="8">
                  <c:v>45936</c:v>
                </c:pt>
                <c:pt idx="9">
                  <c:v>45937</c:v>
                </c:pt>
                <c:pt idx="10">
                  <c:v>45938</c:v>
                </c:pt>
                <c:pt idx="11">
                  <c:v>45939</c:v>
                </c:pt>
                <c:pt idx="12">
                  <c:v>45940</c:v>
                </c:pt>
                <c:pt idx="13">
                  <c:v>45941</c:v>
                </c:pt>
              </c:numCache>
            </c:numRef>
          </c:cat>
          <c:val>
            <c:numRef>
              <c:f>'EU Defence vs Oil'!$K$15:$K$31</c:f>
              <c:numCache>
                <c:formatCode>_("$"* #,##0_);_("$"* \(#,##0\);_("$"* "-"??_);_(@_)</c:formatCode>
                <c:ptCount val="17"/>
                <c:pt idx="0">
                  <c:v>-36864.819555555579</c:v>
                </c:pt>
                <c:pt idx="1">
                  <c:v>-38790.459111111108</c:v>
                </c:pt>
                <c:pt idx="2">
                  <c:v>-43588.029777777825</c:v>
                </c:pt>
                <c:pt idx="3">
                  <c:v>-42329.913333333294</c:v>
                </c:pt>
                <c:pt idx="4">
                  <c:v>-44763.016888888953</c:v>
                </c:pt>
                <c:pt idx="5">
                  <c:v>-23422.824444444454</c:v>
                </c:pt>
                <c:pt idx="6">
                  <c:v>-37585.432000000001</c:v>
                </c:pt>
                <c:pt idx="7">
                  <c:v>-34552.754666666689</c:v>
                </c:pt>
                <c:pt idx="8">
                  <c:v>-30957.394222222225</c:v>
                </c:pt>
                <c:pt idx="9">
                  <c:v>-38622.837777777735</c:v>
                </c:pt>
                <c:pt idx="10">
                  <c:v>-17989.397333333396</c:v>
                </c:pt>
                <c:pt idx="11">
                  <c:v>-15508.284888888878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1A8-4EFE-BBC1-9431B0823C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6281952"/>
        <c:axId val="26282432"/>
      </c:lineChart>
      <c:dateAx>
        <c:axId val="26281952"/>
        <c:scaling>
          <c:orientation val="minMax"/>
        </c:scaling>
        <c:delete val="0"/>
        <c:axPos val="b"/>
        <c:numFmt formatCode="d\-mmm\-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282432"/>
        <c:crosses val="autoZero"/>
        <c:auto val="1"/>
        <c:lblOffset val="100"/>
        <c:baseTimeUnit val="days"/>
      </c:dateAx>
      <c:valAx>
        <c:axId val="26282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2819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'EU Insurance CDS RV'!$H$12:$H$14</c:f>
              <c:strCache>
                <c:ptCount val="3"/>
                <c:pt idx="0">
                  <c:v>Net P/L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'EU Insurance CDS RV'!$A$14:$A$29</c:f>
              <c:numCache>
                <c:formatCode>d\-mmm\-yy</c:formatCode>
                <c:ptCount val="16"/>
                <c:pt idx="0">
                  <c:v>45925</c:v>
                </c:pt>
                <c:pt idx="1">
                  <c:v>45926</c:v>
                </c:pt>
                <c:pt idx="2">
                  <c:v>45929</c:v>
                </c:pt>
                <c:pt idx="3">
                  <c:v>45930</c:v>
                </c:pt>
                <c:pt idx="4">
                  <c:v>45931</c:v>
                </c:pt>
                <c:pt idx="5">
                  <c:v>45932</c:v>
                </c:pt>
                <c:pt idx="6">
                  <c:v>45933</c:v>
                </c:pt>
                <c:pt idx="7">
                  <c:v>45936</c:v>
                </c:pt>
                <c:pt idx="8">
                  <c:v>45937</c:v>
                </c:pt>
                <c:pt idx="9">
                  <c:v>45938</c:v>
                </c:pt>
                <c:pt idx="10">
                  <c:v>45939</c:v>
                </c:pt>
                <c:pt idx="11">
                  <c:v>45940</c:v>
                </c:pt>
                <c:pt idx="12">
                  <c:v>45941</c:v>
                </c:pt>
                <c:pt idx="13">
                  <c:v>45942</c:v>
                </c:pt>
                <c:pt idx="14">
                  <c:v>45943</c:v>
                </c:pt>
              </c:numCache>
            </c:numRef>
          </c:cat>
          <c:val>
            <c:numRef>
              <c:f>'EU Insurance CDS RV'!$H$15:$H$31</c:f>
              <c:numCache>
                <c:formatCode>_("$"* #,##0_);_("$"* \(#,##0\);_("$"* "-"??_);_(@_)</c:formatCode>
                <c:ptCount val="17"/>
                <c:pt idx="0">
                  <c:v>-5973.1262222222376</c:v>
                </c:pt>
                <c:pt idx="1">
                  <c:v>2332.7831111111491</c:v>
                </c:pt>
                <c:pt idx="2">
                  <c:v>576.64088888886272</c:v>
                </c:pt>
                <c:pt idx="3">
                  <c:v>1236.6906666666409</c:v>
                </c:pt>
                <c:pt idx="4">
                  <c:v>1845.6524444444512</c:v>
                </c:pt>
                <c:pt idx="5">
                  <c:v>2891.3462222222843</c:v>
                </c:pt>
                <c:pt idx="6">
                  <c:v>3172.7475555555029</c:v>
                </c:pt>
                <c:pt idx="7">
                  <c:v>1308.5853333333362</c:v>
                </c:pt>
                <c:pt idx="8">
                  <c:v>3989.1351111111799</c:v>
                </c:pt>
                <c:pt idx="9">
                  <c:v>-1555.3591111111491</c:v>
                </c:pt>
                <c:pt idx="10">
                  <c:v>1009.938666666616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6D4-4411-882D-F7F8CBCE8F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6281952"/>
        <c:axId val="26282432"/>
      </c:lineChart>
      <c:dateAx>
        <c:axId val="26281952"/>
        <c:scaling>
          <c:orientation val="minMax"/>
        </c:scaling>
        <c:delete val="0"/>
        <c:axPos val="b"/>
        <c:numFmt formatCode="d\-mmm\-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282432"/>
        <c:crosses val="autoZero"/>
        <c:auto val="1"/>
        <c:lblOffset val="100"/>
        <c:baseTimeUnit val="days"/>
      </c:dateAx>
      <c:valAx>
        <c:axId val="26282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2819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Barclays!$H$12:$H$14</c:f>
              <c:strCache>
                <c:ptCount val="3"/>
                <c:pt idx="0">
                  <c:v>Net P/L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Barclays!$A$14:$A$29</c:f>
              <c:numCache>
                <c:formatCode>d\-mmm\-yy</c:formatCode>
                <c:ptCount val="16"/>
                <c:pt idx="0">
                  <c:v>45930</c:v>
                </c:pt>
                <c:pt idx="1">
                  <c:v>45931</c:v>
                </c:pt>
                <c:pt idx="2">
                  <c:v>45932</c:v>
                </c:pt>
                <c:pt idx="3">
                  <c:v>45933</c:v>
                </c:pt>
                <c:pt idx="4">
                  <c:v>45936</c:v>
                </c:pt>
                <c:pt idx="5">
                  <c:v>45937</c:v>
                </c:pt>
                <c:pt idx="6">
                  <c:v>45938</c:v>
                </c:pt>
                <c:pt idx="7">
                  <c:v>45939</c:v>
                </c:pt>
                <c:pt idx="8">
                  <c:v>45940</c:v>
                </c:pt>
                <c:pt idx="9">
                  <c:v>45941</c:v>
                </c:pt>
                <c:pt idx="10">
                  <c:v>45942</c:v>
                </c:pt>
                <c:pt idx="11">
                  <c:v>45943</c:v>
                </c:pt>
                <c:pt idx="12">
                  <c:v>45944</c:v>
                </c:pt>
              </c:numCache>
            </c:numRef>
          </c:cat>
          <c:val>
            <c:numRef>
              <c:f>Barclays!$H$15:$H$31</c:f>
              <c:numCache>
                <c:formatCode>_("$"* #,##0_);_("$"* \(#,##0\);_("$"* "-"??_);_(@_)</c:formatCode>
                <c:ptCount val="17"/>
                <c:pt idx="0">
                  <c:v>-43334.599305554519</c:v>
                </c:pt>
                <c:pt idx="1">
                  <c:v>-34469.198611110463</c:v>
                </c:pt>
                <c:pt idx="2">
                  <c:v>-58363.797916666808</c:v>
                </c:pt>
                <c:pt idx="3">
                  <c:v>-39307.595833332867</c:v>
                </c:pt>
                <c:pt idx="4">
                  <c:v>-40162.195138888332</c:v>
                </c:pt>
                <c:pt idx="5">
                  <c:v>-71636.794444445055</c:v>
                </c:pt>
                <c:pt idx="6">
                  <c:v>-42951.393750001022</c:v>
                </c:pt>
                <c:pt idx="7">
                  <c:v>-42545.993055556435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C58-40A7-A5C3-924A70C019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6281952"/>
        <c:axId val="26282432"/>
      </c:lineChart>
      <c:dateAx>
        <c:axId val="26281952"/>
        <c:scaling>
          <c:orientation val="minMax"/>
        </c:scaling>
        <c:delete val="0"/>
        <c:axPos val="b"/>
        <c:numFmt formatCode="d\-mmm\-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282432"/>
        <c:crosses val="autoZero"/>
        <c:auto val="1"/>
        <c:lblOffset val="100"/>
        <c:baseTimeUnit val="days"/>
      </c:dateAx>
      <c:valAx>
        <c:axId val="26282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2819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'KSA RV'!$N$12:$N$14</c:f>
              <c:strCache>
                <c:ptCount val="3"/>
                <c:pt idx="0">
                  <c:v>Net P/L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'KSA RV'!$A$14:$A$29</c:f>
              <c:numCache>
                <c:formatCode>d\-mmm\-yy</c:formatCode>
                <c:ptCount val="16"/>
                <c:pt idx="0">
                  <c:v>45931</c:v>
                </c:pt>
                <c:pt idx="1">
                  <c:v>45932</c:v>
                </c:pt>
                <c:pt idx="2">
                  <c:v>45933</c:v>
                </c:pt>
                <c:pt idx="3">
                  <c:v>45936</c:v>
                </c:pt>
                <c:pt idx="4">
                  <c:v>45937</c:v>
                </c:pt>
                <c:pt idx="5">
                  <c:v>45938</c:v>
                </c:pt>
                <c:pt idx="6">
                  <c:v>45939</c:v>
                </c:pt>
                <c:pt idx="7">
                  <c:v>45940</c:v>
                </c:pt>
                <c:pt idx="8">
                  <c:v>45941</c:v>
                </c:pt>
              </c:numCache>
            </c:numRef>
          </c:cat>
          <c:val>
            <c:numRef>
              <c:f>'KSA RV'!$N$15:$N$31</c:f>
              <c:numCache>
                <c:formatCode>_("$"* #,##0_);_("$"* \(#,##0\);_("$"* "-"??_);_(@_)</c:formatCode>
                <c:ptCount val="17"/>
                <c:pt idx="0">
                  <c:v>-32686.938363333298</c:v>
                </c:pt>
                <c:pt idx="1">
                  <c:v>-19297.376726667459</c:v>
                </c:pt>
                <c:pt idx="2">
                  <c:v>-16258.991816669015</c:v>
                </c:pt>
                <c:pt idx="3">
                  <c:v>-18135.380180000517</c:v>
                </c:pt>
                <c:pt idx="4">
                  <c:v>740.55645666621695</c:v>
                </c:pt>
                <c:pt idx="5">
                  <c:v>1241.4930933316923</c:v>
                </c:pt>
                <c:pt idx="6">
                  <c:v>933.67972999958056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1FD-48EB-8DCC-1B4115C350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6281952"/>
        <c:axId val="26282432"/>
      </c:lineChart>
      <c:dateAx>
        <c:axId val="26281952"/>
        <c:scaling>
          <c:orientation val="minMax"/>
        </c:scaling>
        <c:delete val="0"/>
        <c:axPos val="b"/>
        <c:numFmt formatCode="d\-mmm\-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282432"/>
        <c:crosses val="autoZero"/>
        <c:auto val="1"/>
        <c:lblOffset val="100"/>
        <c:baseTimeUnit val="days"/>
      </c:dateAx>
      <c:valAx>
        <c:axId val="26282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2819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'EU Banks CDS RV'!$H$12:$H$14</c:f>
              <c:strCache>
                <c:ptCount val="3"/>
                <c:pt idx="0">
                  <c:v> Net P/L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'EU Banks CDS RV'!$A$14:$A$29</c:f>
              <c:numCache>
                <c:formatCode>d\-mmm\-yy</c:formatCode>
                <c:ptCount val="16"/>
                <c:pt idx="0">
                  <c:v>45933</c:v>
                </c:pt>
                <c:pt idx="1">
                  <c:v>45936</c:v>
                </c:pt>
                <c:pt idx="2">
                  <c:v>45937</c:v>
                </c:pt>
                <c:pt idx="3">
                  <c:v>45938</c:v>
                </c:pt>
                <c:pt idx="4">
                  <c:v>45939</c:v>
                </c:pt>
                <c:pt idx="5">
                  <c:v>45940</c:v>
                </c:pt>
                <c:pt idx="6">
                  <c:v>45941</c:v>
                </c:pt>
                <c:pt idx="7">
                  <c:v>45942</c:v>
                </c:pt>
                <c:pt idx="8">
                  <c:v>45943</c:v>
                </c:pt>
              </c:numCache>
            </c:numRef>
          </c:cat>
          <c:val>
            <c:numRef>
              <c:f>'EU Banks CDS RV'!$H$15:$H$31</c:f>
              <c:numCache>
                <c:formatCode>_("$"* #,##0_);_("$"* \(#,##0\);_("$"* "-"??_);_(@_)</c:formatCode>
                <c:ptCount val="17"/>
                <c:pt idx="0">
                  <c:v>-1124.1733333332741</c:v>
                </c:pt>
                <c:pt idx="1">
                  <c:v>2470.7778888889206</c:v>
                </c:pt>
                <c:pt idx="2">
                  <c:v>-1164.4448888888392</c:v>
                </c:pt>
                <c:pt idx="3">
                  <c:v>2625.8963333333122</c:v>
                </c:pt>
                <c:pt idx="4">
                  <c:v>-12291.241444444366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2F0-41EF-B27E-38BF0965A3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6281952"/>
        <c:axId val="26282432"/>
      </c:lineChart>
      <c:dateAx>
        <c:axId val="26281952"/>
        <c:scaling>
          <c:orientation val="minMax"/>
        </c:scaling>
        <c:delete val="0"/>
        <c:axPos val="b"/>
        <c:numFmt formatCode="d\-mmm\-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282432"/>
        <c:crosses val="autoZero"/>
        <c:auto val="1"/>
        <c:lblOffset val="100"/>
        <c:baseTimeUnit val="days"/>
      </c:dateAx>
      <c:valAx>
        <c:axId val="26282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2819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'EU ETF Compression'!$N$12:$N$14</c:f>
              <c:strCache>
                <c:ptCount val="3"/>
                <c:pt idx="0">
                  <c:v>Net P/L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'EU ETF Compression'!$A$15:$A$41</c:f>
              <c:numCache>
                <c:formatCode>d\-mmm\-yy</c:formatCode>
                <c:ptCount val="27"/>
                <c:pt idx="0">
                  <c:v>45938</c:v>
                </c:pt>
                <c:pt idx="1">
                  <c:v>45939</c:v>
                </c:pt>
                <c:pt idx="2">
                  <c:v>45940</c:v>
                </c:pt>
                <c:pt idx="3">
                  <c:v>45941</c:v>
                </c:pt>
              </c:numCache>
            </c:numRef>
          </c:cat>
          <c:val>
            <c:numRef>
              <c:f>'EU ETF Compression'!$N$15:$N$41</c:f>
              <c:numCache>
                <c:formatCode>_("$"* #,##0_);_("$"* \(#,##0\);_("$"* "-"??_);_(@_)</c:formatCode>
                <c:ptCount val="27"/>
                <c:pt idx="0">
                  <c:v>-71160.386397814393</c:v>
                </c:pt>
                <c:pt idx="1">
                  <c:v>-101347.75377164128</c:v>
                </c:pt>
                <c:pt idx="2">
                  <c:v>-100887.14924425186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961-4357-8854-F567C7E7E2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9382607"/>
        <c:axId val="119383087"/>
      </c:lineChart>
      <c:dateAx>
        <c:axId val="119382607"/>
        <c:scaling>
          <c:orientation val="minMax"/>
        </c:scaling>
        <c:delete val="0"/>
        <c:axPos val="b"/>
        <c:numFmt formatCode="d\-mmm\-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383087"/>
        <c:crosses val="autoZero"/>
        <c:auto val="1"/>
        <c:lblOffset val="100"/>
        <c:baseTimeUnit val="days"/>
      </c:dateAx>
      <c:valAx>
        <c:axId val="1193830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3826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'US ETF Compression'!$T$12:$T$14</c:f>
              <c:strCache>
                <c:ptCount val="3"/>
                <c:pt idx="0">
                  <c:v>Net P/L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'US ETF Compression'!$A$15:$A$44</c:f>
              <c:numCache>
                <c:formatCode>d\-mmm\-yy</c:formatCode>
                <c:ptCount val="30"/>
                <c:pt idx="0">
                  <c:v>45916</c:v>
                </c:pt>
                <c:pt idx="1">
                  <c:v>45917</c:v>
                </c:pt>
                <c:pt idx="2">
                  <c:v>45918</c:v>
                </c:pt>
                <c:pt idx="3">
                  <c:v>45919</c:v>
                </c:pt>
                <c:pt idx="4">
                  <c:v>45922</c:v>
                </c:pt>
                <c:pt idx="5">
                  <c:v>45923</c:v>
                </c:pt>
                <c:pt idx="6">
                  <c:v>45924</c:v>
                </c:pt>
                <c:pt idx="7">
                  <c:v>45925</c:v>
                </c:pt>
                <c:pt idx="8">
                  <c:v>45926</c:v>
                </c:pt>
                <c:pt idx="9">
                  <c:v>45929</c:v>
                </c:pt>
                <c:pt idx="10">
                  <c:v>45930</c:v>
                </c:pt>
                <c:pt idx="11">
                  <c:v>45931</c:v>
                </c:pt>
                <c:pt idx="12">
                  <c:v>45932</c:v>
                </c:pt>
                <c:pt idx="13">
                  <c:v>45933</c:v>
                </c:pt>
                <c:pt idx="14">
                  <c:v>45936</c:v>
                </c:pt>
                <c:pt idx="15">
                  <c:v>45937</c:v>
                </c:pt>
                <c:pt idx="16">
                  <c:v>45938</c:v>
                </c:pt>
                <c:pt idx="17">
                  <c:v>45939</c:v>
                </c:pt>
                <c:pt idx="18">
                  <c:v>45940</c:v>
                </c:pt>
                <c:pt idx="19">
                  <c:v>45941</c:v>
                </c:pt>
                <c:pt idx="20">
                  <c:v>45942</c:v>
                </c:pt>
              </c:numCache>
            </c:numRef>
          </c:cat>
          <c:val>
            <c:numRef>
              <c:f>'US ETF Compression'!$T$15:$T$44</c:f>
              <c:numCache>
                <c:formatCode>_("$"* #,##0_);_("$"* \(#,##0\);_("$"* "-"??_);_(@_)</c:formatCode>
                <c:ptCount val="30"/>
                <c:pt idx="0">
                  <c:v>31217.214616930833</c:v>
                </c:pt>
                <c:pt idx="1">
                  <c:v>-40274.442201504164</c:v>
                </c:pt>
                <c:pt idx="2">
                  <c:v>45075.639234011898</c:v>
                </c:pt>
                <c:pt idx="3">
                  <c:v>42451.761896485979</c:v>
                </c:pt>
                <c:pt idx="4">
                  <c:v>108871.49256401924</c:v>
                </c:pt>
                <c:pt idx="5">
                  <c:v>106697.93186877367</c:v>
                </c:pt>
                <c:pt idx="6">
                  <c:v>131978.59209042153</c:v>
                </c:pt>
                <c:pt idx="7">
                  <c:v>92444.507231884942</c:v>
                </c:pt>
                <c:pt idx="8">
                  <c:v>108259.48657025544</c:v>
                </c:pt>
                <c:pt idx="9">
                  <c:v>145392.45495853462</c:v>
                </c:pt>
                <c:pt idx="10">
                  <c:v>115643.94561680552</c:v>
                </c:pt>
                <c:pt idx="11">
                  <c:v>99114.446437403763</c:v>
                </c:pt>
                <c:pt idx="12">
                  <c:v>73234.049773876992</c:v>
                </c:pt>
                <c:pt idx="13">
                  <c:v>22942.234283888927</c:v>
                </c:pt>
                <c:pt idx="14">
                  <c:v>68433.5164725629</c:v>
                </c:pt>
                <c:pt idx="15">
                  <c:v>18088.264775209918</c:v>
                </c:pt>
                <c:pt idx="16">
                  <c:v>41148.901177205451</c:v>
                </c:pt>
                <c:pt idx="17">
                  <c:v>-19343.625719489806</c:v>
                </c:pt>
                <c:pt idx="18">
                  <c:v>-48946.307569337339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7EE-4AD1-9FEB-5A9884F9A0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0589551"/>
        <c:axId val="120590511"/>
      </c:lineChart>
      <c:dateAx>
        <c:axId val="120589551"/>
        <c:scaling>
          <c:orientation val="minMax"/>
        </c:scaling>
        <c:delete val="0"/>
        <c:axPos val="b"/>
        <c:numFmt formatCode="d\-mmm\-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590511"/>
        <c:crosses val="autoZero"/>
        <c:auto val="1"/>
        <c:lblOffset val="100"/>
        <c:baseTimeUnit val="days"/>
      </c:dateAx>
      <c:valAx>
        <c:axId val="1205905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5895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'US IG Cash Curve'!$T$12:$T$14</c:f>
              <c:strCache>
                <c:ptCount val="3"/>
                <c:pt idx="0">
                  <c:v>Net P/L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'US IG Cash Curve'!$A$15:$A$41</c:f>
              <c:numCache>
                <c:formatCode>d\-mmm\-yy</c:formatCode>
                <c:ptCount val="27"/>
                <c:pt idx="0">
                  <c:v>45926</c:v>
                </c:pt>
                <c:pt idx="1">
                  <c:v>45929</c:v>
                </c:pt>
                <c:pt idx="2">
                  <c:v>45930</c:v>
                </c:pt>
                <c:pt idx="3">
                  <c:v>45931</c:v>
                </c:pt>
                <c:pt idx="4">
                  <c:v>45932</c:v>
                </c:pt>
                <c:pt idx="5">
                  <c:v>45933</c:v>
                </c:pt>
                <c:pt idx="6">
                  <c:v>45936</c:v>
                </c:pt>
                <c:pt idx="7">
                  <c:v>45937</c:v>
                </c:pt>
                <c:pt idx="8">
                  <c:v>45938</c:v>
                </c:pt>
                <c:pt idx="9">
                  <c:v>45939</c:v>
                </c:pt>
                <c:pt idx="10">
                  <c:v>45940</c:v>
                </c:pt>
                <c:pt idx="11">
                  <c:v>45941</c:v>
                </c:pt>
                <c:pt idx="12">
                  <c:v>45942</c:v>
                </c:pt>
                <c:pt idx="13">
                  <c:v>45943</c:v>
                </c:pt>
                <c:pt idx="14">
                  <c:v>45944</c:v>
                </c:pt>
                <c:pt idx="15">
                  <c:v>45945</c:v>
                </c:pt>
                <c:pt idx="16">
                  <c:v>45946</c:v>
                </c:pt>
              </c:numCache>
            </c:numRef>
          </c:cat>
          <c:val>
            <c:numRef>
              <c:f>'US IG Cash Curve'!$T$15:$T$41</c:f>
              <c:numCache>
                <c:formatCode>_("$"* #,##0_);_("$"* \(#,##0\);_("$"* "-"??_);_(@_)</c:formatCode>
                <c:ptCount val="27"/>
                <c:pt idx="0">
                  <c:v>-55382.275611917656</c:v>
                </c:pt>
                <c:pt idx="1">
                  <c:v>-43004.817213670685</c:v>
                </c:pt>
                <c:pt idx="2">
                  <c:v>-51000.88574030342</c:v>
                </c:pt>
                <c:pt idx="3">
                  <c:v>-6247.6096224775101</c:v>
                </c:pt>
                <c:pt idx="4">
                  <c:v>-23146.914097216068</c:v>
                </c:pt>
                <c:pt idx="5">
                  <c:v>-46778.870482892766</c:v>
                </c:pt>
                <c:pt idx="6">
                  <c:v>-50093.547582631712</c:v>
                </c:pt>
                <c:pt idx="7">
                  <c:v>-20117.184810696766</c:v>
                </c:pt>
                <c:pt idx="8">
                  <c:v>-34393.672446354423</c:v>
                </c:pt>
                <c:pt idx="9">
                  <c:v>-40045.911519550646</c:v>
                </c:pt>
                <c:pt idx="10">
                  <c:v>-55845.534881110492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735-4047-B54E-769F5D902D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2552959"/>
        <c:axId val="122553439"/>
      </c:lineChart>
      <c:dateAx>
        <c:axId val="122552959"/>
        <c:scaling>
          <c:orientation val="minMax"/>
        </c:scaling>
        <c:delete val="0"/>
        <c:axPos val="b"/>
        <c:numFmt formatCode="d\-mmm\-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553439"/>
        <c:crosses val="autoZero"/>
        <c:auto val="1"/>
        <c:lblOffset val="100"/>
        <c:baseTimeUnit val="days"/>
      </c:dateAx>
      <c:valAx>
        <c:axId val="1225534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5529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'CDX IG vs SPX Puts'!$G$12:$G$14</c:f>
              <c:strCache>
                <c:ptCount val="3"/>
                <c:pt idx="0">
                  <c:v>Net P/L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'CDX IG vs SPX Puts'!$A$15:$A$41</c:f>
              <c:numCache>
                <c:formatCode>d\-mmm\-yy</c:formatCode>
                <c:ptCount val="13"/>
                <c:pt idx="0">
                  <c:v>45910</c:v>
                </c:pt>
                <c:pt idx="1">
                  <c:v>45911</c:v>
                </c:pt>
                <c:pt idx="2">
                  <c:v>45912</c:v>
                </c:pt>
                <c:pt idx="3">
                  <c:v>45913</c:v>
                </c:pt>
                <c:pt idx="4">
                  <c:v>45914</c:v>
                </c:pt>
              </c:numCache>
            </c:numRef>
          </c:cat>
          <c:val>
            <c:numRef>
              <c:f>'CDX IG vs SPX Puts'!$G$15:$G$41</c:f>
              <c:numCache>
                <c:formatCode>_("$"* #,##0_);_("$"* \(#,##0\);_("$"* "-"??_);_(@_)</c:formatCode>
                <c:ptCount val="13"/>
                <c:pt idx="0">
                  <c:v>-21322.777777777934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C10-4F8A-84AB-F6C595D276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94126960"/>
        <c:axId val="694118320"/>
      </c:lineChart>
      <c:dateAx>
        <c:axId val="694126960"/>
        <c:scaling>
          <c:orientation val="minMax"/>
        </c:scaling>
        <c:delete val="0"/>
        <c:axPos val="b"/>
        <c:numFmt formatCode="d\-mmm\-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4118320"/>
        <c:crosses val="autoZero"/>
        <c:auto val="1"/>
        <c:lblOffset val="100"/>
        <c:baseTimeUnit val="days"/>
      </c:dateAx>
      <c:valAx>
        <c:axId val="694118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41269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533400</xdr:colOff>
      <xdr:row>6</xdr:row>
      <xdr:rowOff>19050</xdr:rowOff>
    </xdr:from>
    <xdr:to>
      <xdr:col>27</xdr:col>
      <xdr:colOff>4764</xdr:colOff>
      <xdr:row>44</xdr:row>
      <xdr:rowOff>138906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E0D518C-92E8-49C7-A44B-A33B8B29EA3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595311</xdr:colOff>
      <xdr:row>10</xdr:row>
      <xdr:rowOff>31750</xdr:rowOff>
    </xdr:from>
    <xdr:to>
      <xdr:col>24</xdr:col>
      <xdr:colOff>79375</xdr:colOff>
      <xdr:row>31</xdr:row>
      <xdr:rowOff>161131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116E7BA-5079-4402-9582-E0393CB0534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595311</xdr:colOff>
      <xdr:row>10</xdr:row>
      <xdr:rowOff>31750</xdr:rowOff>
    </xdr:from>
    <xdr:to>
      <xdr:col>21</xdr:col>
      <xdr:colOff>79375</xdr:colOff>
      <xdr:row>31</xdr:row>
      <xdr:rowOff>161131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FBDA8BA-604F-43FA-BB65-32577F55A0E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595311</xdr:colOff>
      <xdr:row>10</xdr:row>
      <xdr:rowOff>31750</xdr:rowOff>
    </xdr:from>
    <xdr:to>
      <xdr:col>21</xdr:col>
      <xdr:colOff>79375</xdr:colOff>
      <xdr:row>31</xdr:row>
      <xdr:rowOff>161131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B9DD156-6774-45DD-B594-72912ED837B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486453</xdr:colOff>
      <xdr:row>13</xdr:row>
      <xdr:rowOff>151492</xdr:rowOff>
    </xdr:from>
    <xdr:to>
      <xdr:col>27</xdr:col>
      <xdr:colOff>210003</xdr:colOff>
      <xdr:row>35</xdr:row>
      <xdr:rowOff>128472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7C3C198-CB3C-49EB-9C05-1EDDE076B38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595311</xdr:colOff>
      <xdr:row>10</xdr:row>
      <xdr:rowOff>31750</xdr:rowOff>
    </xdr:from>
    <xdr:to>
      <xdr:col>21</xdr:col>
      <xdr:colOff>79375</xdr:colOff>
      <xdr:row>31</xdr:row>
      <xdr:rowOff>161131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9149445-5CB1-45F4-A0EC-FB75467E434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114299</xdr:colOff>
      <xdr:row>3</xdr:row>
      <xdr:rowOff>52388</xdr:rowOff>
    </xdr:from>
    <xdr:to>
      <xdr:col>30</xdr:col>
      <xdr:colOff>238124</xdr:colOff>
      <xdr:row>21</xdr:row>
      <xdr:rowOff>28575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1369EC2-27B2-D1CD-44ED-9DF8698BE34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108856</xdr:colOff>
      <xdr:row>1</xdr:row>
      <xdr:rowOff>76198</xdr:rowOff>
    </xdr:from>
    <xdr:to>
      <xdr:col>44</xdr:col>
      <xdr:colOff>293913</xdr:colOff>
      <xdr:row>24</xdr:row>
      <xdr:rowOff>119743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E8A3F75-F8BA-05FB-0CFA-1C644F477B9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326570</xdr:colOff>
      <xdr:row>16</xdr:row>
      <xdr:rowOff>87084</xdr:rowOff>
    </xdr:from>
    <xdr:to>
      <xdr:col>43</xdr:col>
      <xdr:colOff>468085</xdr:colOff>
      <xdr:row>36</xdr:row>
      <xdr:rowOff>163284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4A21725-7AC0-30BA-47C6-11DF5E54F81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809625</xdr:colOff>
      <xdr:row>7</xdr:row>
      <xdr:rowOff>157162</xdr:rowOff>
    </xdr:from>
    <xdr:to>
      <xdr:col>18</xdr:col>
      <xdr:colOff>133350</xdr:colOff>
      <xdr:row>42</xdr:row>
      <xdr:rowOff>104774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7740B05-7AD7-4BA7-FFFA-B952F1FA872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9"/>
  <sheetViews>
    <sheetView zoomScale="80" zoomScaleNormal="80" workbookViewId="0">
      <selection activeCell="J42" sqref="J42"/>
    </sheetView>
  </sheetViews>
  <sheetFormatPr defaultColWidth="9.109375" defaultRowHeight="14.4" x14ac:dyDescent="0.3"/>
  <cols>
    <col min="1" max="1" width="15.44140625" style="3" bestFit="1" customWidth="1"/>
    <col min="2" max="2" width="21.33203125" style="3" bestFit="1" customWidth="1"/>
    <col min="3" max="3" width="19.109375" style="3" bestFit="1" customWidth="1"/>
    <col min="4" max="4" width="11.33203125" style="62" bestFit="1" customWidth="1"/>
    <col min="5" max="5" width="10.33203125" style="3" bestFit="1" customWidth="1"/>
    <col min="6" max="6" width="24.6640625" style="3" bestFit="1" customWidth="1"/>
    <col min="7" max="7" width="13.109375" style="3" bestFit="1" customWidth="1"/>
    <col min="8" max="8" width="9.33203125" style="3" bestFit="1" customWidth="1"/>
    <col min="9" max="9" width="12" style="88" bestFit="1" customWidth="1"/>
    <col min="10" max="10" width="10.6640625" style="3" bestFit="1" customWidth="1"/>
    <col min="11" max="11" width="9.109375" style="3"/>
    <col min="12" max="12" width="10.5546875" style="3" bestFit="1" customWidth="1"/>
    <col min="13" max="13" width="8" style="3" bestFit="1" customWidth="1"/>
    <col min="14" max="14" width="10.5546875" style="3" bestFit="1" customWidth="1"/>
    <col min="15" max="16384" width="9.109375" style="3"/>
  </cols>
  <sheetData>
    <row r="1" spans="1:15" ht="15" thickBot="1" x14ac:dyDescent="0.35">
      <c r="A1" s="1"/>
      <c r="B1" s="1"/>
      <c r="C1" s="1"/>
      <c r="D1" s="31"/>
      <c r="E1" s="1"/>
      <c r="F1" s="1"/>
      <c r="G1" s="1"/>
      <c r="H1" s="1"/>
      <c r="I1" s="1"/>
      <c r="J1" s="1"/>
      <c r="L1" s="53">
        <f ca="1">TODAY()-5</f>
        <v>45935</v>
      </c>
    </row>
    <row r="2" spans="1:15" ht="15" thickBot="1" x14ac:dyDescent="0.35">
      <c r="A2" s="14"/>
      <c r="B2" s="27" t="s">
        <v>0</v>
      </c>
      <c r="C2" s="28" t="s">
        <v>1</v>
      </c>
      <c r="D2" s="31"/>
      <c r="E2" s="1"/>
      <c r="F2" s="29" t="s">
        <v>2</v>
      </c>
      <c r="G2" s="24">
        <v>45919</v>
      </c>
      <c r="H2" s="25">
        <v>45922</v>
      </c>
      <c r="I2" s="26" t="s">
        <v>3</v>
      </c>
      <c r="J2" s="23" t="s">
        <v>4</v>
      </c>
      <c r="L2" s="27" t="s">
        <v>0</v>
      </c>
      <c r="N2" s="28" t="s">
        <v>1</v>
      </c>
    </row>
    <row r="3" spans="1:15" x14ac:dyDescent="0.3">
      <c r="A3" s="14" t="s">
        <v>33</v>
      </c>
      <c r="B3" s="15" t="s">
        <v>5</v>
      </c>
      <c r="C3" s="5" t="s">
        <v>6</v>
      </c>
      <c r="D3" s="31"/>
      <c r="E3" s="1"/>
      <c r="F3" s="15" t="s">
        <v>7</v>
      </c>
      <c r="G3" s="1">
        <v>90.555000000000007</v>
      </c>
      <c r="H3" s="1">
        <v>91.102000000000004</v>
      </c>
      <c r="I3" s="1">
        <f>H3-G3</f>
        <v>0.54699999999999704</v>
      </c>
      <c r="J3" s="5"/>
      <c r="L3" s="53" cm="1">
        <f t="array" aca="1" ref="L3:M7" ca="1">_xll.BDH($B$4, "PX_LAST, ", $L$1, "")</f>
        <v>45936</v>
      </c>
      <c r="M3" s="3">
        <f ca="1"/>
        <v>106.31399999999999</v>
      </c>
      <c r="N3" s="53" cm="1">
        <f t="array" aca="1" ref="N3:O7" ca="1">_xll.BDH($C$4, "PX_LAST, ", $L$1, "")</f>
        <v>45936</v>
      </c>
      <c r="O3" s="3">
        <f ca="1"/>
        <v>100.465</v>
      </c>
    </row>
    <row r="4" spans="1:15" ht="30" customHeight="1" x14ac:dyDescent="0.3">
      <c r="A4" s="15" t="s">
        <v>34</v>
      </c>
      <c r="B4" s="17" t="s">
        <v>35</v>
      </c>
      <c r="C4" s="6" t="s">
        <v>36</v>
      </c>
      <c r="D4" s="31"/>
      <c r="E4" s="1"/>
      <c r="F4" s="15" t="s">
        <v>9</v>
      </c>
      <c r="G4" s="1">
        <v>91.418000000000006</v>
      </c>
      <c r="H4" s="1"/>
      <c r="I4" s="1"/>
      <c r="J4" s="5">
        <f>G4+I3</f>
        <v>91.965000000000003</v>
      </c>
      <c r="L4" s="53">
        <f ca="1"/>
        <v>45937</v>
      </c>
      <c r="M4" s="3">
        <f ca="1"/>
        <v>106.738</v>
      </c>
      <c r="N4" s="53">
        <f ca="1"/>
        <v>45937</v>
      </c>
      <c r="O4" s="3">
        <f ca="1"/>
        <v>100.452</v>
      </c>
    </row>
    <row r="5" spans="1:15" ht="15" thickBot="1" x14ac:dyDescent="0.35">
      <c r="A5" s="15" t="s">
        <v>8</v>
      </c>
      <c r="B5" s="18">
        <v>25000000</v>
      </c>
      <c r="C5" s="8">
        <v>7500000</v>
      </c>
      <c r="D5" s="31"/>
      <c r="E5" s="1"/>
      <c r="F5" s="16" t="s">
        <v>11</v>
      </c>
      <c r="G5" s="1"/>
      <c r="H5" s="1">
        <v>103.506</v>
      </c>
      <c r="I5" s="1"/>
      <c r="J5" s="5"/>
      <c r="L5" s="53">
        <f ca="1"/>
        <v>45938</v>
      </c>
      <c r="M5" s="3">
        <f ca="1"/>
        <v>104.556</v>
      </c>
      <c r="N5" s="53">
        <f ca="1"/>
        <v>45938</v>
      </c>
      <c r="O5" s="3">
        <f ca="1"/>
        <v>100.593</v>
      </c>
    </row>
    <row r="6" spans="1:15" ht="15" thickBot="1" x14ac:dyDescent="0.35">
      <c r="A6" s="15" t="s">
        <v>10</v>
      </c>
      <c r="B6" s="19">
        <v>0.01</v>
      </c>
      <c r="C6" s="10">
        <v>6.7000000000000004E-2</v>
      </c>
      <c r="D6" s="31"/>
      <c r="E6" s="1"/>
      <c r="F6" s="30" t="s">
        <v>13</v>
      </c>
      <c r="G6" s="23">
        <f>H5-J4</f>
        <v>11.540999999999997</v>
      </c>
      <c r="H6" s="21"/>
      <c r="I6" s="21"/>
      <c r="J6" s="22"/>
      <c r="L6" s="53">
        <f ca="1"/>
        <v>45939</v>
      </c>
      <c r="M6" s="3">
        <f ca="1"/>
        <v>103.562</v>
      </c>
      <c r="N6" s="53">
        <f ca="1"/>
        <v>45939</v>
      </c>
      <c r="O6" s="3">
        <f ca="1"/>
        <v>100.43899999999999</v>
      </c>
    </row>
    <row r="7" spans="1:15" x14ac:dyDescent="0.3">
      <c r="A7" s="15" t="s">
        <v>12</v>
      </c>
      <c r="B7" s="19">
        <v>0</v>
      </c>
      <c r="C7" s="10">
        <v>4.1000000000000002E-2</v>
      </c>
      <c r="D7" s="31"/>
      <c r="E7" s="1"/>
      <c r="I7" s="3"/>
      <c r="L7" s="53">
        <f ca="1"/>
        <v>45940</v>
      </c>
      <c r="M7" s="3">
        <f ca="1"/>
        <v>104.67</v>
      </c>
      <c r="N7" s="53">
        <f ca="1"/>
        <v>45940</v>
      </c>
      <c r="O7" s="3">
        <f ca="1"/>
        <v>100.443</v>
      </c>
    </row>
    <row r="8" spans="1:15" x14ac:dyDescent="0.3">
      <c r="A8" s="15" t="s">
        <v>14</v>
      </c>
      <c r="B8" s="15">
        <v>4.46</v>
      </c>
      <c r="C8" s="5"/>
      <c r="D8" s="31"/>
      <c r="E8" s="1"/>
      <c r="F8" s="1"/>
      <c r="G8" s="1"/>
      <c r="H8" s="1"/>
      <c r="I8" s="1"/>
      <c r="J8" s="1"/>
    </row>
    <row r="9" spans="1:15" x14ac:dyDescent="0.3">
      <c r="A9" s="15" t="s">
        <v>15</v>
      </c>
      <c r="B9" s="15">
        <v>1.17</v>
      </c>
      <c r="C9" s="5"/>
      <c r="D9" s="31"/>
      <c r="E9" s="1"/>
      <c r="F9" s="1"/>
      <c r="G9" s="1"/>
      <c r="H9" s="1"/>
      <c r="I9" s="1"/>
      <c r="J9" s="1"/>
    </row>
    <row r="10" spans="1:15" ht="15" thickBot="1" x14ac:dyDescent="0.35">
      <c r="A10" s="16" t="s">
        <v>29</v>
      </c>
      <c r="B10" s="20" cm="1">
        <f t="array" ref="B10">_xll.BDP(B4,"PX_LAST")</f>
        <v>104.6699</v>
      </c>
      <c r="C10" s="13" cm="1">
        <f t="array" ref="C10">_xll.BDP(C4,"PX_LAST")</f>
        <v>100.443</v>
      </c>
      <c r="D10" s="31"/>
      <c r="E10" s="1"/>
      <c r="F10" s="1"/>
      <c r="G10" s="1"/>
      <c r="H10" s="1"/>
      <c r="I10" s="1"/>
      <c r="J10" s="1"/>
    </row>
    <row r="11" spans="1:15" ht="15" thickBot="1" x14ac:dyDescent="0.35">
      <c r="A11" s="1"/>
      <c r="B11" s="1"/>
      <c r="C11" s="1"/>
      <c r="D11" s="31"/>
      <c r="E11" s="1"/>
      <c r="F11" s="1"/>
      <c r="G11" s="1"/>
      <c r="H11" s="1"/>
      <c r="I11" s="1"/>
      <c r="J11" s="1"/>
    </row>
    <row r="12" spans="1:15" ht="15" thickBot="1" x14ac:dyDescent="0.35">
      <c r="A12" s="40" t="s">
        <v>23</v>
      </c>
      <c r="B12" s="113" t="s">
        <v>0</v>
      </c>
      <c r="C12" s="114"/>
      <c r="D12" s="114"/>
      <c r="E12" s="115"/>
      <c r="F12" s="116" t="s">
        <v>1</v>
      </c>
      <c r="G12" s="117"/>
      <c r="H12" s="118"/>
      <c r="I12" s="40" t="s">
        <v>16</v>
      </c>
      <c r="J12" s="1"/>
    </row>
    <row r="13" spans="1:15" ht="15" thickBot="1" x14ac:dyDescent="0.35">
      <c r="A13" s="16"/>
      <c r="B13" s="11" t="s">
        <v>25</v>
      </c>
      <c r="C13" s="21" t="s">
        <v>18</v>
      </c>
      <c r="D13" s="50" t="s">
        <v>19</v>
      </c>
      <c r="E13" s="22" t="s">
        <v>20</v>
      </c>
      <c r="F13" s="11" t="s">
        <v>17</v>
      </c>
      <c r="G13" s="21" t="s">
        <v>21</v>
      </c>
      <c r="H13" s="22" t="s">
        <v>20</v>
      </c>
      <c r="I13" s="16"/>
      <c r="J13" s="1"/>
    </row>
    <row r="14" spans="1:15" x14ac:dyDescent="0.3">
      <c r="A14" s="37">
        <v>45903</v>
      </c>
      <c r="B14" s="4">
        <v>106.5</v>
      </c>
      <c r="C14" s="1">
        <v>106.5</v>
      </c>
      <c r="D14" s="31"/>
      <c r="E14" s="5"/>
      <c r="F14" s="4">
        <v>98.875</v>
      </c>
      <c r="G14" s="1"/>
      <c r="H14" s="5"/>
      <c r="I14" s="15"/>
      <c r="J14" s="1"/>
    </row>
    <row r="15" spans="1:15" x14ac:dyDescent="0.3">
      <c r="A15" s="37">
        <v>45904</v>
      </c>
      <c r="B15" s="4">
        <v>101.988</v>
      </c>
      <c r="C15" s="1">
        <v>101.988</v>
      </c>
      <c r="D15" s="31">
        <f t="shared" ref="D15:D26" si="0">-1*(C15-$C$14)*10^-4*$B$8*$B$5</f>
        <v>50308.800000000003</v>
      </c>
      <c r="E15" s="32">
        <f t="shared" ref="E15:E26" si="1">$B$6*(A15-$A$14)/360*$B$5</f>
        <v>694.44444444444446</v>
      </c>
      <c r="F15" s="4">
        <v>99.388999999999996</v>
      </c>
      <c r="G15" s="31">
        <f>(F15-$F$14)/100*$C$5</f>
        <v>38549.999999999687</v>
      </c>
      <c r="H15" s="32">
        <f>$C$6*(A15-$A$14)/360*$C$5-$C$7*(A15-$A$14)/360*$C$5*$F$14/100</f>
        <v>551.27604166666697</v>
      </c>
      <c r="I15" s="85">
        <f>(D15+E15)*$B$9-G15-H15</f>
        <v>20572.519958333647</v>
      </c>
      <c r="J15" s="1"/>
      <c r="L15" s="53"/>
    </row>
    <row r="16" spans="1:15" x14ac:dyDescent="0.3">
      <c r="A16" s="37">
        <v>45905</v>
      </c>
      <c r="B16" s="4">
        <v>99.507999999999996</v>
      </c>
      <c r="C16" s="1">
        <v>99.507999999999996</v>
      </c>
      <c r="D16" s="31">
        <f t="shared" si="0"/>
        <v>77960.800000000047</v>
      </c>
      <c r="E16" s="32">
        <f t="shared" si="1"/>
        <v>1388.8888888888889</v>
      </c>
      <c r="F16" s="4">
        <v>99.855000000000004</v>
      </c>
      <c r="G16" s="31">
        <f t="shared" ref="G16:G39" si="2">(F16-$F$14)/100*$C$5</f>
        <v>73500.000000000291</v>
      </c>
      <c r="H16" s="32">
        <f t="shared" ref="H16:H34" si="3">$C$6*(A16-$A$14)/360*$C$5-$C$7*(A16-$A$14)/360*$C$5*$F$14/100</f>
        <v>1102.5520833333339</v>
      </c>
      <c r="I16" s="85">
        <f t="shared" ref="I16:I33" si="4">(D16+E16)*$B$9-G16-H16</f>
        <v>18236.58391666643</v>
      </c>
      <c r="J16" s="1"/>
      <c r="L16" s="53"/>
    </row>
    <row r="17" spans="1:12" x14ac:dyDescent="0.3">
      <c r="A17" s="37">
        <v>45908</v>
      </c>
      <c r="B17" s="4">
        <v>97.378</v>
      </c>
      <c r="C17" s="1">
        <v>97.378</v>
      </c>
      <c r="D17" s="31">
        <f t="shared" si="0"/>
        <v>101710.30000000002</v>
      </c>
      <c r="E17" s="32">
        <f t="shared" si="1"/>
        <v>3472.2222222222222</v>
      </c>
      <c r="F17" s="4">
        <v>99.869</v>
      </c>
      <c r="G17" s="31">
        <f t="shared" si="2"/>
        <v>74549.999999999985</v>
      </c>
      <c r="H17" s="32">
        <f t="shared" si="3"/>
        <v>2756.380208333333</v>
      </c>
      <c r="I17" s="85">
        <f t="shared" si="4"/>
        <v>45757.170791666686</v>
      </c>
      <c r="J17" s="1"/>
      <c r="L17" s="53"/>
    </row>
    <row r="18" spans="1:12" x14ac:dyDescent="0.3">
      <c r="A18" s="37">
        <v>45909</v>
      </c>
      <c r="B18" s="4">
        <v>96.828000000000003</v>
      </c>
      <c r="C18" s="1">
        <v>96.828000000000003</v>
      </c>
      <c r="D18" s="31">
        <f t="shared" si="0"/>
        <v>107842.79999999997</v>
      </c>
      <c r="E18" s="32">
        <f t="shared" si="1"/>
        <v>4166.666666666667</v>
      </c>
      <c r="F18" s="4">
        <v>99.733000000000004</v>
      </c>
      <c r="G18" s="31">
        <f t="shared" si="2"/>
        <v>64350.000000000306</v>
      </c>
      <c r="H18" s="32">
        <f t="shared" si="3"/>
        <v>3307.65625</v>
      </c>
      <c r="I18" s="85">
        <f t="shared" si="4"/>
        <v>63393.419749999666</v>
      </c>
      <c r="J18" s="1"/>
      <c r="L18" s="53"/>
    </row>
    <row r="19" spans="1:12" x14ac:dyDescent="0.3">
      <c r="A19" s="37">
        <v>45910</v>
      </c>
      <c r="B19" s="4">
        <v>95.448999999999998</v>
      </c>
      <c r="C19" s="1">
        <v>95.448999999999998</v>
      </c>
      <c r="D19" s="31">
        <f t="shared" si="0"/>
        <v>123218.65000000002</v>
      </c>
      <c r="E19" s="32">
        <f t="shared" si="1"/>
        <v>4861.1111111111113</v>
      </c>
      <c r="F19" s="4">
        <v>100.00700000000001</v>
      </c>
      <c r="G19" s="31">
        <f t="shared" si="2"/>
        <v>84900.000000000378</v>
      </c>
      <c r="H19" s="32">
        <f t="shared" si="3"/>
        <v>3858.9322916666661</v>
      </c>
      <c r="I19" s="85">
        <f t="shared" si="4"/>
        <v>61094.388208332988</v>
      </c>
      <c r="J19" s="1"/>
      <c r="L19" s="53"/>
    </row>
    <row r="20" spans="1:12" x14ac:dyDescent="0.3">
      <c r="A20" s="37">
        <v>45911</v>
      </c>
      <c r="B20" s="4">
        <v>92.872</v>
      </c>
      <c r="C20" s="1">
        <v>92.872</v>
      </c>
      <c r="D20" s="31">
        <f t="shared" si="0"/>
        <v>151952.20000000001</v>
      </c>
      <c r="E20" s="32">
        <f t="shared" si="1"/>
        <v>5555.5555555555557</v>
      </c>
      <c r="F20" s="4">
        <v>100.071</v>
      </c>
      <c r="G20" s="31">
        <f t="shared" si="2"/>
        <v>89699.99999999984</v>
      </c>
      <c r="H20" s="32">
        <f t="shared" si="3"/>
        <v>4410.2083333333358</v>
      </c>
      <c r="I20" s="85">
        <f t="shared" si="4"/>
        <v>90173.865666666854</v>
      </c>
      <c r="J20" s="1"/>
      <c r="L20" s="53"/>
    </row>
    <row r="21" spans="1:12" x14ac:dyDescent="0.3">
      <c r="A21" s="37">
        <v>45912</v>
      </c>
      <c r="B21" s="4">
        <v>92.445999999999998</v>
      </c>
      <c r="C21" s="1">
        <v>92.445999999999998</v>
      </c>
      <c r="D21" s="31">
        <f t="shared" si="0"/>
        <v>156702.10000000003</v>
      </c>
      <c r="E21" s="32">
        <f t="shared" si="1"/>
        <v>6250</v>
      </c>
      <c r="F21" s="4">
        <v>100.351</v>
      </c>
      <c r="G21" s="31">
        <f t="shared" si="2"/>
        <v>110699.99999999993</v>
      </c>
      <c r="H21" s="32">
        <f t="shared" si="3"/>
        <v>4961.4843749999973</v>
      </c>
      <c r="I21" s="85">
        <f t="shared" si="4"/>
        <v>74992.472625000097</v>
      </c>
      <c r="J21" s="1"/>
      <c r="L21" s="53"/>
    </row>
    <row r="22" spans="1:12" x14ac:dyDescent="0.3">
      <c r="A22" s="37">
        <v>45915</v>
      </c>
      <c r="B22" s="4">
        <v>91.334000000000003</v>
      </c>
      <c r="C22" s="1">
        <v>91.334000000000003</v>
      </c>
      <c r="D22" s="31">
        <f t="shared" si="0"/>
        <v>169100.89999999997</v>
      </c>
      <c r="E22" s="32">
        <f t="shared" si="1"/>
        <v>8333.3333333333339</v>
      </c>
      <c r="F22" s="4">
        <v>100.464</v>
      </c>
      <c r="G22" s="31">
        <f t="shared" si="2"/>
        <v>119174.99999999991</v>
      </c>
      <c r="H22" s="32">
        <f t="shared" si="3"/>
        <v>6615.3125</v>
      </c>
      <c r="I22" s="85">
        <f t="shared" si="4"/>
        <v>81807.740500000044</v>
      </c>
      <c r="J22" s="1"/>
    </row>
    <row r="23" spans="1:12" hidden="1" x14ac:dyDescent="0.3">
      <c r="A23" s="37">
        <v>45916</v>
      </c>
      <c r="B23" s="4">
        <v>91.960999999999999</v>
      </c>
      <c r="C23" s="1">
        <v>91.960999999999999</v>
      </c>
      <c r="D23" s="31">
        <f t="shared" si="0"/>
        <v>162109.85000000003</v>
      </c>
      <c r="E23" s="32">
        <f t="shared" si="1"/>
        <v>9027.7777777777792</v>
      </c>
      <c r="F23" s="4">
        <v>100.637</v>
      </c>
      <c r="G23" s="31">
        <f t="shared" si="2"/>
        <v>132150.00000000003</v>
      </c>
      <c r="H23" s="32">
        <f t="shared" si="3"/>
        <v>7166.5885416666679</v>
      </c>
      <c r="I23" s="85">
        <f t="shared" si="4"/>
        <v>60914.435958333328</v>
      </c>
      <c r="J23" s="1"/>
    </row>
    <row r="24" spans="1:12" hidden="1" x14ac:dyDescent="0.3">
      <c r="A24" s="37">
        <v>45917</v>
      </c>
      <c r="B24" s="4">
        <v>92.38</v>
      </c>
      <c r="C24" s="1">
        <v>92.38</v>
      </c>
      <c r="D24" s="31">
        <f t="shared" si="0"/>
        <v>157438.00000000006</v>
      </c>
      <c r="E24" s="32">
        <f t="shared" si="1"/>
        <v>9722.2222222222226</v>
      </c>
      <c r="F24" s="4">
        <v>100.393</v>
      </c>
      <c r="G24" s="31">
        <f t="shared" si="2"/>
        <v>113850.00000000004</v>
      </c>
      <c r="H24" s="32">
        <f t="shared" si="3"/>
        <v>7717.8645833333321</v>
      </c>
      <c r="I24" s="85">
        <f t="shared" si="4"/>
        <v>74009.595416666678</v>
      </c>
      <c r="J24" s="1"/>
    </row>
    <row r="25" spans="1:12" hidden="1" x14ac:dyDescent="0.3">
      <c r="A25" s="37">
        <v>45918</v>
      </c>
      <c r="B25" s="4">
        <v>91.418000000000006</v>
      </c>
      <c r="C25" s="1">
        <v>91.418000000000006</v>
      </c>
      <c r="D25" s="31">
        <f t="shared" si="0"/>
        <v>168164.29999999993</v>
      </c>
      <c r="E25" s="32">
        <f t="shared" si="1"/>
        <v>10416.666666666666</v>
      </c>
      <c r="F25" s="4">
        <v>101.098</v>
      </c>
      <c r="G25" s="31">
        <f t="shared" si="2"/>
        <v>166724.99999999991</v>
      </c>
      <c r="H25" s="32">
        <f t="shared" si="3"/>
        <v>8269.1406250000036</v>
      </c>
      <c r="I25" s="85">
        <f t="shared" si="4"/>
        <v>33945.590374999971</v>
      </c>
      <c r="J25" s="1"/>
    </row>
    <row r="26" spans="1:12" hidden="1" x14ac:dyDescent="0.3">
      <c r="A26" s="37">
        <v>45919</v>
      </c>
      <c r="B26" s="4">
        <v>91.418000000000006</v>
      </c>
      <c r="C26" s="1">
        <v>91.418000000000006</v>
      </c>
      <c r="D26" s="31">
        <f t="shared" si="0"/>
        <v>168164.29999999993</v>
      </c>
      <c r="E26" s="32">
        <f t="shared" si="1"/>
        <v>11111.111111111111</v>
      </c>
      <c r="F26" s="4">
        <v>101.206</v>
      </c>
      <c r="G26" s="31">
        <f t="shared" si="2"/>
        <v>174825.00000000023</v>
      </c>
      <c r="H26" s="32">
        <f t="shared" si="3"/>
        <v>8820.4166666666715</v>
      </c>
      <c r="I26" s="85">
        <f t="shared" si="4"/>
        <v>26106.814333333008</v>
      </c>
      <c r="J26" s="1"/>
    </row>
    <row r="27" spans="1:12" hidden="1" x14ac:dyDescent="0.3">
      <c r="A27" s="38"/>
      <c r="B27" s="33" t="s">
        <v>22</v>
      </c>
      <c r="C27" s="1"/>
      <c r="D27" s="31"/>
      <c r="E27" s="32"/>
      <c r="F27" s="4"/>
      <c r="G27" s="31"/>
      <c r="H27" s="32"/>
      <c r="I27" s="85"/>
      <c r="J27" s="1"/>
    </row>
    <row r="28" spans="1:12" hidden="1" x14ac:dyDescent="0.3">
      <c r="A28" s="37">
        <v>45922</v>
      </c>
      <c r="B28" s="4">
        <v>103.506</v>
      </c>
      <c r="C28" s="1">
        <f t="shared" ref="C28:C39" si="5">B28-$G$6</f>
        <v>91.965000000000003</v>
      </c>
      <c r="D28" s="31">
        <f t="shared" ref="D28:D34" si="6">-1*(C28-$C$14)*10^-4*$B$8*$B$5</f>
        <v>162065.24999999997</v>
      </c>
      <c r="E28" s="32">
        <f>$B$6*(A28-$A$14)/360*$B$5</f>
        <v>13194.444444444445</v>
      </c>
      <c r="F28" s="4">
        <v>101.038</v>
      </c>
      <c r="G28" s="31">
        <f t="shared" si="2"/>
        <v>162224.99999999977</v>
      </c>
      <c r="H28" s="32">
        <f t="shared" si="3"/>
        <v>10474.244791666672</v>
      </c>
      <c r="I28" s="85">
        <f t="shared" si="4"/>
        <v>32354.597708333502</v>
      </c>
      <c r="J28" s="1"/>
    </row>
    <row r="29" spans="1:12" hidden="1" x14ac:dyDescent="0.3">
      <c r="A29" s="37">
        <v>45923</v>
      </c>
      <c r="B29" s="4">
        <v>103.071</v>
      </c>
      <c r="C29" s="1">
        <f t="shared" si="5"/>
        <v>91.53</v>
      </c>
      <c r="D29" s="31">
        <f t="shared" si="6"/>
        <v>166915.5</v>
      </c>
      <c r="E29" s="32">
        <f>$B$6*(A29-$A$14)/360*$B$5</f>
        <v>13888.888888888889</v>
      </c>
      <c r="F29" s="4">
        <v>101.117</v>
      </c>
      <c r="G29" s="31">
        <f t="shared" si="2"/>
        <v>168150.00000000032</v>
      </c>
      <c r="H29" s="32">
        <f t="shared" si="3"/>
        <v>11025.520833333332</v>
      </c>
      <c r="I29" s="85">
        <f t="shared" si="4"/>
        <v>32365.614166666328</v>
      </c>
      <c r="J29" s="1"/>
    </row>
    <row r="30" spans="1:12" hidden="1" x14ac:dyDescent="0.3">
      <c r="A30" s="37">
        <v>45924</v>
      </c>
      <c r="B30" s="4">
        <v>102.89400000000001</v>
      </c>
      <c r="C30" s="1">
        <f t="shared" si="5"/>
        <v>91.353000000000009</v>
      </c>
      <c r="D30" s="31">
        <f t="shared" si="6"/>
        <v>168889.0499999999</v>
      </c>
      <c r="E30" s="32">
        <f>$B$6*(A30-$A$14)/360*$B$5</f>
        <v>14583.333333333332</v>
      </c>
      <c r="F30" s="4">
        <v>101.117</v>
      </c>
      <c r="G30" s="31">
        <f t="shared" si="2"/>
        <v>168150.00000000032</v>
      </c>
      <c r="H30" s="32">
        <f t="shared" si="3"/>
        <v>11576.796875</v>
      </c>
      <c r="I30" s="85">
        <f t="shared" si="4"/>
        <v>34935.891624999553</v>
      </c>
      <c r="J30" s="1"/>
    </row>
    <row r="31" spans="1:12" hidden="1" x14ac:dyDescent="0.3">
      <c r="A31" s="37">
        <v>45925</v>
      </c>
      <c r="B31" s="4">
        <v>105.11</v>
      </c>
      <c r="C31" s="1">
        <f t="shared" si="5"/>
        <v>93.569000000000003</v>
      </c>
      <c r="D31" s="31">
        <f t="shared" si="6"/>
        <v>144180.64999999997</v>
      </c>
      <c r="E31" s="32">
        <f t="shared" ref="E31:E39" si="7">$B$6*(A31-$A$14)/360*$B$5</f>
        <v>15277.777777777777</v>
      </c>
      <c r="F31" s="4">
        <v>100.76900000000001</v>
      </c>
      <c r="G31" s="31">
        <f t="shared" si="2"/>
        <v>142050.00000000041</v>
      </c>
      <c r="H31" s="32">
        <f t="shared" si="3"/>
        <v>12128.072916666668</v>
      </c>
      <c r="I31" s="85">
        <f t="shared" si="4"/>
        <v>32388.287583332876</v>
      </c>
      <c r="J31" s="1"/>
    </row>
    <row r="32" spans="1:12" hidden="1" x14ac:dyDescent="0.3">
      <c r="A32" s="37">
        <v>45926</v>
      </c>
      <c r="B32" s="4">
        <v>105.75</v>
      </c>
      <c r="C32" s="1">
        <f t="shared" si="5"/>
        <v>94.209000000000003</v>
      </c>
      <c r="D32" s="31">
        <f t="shared" si="6"/>
        <v>137044.64999999997</v>
      </c>
      <c r="E32" s="32">
        <f t="shared" si="7"/>
        <v>15972.222222222223</v>
      </c>
      <c r="F32" s="4">
        <v>100.946</v>
      </c>
      <c r="G32" s="1">
        <f t="shared" si="2"/>
        <v>155324.99999999983</v>
      </c>
      <c r="H32" s="32">
        <f t="shared" si="3"/>
        <v>12679.348958333332</v>
      </c>
      <c r="I32" s="85">
        <f t="shared" si="4"/>
        <v>11025.391541666799</v>
      </c>
      <c r="J32" s="1"/>
    </row>
    <row r="33" spans="1:10" hidden="1" x14ac:dyDescent="0.3">
      <c r="A33" s="37">
        <v>45929</v>
      </c>
      <c r="B33" s="4">
        <v>104.60299999999999</v>
      </c>
      <c r="C33" s="1">
        <f t="shared" si="5"/>
        <v>93.061999999999998</v>
      </c>
      <c r="D33" s="31">
        <f t="shared" si="6"/>
        <v>149833.70000000001</v>
      </c>
      <c r="E33" s="32">
        <f t="shared" si="7"/>
        <v>18055.555555555558</v>
      </c>
      <c r="F33" s="4">
        <v>100.848</v>
      </c>
      <c r="G33" s="1">
        <f t="shared" si="2"/>
        <v>147974.99999999994</v>
      </c>
      <c r="H33" s="32">
        <f t="shared" si="3"/>
        <v>14333.177083333336</v>
      </c>
      <c r="I33" s="85">
        <f t="shared" si="4"/>
        <v>34122.251916666726</v>
      </c>
      <c r="J33" s="1"/>
    </row>
    <row r="34" spans="1:10" hidden="1" x14ac:dyDescent="0.3">
      <c r="A34" s="37">
        <v>45930</v>
      </c>
      <c r="B34" s="4">
        <v>105.137</v>
      </c>
      <c r="C34" s="1">
        <f t="shared" si="5"/>
        <v>93.596000000000004</v>
      </c>
      <c r="D34" s="31">
        <f t="shared" si="6"/>
        <v>143879.59999999995</v>
      </c>
      <c r="E34" s="32">
        <f t="shared" si="7"/>
        <v>18750</v>
      </c>
      <c r="F34" s="4">
        <v>100.81</v>
      </c>
      <c r="G34" s="1">
        <f t="shared" si="2"/>
        <v>145125.00000000017</v>
      </c>
      <c r="H34" s="32">
        <f t="shared" si="3"/>
        <v>14884.453125000007</v>
      </c>
      <c r="I34" s="85">
        <f t="shared" ref="I34:I39" si="8">(D34+E34)*$B$9-G34-H34</f>
        <v>30267.178874999743</v>
      </c>
      <c r="J34" s="1"/>
    </row>
    <row r="35" spans="1:10" hidden="1" x14ac:dyDescent="0.3">
      <c r="A35" s="37">
        <v>45931</v>
      </c>
      <c r="B35" s="4">
        <v>104.288</v>
      </c>
      <c r="C35" s="1">
        <f t="shared" si="5"/>
        <v>92.747</v>
      </c>
      <c r="D35" s="31">
        <f t="shared" ref="D35:D40" si="9">-1*(C35-$C$14)*10^-4*$B$8*$B$5</f>
        <v>153345.95000000001</v>
      </c>
      <c r="E35" s="32">
        <f t="shared" si="7"/>
        <v>19444.444444444445</v>
      </c>
      <c r="F35" s="4">
        <v>100.845</v>
      </c>
      <c r="G35" s="1">
        <f t="shared" si="2"/>
        <v>147749.99999999991</v>
      </c>
      <c r="H35" s="32">
        <f t="shared" ref="H35" si="10">$C$6*(A35-$A$14)/360*$C$5-$C$7*(A35-$A$14)/360*$C$5*$F$14/100</f>
        <v>15435.729166666664</v>
      </c>
      <c r="I35" s="85">
        <f t="shared" si="8"/>
        <v>38979.032333333416</v>
      </c>
      <c r="J35" s="1"/>
    </row>
    <row r="36" spans="1:10" hidden="1" x14ac:dyDescent="0.3">
      <c r="A36" s="37">
        <v>45932</v>
      </c>
      <c r="B36" s="4">
        <v>102.09</v>
      </c>
      <c r="C36" s="1">
        <f t="shared" si="5"/>
        <v>90.549000000000007</v>
      </c>
      <c r="D36" s="31">
        <f t="shared" si="9"/>
        <v>177853.64999999994</v>
      </c>
      <c r="E36" s="32">
        <f t="shared" si="7"/>
        <v>20138.888888888887</v>
      </c>
      <c r="F36" s="4">
        <v>101.143</v>
      </c>
      <c r="G36" s="1">
        <f t="shared" si="2"/>
        <v>170100.00000000003</v>
      </c>
      <c r="H36" s="32">
        <f t="shared" ref="H36:H41" si="11">$C$6*(A36-$A$14)/360*$C$5-$C$7*(A36-$A$14)/360*$C$5*$F$14/100</f>
        <v>15987.005208333343</v>
      </c>
      <c r="I36" s="85">
        <f t="shared" si="8"/>
        <v>45564.265291666525</v>
      </c>
      <c r="J36" s="1"/>
    </row>
    <row r="37" spans="1:10" x14ac:dyDescent="0.3">
      <c r="A37" s="37">
        <v>45933</v>
      </c>
      <c r="B37" s="4">
        <v>101.806</v>
      </c>
      <c r="C37" s="1">
        <f t="shared" si="5"/>
        <v>90.265000000000001</v>
      </c>
      <c r="D37" s="31">
        <f t="shared" si="9"/>
        <v>181020.25</v>
      </c>
      <c r="E37" s="32">
        <f t="shared" si="7"/>
        <v>20833.333333333332</v>
      </c>
      <c r="F37" s="4">
        <v>101.01600000000001</v>
      </c>
      <c r="G37" s="1">
        <f t="shared" si="2"/>
        <v>160575.00000000041</v>
      </c>
      <c r="H37" s="32">
        <f t="shared" si="11"/>
        <v>16538.281250000007</v>
      </c>
      <c r="I37" s="85">
        <f t="shared" si="8"/>
        <v>59055.41124999959</v>
      </c>
      <c r="J37" s="1"/>
    </row>
    <row r="38" spans="1:10" x14ac:dyDescent="0.3">
      <c r="A38" s="37">
        <v>45936</v>
      </c>
      <c r="B38" s="4">
        <v>106.31399999999999</v>
      </c>
      <c r="C38" s="1">
        <f t="shared" si="5"/>
        <v>94.772999999999996</v>
      </c>
      <c r="D38" s="31">
        <f t="shared" si="9"/>
        <v>130756.05000000005</v>
      </c>
      <c r="E38" s="32">
        <f t="shared" si="7"/>
        <v>22916.666666666668</v>
      </c>
      <c r="F38" s="4">
        <v>100.465</v>
      </c>
      <c r="G38" s="1">
        <f t="shared" si="2"/>
        <v>119250.00000000026</v>
      </c>
      <c r="H38" s="32">
        <f t="shared" si="11"/>
        <v>18192.109375000007</v>
      </c>
      <c r="I38" s="85">
        <f t="shared" si="8"/>
        <v>42354.969124999763</v>
      </c>
      <c r="J38" s="1"/>
    </row>
    <row r="39" spans="1:10" x14ac:dyDescent="0.3">
      <c r="A39" s="37">
        <v>45937</v>
      </c>
      <c r="B39" s="4">
        <v>106.738</v>
      </c>
      <c r="C39" s="1">
        <f t="shared" si="5"/>
        <v>95.197000000000003</v>
      </c>
      <c r="D39" s="31">
        <f t="shared" si="9"/>
        <v>126028.45</v>
      </c>
      <c r="E39" s="32">
        <f t="shared" si="7"/>
        <v>23611.111111111113</v>
      </c>
      <c r="F39" s="4">
        <v>100.452</v>
      </c>
      <c r="G39" s="1">
        <f t="shared" si="2"/>
        <v>118274.99999999987</v>
      </c>
      <c r="H39" s="32">
        <f t="shared" si="11"/>
        <v>18743.385416666664</v>
      </c>
      <c r="I39" s="85">
        <f t="shared" si="8"/>
        <v>38059.901083333454</v>
      </c>
      <c r="J39" s="1"/>
    </row>
    <row r="40" spans="1:10" x14ac:dyDescent="0.3">
      <c r="A40" s="37">
        <v>45938</v>
      </c>
      <c r="B40" s="4">
        <v>104.556</v>
      </c>
      <c r="C40" s="1">
        <f t="shared" ref="C40" si="12">B40-$G$6</f>
        <v>93.015000000000001</v>
      </c>
      <c r="D40" s="31">
        <f t="shared" si="9"/>
        <v>150357.75</v>
      </c>
      <c r="E40" s="32">
        <f t="shared" ref="E40" si="13">$B$6*(A40-$A$14)/360*$B$5</f>
        <v>24305.555555555558</v>
      </c>
      <c r="F40" s="4">
        <v>100.593</v>
      </c>
      <c r="G40" s="1">
        <f t="shared" ref="G40" si="14">(F40-$F$14)/100*$C$5</f>
        <v>128850.00000000026</v>
      </c>
      <c r="H40" s="32">
        <f t="shared" si="11"/>
        <v>19294.661458333336</v>
      </c>
      <c r="I40" s="85">
        <f t="shared" ref="I40" si="15">(D40+E40)*$B$9-G40-H40</f>
        <v>56211.406041666407</v>
      </c>
      <c r="J40" s="1"/>
    </row>
    <row r="41" spans="1:10" x14ac:dyDescent="0.3">
      <c r="A41" s="37">
        <v>45939</v>
      </c>
      <c r="B41" s="4">
        <v>103.562</v>
      </c>
      <c r="C41" s="1">
        <f t="shared" ref="C41" si="16">B41-$G$6</f>
        <v>92.021000000000001</v>
      </c>
      <c r="D41" s="31">
        <f t="shared" ref="D41" si="17">-1*(C41-$C$14)*10^-4*$B$8*$B$5</f>
        <v>161440.85</v>
      </c>
      <c r="E41" s="32">
        <f t="shared" ref="E41" si="18">$B$6*(A41-$A$14)/360*$B$5</f>
        <v>25000</v>
      </c>
      <c r="F41" s="4">
        <v>100.43899999999999</v>
      </c>
      <c r="G41" s="1">
        <f t="shared" ref="G41" si="19">(F41-$F$14)/100*$C$5</f>
        <v>117299.99999999946</v>
      </c>
      <c r="H41" s="32">
        <f t="shared" si="11"/>
        <v>19845.937499999989</v>
      </c>
      <c r="I41" s="85">
        <f t="shared" ref="I41" si="20">(D41+E41)*$B$9-G41-H41</f>
        <v>80989.857000000542</v>
      </c>
      <c r="J41" s="1"/>
    </row>
    <row r="42" spans="1:10" x14ac:dyDescent="0.3">
      <c r="A42" s="37">
        <v>45940</v>
      </c>
      <c r="B42" s="4">
        <v>103.851</v>
      </c>
      <c r="C42" s="1">
        <f t="shared" ref="C42" si="21">B42-$G$6</f>
        <v>92.31</v>
      </c>
      <c r="D42" s="31">
        <f t="shared" ref="D42" si="22">-1*(C42-$C$14)*10^-4*$B$8*$B$5</f>
        <v>158218.49999999997</v>
      </c>
      <c r="E42" s="32">
        <f t="shared" ref="E42" si="23">$B$6*(A42-$A$14)/360*$B$5</f>
        <v>25694.444444444445</v>
      </c>
      <c r="F42" s="4">
        <v>100.443</v>
      </c>
      <c r="G42" s="1">
        <f t="shared" ref="G42" si="24">(F42-$F$14)/100*$C$5</f>
        <v>117599.99999999984</v>
      </c>
      <c r="H42" s="32">
        <f t="shared" ref="H42" si="25">$C$6*(A42-$A$14)/360*$C$5-$C$7*(A42-$A$14)/360*$C$5*$F$14/100</f>
        <v>20397.213541666664</v>
      </c>
      <c r="I42" s="85">
        <f t="shared" ref="I42" si="26">(D42+E42)*$B$9-G42-H42</f>
        <v>77180.93145833342</v>
      </c>
      <c r="J42" s="1"/>
    </row>
    <row r="43" spans="1:10" x14ac:dyDescent="0.3">
      <c r="A43" s="37">
        <v>45941</v>
      </c>
      <c r="B43" s="4"/>
      <c r="C43" s="1"/>
      <c r="D43" s="31"/>
      <c r="E43" s="5"/>
      <c r="F43" s="4"/>
      <c r="G43" s="1"/>
      <c r="H43" s="5"/>
      <c r="I43" s="84"/>
      <c r="J43" s="1"/>
    </row>
    <row r="44" spans="1:10" x14ac:dyDescent="0.3">
      <c r="A44" s="37">
        <v>45942</v>
      </c>
      <c r="B44" s="4"/>
      <c r="C44" s="1"/>
      <c r="D44" s="31"/>
      <c r="E44" s="5"/>
      <c r="F44" s="4"/>
      <c r="G44" s="1"/>
      <c r="H44" s="5"/>
      <c r="I44" s="84"/>
      <c r="J44" s="1"/>
    </row>
    <row r="45" spans="1:10" x14ac:dyDescent="0.3">
      <c r="A45" s="37">
        <v>45943</v>
      </c>
      <c r="B45" s="4"/>
      <c r="C45" s="1"/>
      <c r="D45" s="31"/>
      <c r="E45" s="5"/>
      <c r="F45" s="4"/>
      <c r="G45" s="1"/>
      <c r="H45" s="5"/>
      <c r="I45" s="84"/>
      <c r="J45" s="1"/>
    </row>
    <row r="46" spans="1:10" x14ac:dyDescent="0.3">
      <c r="A46" s="37">
        <v>45944</v>
      </c>
      <c r="B46" s="4"/>
      <c r="C46" s="1"/>
      <c r="D46" s="31"/>
      <c r="E46" s="5"/>
      <c r="F46" s="4"/>
      <c r="G46" s="1"/>
      <c r="H46" s="5"/>
      <c r="I46" s="84"/>
      <c r="J46" s="1"/>
    </row>
    <row r="47" spans="1:10" x14ac:dyDescent="0.3">
      <c r="B47" s="4"/>
      <c r="C47" s="1"/>
      <c r="D47" s="31"/>
      <c r="E47" s="5"/>
      <c r="F47" s="4"/>
      <c r="G47" s="1"/>
      <c r="H47" s="5"/>
      <c r="I47" s="84"/>
      <c r="J47" s="1"/>
    </row>
    <row r="48" spans="1:10" x14ac:dyDescent="0.3">
      <c r="B48" s="34"/>
      <c r="E48" s="35"/>
      <c r="F48" s="34"/>
      <c r="H48" s="35"/>
      <c r="I48" s="86"/>
    </row>
    <row r="49" spans="2:9" ht="15" thickBot="1" x14ac:dyDescent="0.35">
      <c r="B49" s="36"/>
      <c r="C49" s="12"/>
      <c r="D49" s="72"/>
      <c r="E49" s="13"/>
      <c r="F49" s="36"/>
      <c r="G49" s="12"/>
      <c r="H49" s="13"/>
      <c r="I49" s="87"/>
    </row>
  </sheetData>
  <mergeCells count="2">
    <mergeCell ref="B12:E12"/>
    <mergeCell ref="F12:H12"/>
  </mergeCells>
  <conditionalFormatting sqref="I1:I1048576">
    <cfRule type="cellIs" dxfId="9" priority="1" operator="lessThan">
      <formula>0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FA83B-073A-4D88-B763-20B11E093595}">
  <dimension ref="A1:L53"/>
  <sheetViews>
    <sheetView zoomScale="80" zoomScaleNormal="80" workbookViewId="0">
      <selection activeCell="L26" sqref="L26"/>
    </sheetView>
  </sheetViews>
  <sheetFormatPr defaultRowHeight="14.4" x14ac:dyDescent="0.3"/>
  <cols>
    <col min="1" max="1" width="15.44140625" style="55" bestFit="1" customWidth="1"/>
    <col min="2" max="5" width="16.88671875" style="55" customWidth="1"/>
    <col min="6" max="6" width="10.5546875" style="55" bestFit="1" customWidth="1"/>
    <col min="7" max="7" width="8.44140625" style="55" bestFit="1" customWidth="1"/>
    <col min="8" max="8" width="14" style="55" customWidth="1"/>
    <col min="9" max="9" width="8.5546875" style="55" bestFit="1" customWidth="1"/>
    <col min="10" max="10" width="10.5546875" style="55" bestFit="1" customWidth="1"/>
    <col min="11" max="11" width="11.88671875" style="55" bestFit="1" customWidth="1"/>
    <col min="12" max="12" width="10.6640625" style="55" bestFit="1" customWidth="1"/>
    <col min="13" max="16384" width="8.88671875" style="55"/>
  </cols>
  <sheetData>
    <row r="1" spans="1:12" ht="15" thickBot="1" x14ac:dyDescent="0.35">
      <c r="A1" s="1"/>
      <c r="B1" s="1"/>
      <c r="C1" s="1"/>
      <c r="D1" s="1"/>
      <c r="E1" s="1"/>
      <c r="F1" s="54">
        <f ca="1">TODAY()-5</f>
        <v>45935</v>
      </c>
      <c r="G1" s="1"/>
      <c r="H1" s="1"/>
      <c r="I1" s="1"/>
      <c r="J1" s="1"/>
      <c r="K1" s="1"/>
      <c r="L1" s="1"/>
    </row>
    <row r="2" spans="1:12" ht="15" thickBot="1" x14ac:dyDescent="0.35">
      <c r="A2" s="30"/>
      <c r="B2" s="41" t="s">
        <v>0</v>
      </c>
      <c r="C2" s="45" t="s">
        <v>0</v>
      </c>
      <c r="D2" s="28" t="s">
        <v>1</v>
      </c>
      <c r="F2" s="27" t="s">
        <v>0</v>
      </c>
      <c r="G2" s="1"/>
      <c r="H2" s="45" t="s">
        <v>0</v>
      </c>
      <c r="I2" s="2"/>
      <c r="J2" s="28" t="s">
        <v>1</v>
      </c>
      <c r="K2" s="1"/>
      <c r="L2" s="1"/>
    </row>
    <row r="3" spans="1:12" x14ac:dyDescent="0.3">
      <c r="A3" s="15" t="s">
        <v>33</v>
      </c>
      <c r="B3" s="1" t="s">
        <v>30</v>
      </c>
      <c r="C3" s="1" t="s">
        <v>31</v>
      </c>
      <c r="D3" s="5" t="s">
        <v>32</v>
      </c>
      <c r="F3" s="53" cm="1">
        <f t="array" aca="1" ref="F3:G7" ca="1">_xll.BDH($B$4, "PX_LAST, ", $F$1, "")</f>
        <v>45936</v>
      </c>
      <c r="G3" s="1">
        <f ca="1"/>
        <v>46.728999999999999</v>
      </c>
      <c r="H3" s="53" cm="1">
        <f t="array" aca="1" ref="H3:I7" ca="1">_xll.BDH($C$4, "PX_LAST, ", $F$1, "")</f>
        <v>45936</v>
      </c>
      <c r="I3" s="47">
        <f ca="1"/>
        <v>34.582000000000001</v>
      </c>
      <c r="J3" s="53" cm="1">
        <f t="array" aca="1" ref="J3:K7" ca="1">_xll.BDH($D$4, "PX_LAST, ", $F$1, "")</f>
        <v>45936</v>
      </c>
      <c r="K3" s="1">
        <f ca="1"/>
        <v>48.448999999999998</v>
      </c>
      <c r="L3" s="1"/>
    </row>
    <row r="4" spans="1:12" ht="32.25" customHeight="1" x14ac:dyDescent="0.3">
      <c r="A4" s="15" t="s">
        <v>34</v>
      </c>
      <c r="B4" s="42" t="s">
        <v>26</v>
      </c>
      <c r="C4" s="42" t="s">
        <v>27</v>
      </c>
      <c r="D4" s="43" t="s">
        <v>28</v>
      </c>
      <c r="F4" s="78">
        <f ca="1"/>
        <v>45937</v>
      </c>
      <c r="G4" s="1">
        <f ca="1"/>
        <v>47.106999999999999</v>
      </c>
      <c r="H4" s="54">
        <f ca="1"/>
        <v>45937</v>
      </c>
      <c r="I4" s="1">
        <f ca="1"/>
        <v>34.889000000000003</v>
      </c>
      <c r="J4" s="54">
        <f ca="1"/>
        <v>45937</v>
      </c>
      <c r="K4" s="1">
        <f ca="1"/>
        <v>49.048000000000002</v>
      </c>
      <c r="L4" s="1"/>
    </row>
    <row r="5" spans="1:12" x14ac:dyDescent="0.3">
      <c r="A5" s="15" t="s">
        <v>8</v>
      </c>
      <c r="B5" s="7">
        <f>14*10^6</f>
        <v>14000000</v>
      </c>
      <c r="C5" s="7">
        <f>16*10^6</f>
        <v>16000000</v>
      </c>
      <c r="D5" s="8">
        <f>25*10^6</f>
        <v>25000000</v>
      </c>
      <c r="F5" s="78">
        <f ca="1"/>
        <v>45938</v>
      </c>
      <c r="G5" s="1">
        <f ca="1"/>
        <v>47.887999999999998</v>
      </c>
      <c r="H5" s="54">
        <f ca="1"/>
        <v>45938</v>
      </c>
      <c r="I5" s="1">
        <f ca="1"/>
        <v>35.597999999999999</v>
      </c>
      <c r="J5" s="54">
        <f ca="1"/>
        <v>45938</v>
      </c>
      <c r="K5" s="1">
        <f ca="1"/>
        <v>49.271000000000001</v>
      </c>
      <c r="L5" s="1"/>
    </row>
    <row r="6" spans="1:12" x14ac:dyDescent="0.3">
      <c r="A6" s="15" t="s">
        <v>10</v>
      </c>
      <c r="B6" s="9">
        <v>0.05</v>
      </c>
      <c r="C6" s="9">
        <v>0.01</v>
      </c>
      <c r="D6" s="44">
        <v>0.01</v>
      </c>
      <c r="F6" s="78">
        <f ca="1"/>
        <v>45939</v>
      </c>
      <c r="G6" s="1">
        <f ca="1"/>
        <v>47.508000000000003</v>
      </c>
      <c r="H6" s="54">
        <f ca="1"/>
        <v>45939</v>
      </c>
      <c r="I6" s="1">
        <f ca="1"/>
        <v>34.442</v>
      </c>
      <c r="J6" s="54">
        <f ca="1"/>
        <v>45939</v>
      </c>
      <c r="K6" s="1">
        <f ca="1"/>
        <v>49.787999999999997</v>
      </c>
      <c r="L6" s="1"/>
    </row>
    <row r="7" spans="1:12" x14ac:dyDescent="0.3">
      <c r="A7" s="15" t="s">
        <v>12</v>
      </c>
      <c r="B7" s="9">
        <v>0</v>
      </c>
      <c r="C7" s="9">
        <v>0</v>
      </c>
      <c r="D7" s="44">
        <v>0</v>
      </c>
      <c r="F7" s="78">
        <f ca="1"/>
        <v>45940</v>
      </c>
      <c r="G7" s="1">
        <f ca="1"/>
        <v>48.610999999999997</v>
      </c>
      <c r="H7" s="54">
        <f ca="1"/>
        <v>45940</v>
      </c>
      <c r="I7" s="1">
        <f ca="1"/>
        <v>34.442</v>
      </c>
      <c r="J7" s="54">
        <f ca="1"/>
        <v>45940</v>
      </c>
      <c r="K7" s="1">
        <f ca="1"/>
        <v>50.311</v>
      </c>
      <c r="L7" s="1"/>
    </row>
    <row r="8" spans="1:12" x14ac:dyDescent="0.3">
      <c r="A8" s="15" t="s">
        <v>14</v>
      </c>
      <c r="B8" s="1">
        <v>5.86</v>
      </c>
      <c r="C8" s="1">
        <v>5.0599999999999996</v>
      </c>
      <c r="D8" s="5">
        <v>5</v>
      </c>
      <c r="G8" s="1"/>
      <c r="H8" s="1"/>
      <c r="I8" s="1"/>
      <c r="J8" s="1"/>
      <c r="K8" s="1"/>
      <c r="L8" s="1"/>
    </row>
    <row r="9" spans="1:12" x14ac:dyDescent="0.3">
      <c r="A9" s="15" t="s">
        <v>15</v>
      </c>
      <c r="B9" s="1" t="s">
        <v>24</v>
      </c>
      <c r="C9" s="1" t="s">
        <v>24</v>
      </c>
      <c r="D9" s="5" t="s">
        <v>24</v>
      </c>
      <c r="G9" s="1"/>
      <c r="H9" s="1"/>
      <c r="I9" s="1"/>
      <c r="J9" s="1"/>
      <c r="K9" s="1"/>
      <c r="L9" s="1"/>
    </row>
    <row r="10" spans="1:12" ht="15" thickBot="1" x14ac:dyDescent="0.35">
      <c r="A10" s="16" t="s">
        <v>29</v>
      </c>
      <c r="B10" s="21" cm="1">
        <f t="array" ref="B10">_xll.BDP(B4,"px_last")</f>
        <v>48.611429999999999</v>
      </c>
      <c r="C10" s="21" cm="1">
        <f t="array" ref="C10">_xll.BDP(C4,"px_last")</f>
        <v>34.441540000000003</v>
      </c>
      <c r="D10" s="22" cm="1">
        <f t="array" ref="D10">_xll.BDP(D4,"px_last")</f>
        <v>50.310589999999998</v>
      </c>
      <c r="E10" s="1"/>
      <c r="F10" s="1"/>
      <c r="G10" s="1"/>
      <c r="H10" s="1"/>
      <c r="I10" s="1"/>
      <c r="J10" s="1"/>
      <c r="K10" s="1"/>
      <c r="L10" s="1"/>
    </row>
    <row r="11" spans="1:12" ht="15" thickBot="1" x14ac:dyDescent="0.35"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ht="15" thickBot="1" x14ac:dyDescent="0.35">
      <c r="A12" s="40" t="s">
        <v>23</v>
      </c>
      <c r="B12" s="113" t="s">
        <v>0</v>
      </c>
      <c r="C12" s="114"/>
      <c r="D12" s="115"/>
      <c r="E12" s="119" t="s">
        <v>0</v>
      </c>
      <c r="F12" s="120"/>
      <c r="G12" s="121"/>
      <c r="H12" s="116" t="s">
        <v>1</v>
      </c>
      <c r="I12" s="117"/>
      <c r="J12" s="118"/>
      <c r="K12" s="40" t="s">
        <v>16</v>
      </c>
      <c r="L12" s="1"/>
    </row>
    <row r="13" spans="1:12" ht="15" thickBot="1" x14ac:dyDescent="0.35">
      <c r="A13" s="16"/>
      <c r="B13" s="11" t="s">
        <v>25</v>
      </c>
      <c r="C13" s="21" t="s">
        <v>19</v>
      </c>
      <c r="D13" s="22" t="s">
        <v>20</v>
      </c>
      <c r="E13" s="11" t="s">
        <v>25</v>
      </c>
      <c r="F13" s="21" t="s">
        <v>19</v>
      </c>
      <c r="G13" s="22" t="s">
        <v>20</v>
      </c>
      <c r="H13" s="11" t="s">
        <v>25</v>
      </c>
      <c r="I13" s="21" t="s">
        <v>19</v>
      </c>
      <c r="J13" s="22" t="s">
        <v>20</v>
      </c>
      <c r="K13" s="16"/>
      <c r="L13" s="1"/>
    </row>
    <row r="14" spans="1:12" x14ac:dyDescent="0.3">
      <c r="A14" s="37">
        <v>45924</v>
      </c>
      <c r="B14" s="46">
        <v>44.5</v>
      </c>
      <c r="C14" s="47"/>
      <c r="D14" s="48"/>
      <c r="E14" s="4">
        <v>34</v>
      </c>
      <c r="F14" s="1"/>
      <c r="G14" s="5"/>
      <c r="H14" s="4">
        <v>51</v>
      </c>
      <c r="I14" s="1"/>
      <c r="J14" s="5"/>
      <c r="K14" s="15"/>
      <c r="L14" s="1"/>
    </row>
    <row r="15" spans="1:12" x14ac:dyDescent="0.3">
      <c r="A15" s="37">
        <v>45925</v>
      </c>
      <c r="B15" s="46">
        <v>46.033999999999999</v>
      </c>
      <c r="C15" s="31">
        <f>-1*(B15-$B$14)*10^-4*$B$8*$B$5</f>
        <v>-12584.935999999992</v>
      </c>
      <c r="D15" s="32">
        <f>$B$6*(A15-$A$14)/360*$B$5</f>
        <v>1944.4444444444443</v>
      </c>
      <c r="E15" s="4">
        <v>35.618000000000002</v>
      </c>
      <c r="F15" s="31">
        <f>-1*(E15-$E$14)*10^-4*$C$8*$C$5</f>
        <v>-13099.328000000016</v>
      </c>
      <c r="G15" s="32">
        <f>$C$6*(A15-$A$14)/360*$C$5</f>
        <v>444.44444444444446</v>
      </c>
      <c r="H15" s="4">
        <v>49.97</v>
      </c>
      <c r="I15" s="31">
        <f>-1*(H15-$H$14)*10^-4*$D$8*$D$5</f>
        <v>12875.000000000015</v>
      </c>
      <c r="J15" s="32">
        <f>$D$6*(A15-$A$14)/360*$D$5</f>
        <v>694.44444444444446</v>
      </c>
      <c r="K15" s="101">
        <f>C15+D15+F15+G15-I15-J15</f>
        <v>-36864.819555555579</v>
      </c>
      <c r="L15" s="1"/>
    </row>
    <row r="16" spans="1:12" x14ac:dyDescent="0.3">
      <c r="A16" s="37">
        <v>45926</v>
      </c>
      <c r="B16" s="46">
        <v>45.863</v>
      </c>
      <c r="C16" s="31">
        <f t="shared" ref="C16:C17" si="0">-1*(B16-$B$14)*10^-4*$B$8*$B$5</f>
        <v>-11182.051999999998</v>
      </c>
      <c r="D16" s="32">
        <f t="shared" ref="D16:D17" si="1">$B$6*(A16-$A$14)/360*$B$5</f>
        <v>3888.8888888888887</v>
      </c>
      <c r="E16" s="4">
        <v>35.451000000000001</v>
      </c>
      <c r="F16" s="31">
        <f t="shared" ref="F16:F17" si="2">-1*(E16-$E$14)*10^-4*$C$8*$C$5</f>
        <v>-11747.296000000004</v>
      </c>
      <c r="G16" s="32">
        <f t="shared" ref="G16:G17" si="3">$C$6*(A16-$A$14)/360*$C$5</f>
        <v>888.88888888888891</v>
      </c>
      <c r="H16" s="4">
        <v>49.46</v>
      </c>
      <c r="I16" s="31">
        <f t="shared" ref="I16:I17" si="4">-1*(H16-$H$14)*10^-4*$D$8*$D$5</f>
        <v>19249.999999999989</v>
      </c>
      <c r="J16" s="32">
        <f t="shared" ref="J16:J17" si="5">$D$6*(A16-$A$14)/360*$D$5</f>
        <v>1388.8888888888889</v>
      </c>
      <c r="K16" s="101">
        <f t="shared" ref="K16:K17" si="6">C16+D16+F16+G16-I16-J16</f>
        <v>-38790.459111111108</v>
      </c>
      <c r="L16" s="1"/>
    </row>
    <row r="17" spans="1:12" x14ac:dyDescent="0.3">
      <c r="A17" s="37">
        <v>45929</v>
      </c>
      <c r="B17" s="46">
        <v>45.945999999999998</v>
      </c>
      <c r="C17" s="31">
        <f t="shared" si="0"/>
        <v>-11862.983999999984</v>
      </c>
      <c r="D17" s="32">
        <f t="shared" si="1"/>
        <v>9722.2222222222226</v>
      </c>
      <c r="E17" s="4">
        <v>35.258000000000003</v>
      </c>
      <c r="F17" s="31">
        <f t="shared" si="2"/>
        <v>-10184.768000000022</v>
      </c>
      <c r="G17" s="32">
        <f t="shared" si="3"/>
        <v>2222.2222222222222</v>
      </c>
      <c r="H17" s="4">
        <v>48.598999999999997</v>
      </c>
      <c r="I17" s="31">
        <f t="shared" si="4"/>
        <v>30012.500000000044</v>
      </c>
      <c r="J17" s="32">
        <f t="shared" si="5"/>
        <v>3472.2222222222222</v>
      </c>
      <c r="K17" s="101">
        <f t="shared" si="6"/>
        <v>-43588.029777777825</v>
      </c>
      <c r="L17" s="1"/>
    </row>
    <row r="18" spans="1:12" x14ac:dyDescent="0.3">
      <c r="A18" s="37">
        <v>45930</v>
      </c>
      <c r="B18" s="46">
        <v>47.238</v>
      </c>
      <c r="C18" s="31">
        <f t="shared" ref="C18:C23" si="7">-1*(B18-$B$14)*10^-4*$B$8*$B$5</f>
        <v>-22462.552</v>
      </c>
      <c r="D18" s="32">
        <f t="shared" ref="D18:D23" si="8">$B$6*(A18-$A$14)/360*$B$5</f>
        <v>11666.66666666667</v>
      </c>
      <c r="E18" s="4">
        <v>35.067999999999998</v>
      </c>
      <c r="F18" s="31">
        <f t="shared" ref="F18:F23" si="9">-1*(E18-$E$14)*10^-4*$C$8*$C$5</f>
        <v>-8646.5279999999839</v>
      </c>
      <c r="G18" s="32">
        <f t="shared" ref="G18:G23" si="10">$C$6*(A18-$A$14)/360*$C$5</f>
        <v>2666.6666666666665</v>
      </c>
      <c r="H18" s="4">
        <v>49.289000000000001</v>
      </c>
      <c r="I18" s="31">
        <f t="shared" ref="I18:I23" si="11">-1*(H18-$H$14)*10^-4*$D$8*$D$5</f>
        <v>21387.499999999982</v>
      </c>
      <c r="J18" s="32">
        <f t="shared" ref="J18" si="12">$D$6*(A18-$A$14)/360*$D$5</f>
        <v>4166.666666666667</v>
      </c>
      <c r="K18" s="101">
        <f>C18+D18+F18+G18-I18-J18</f>
        <v>-42329.913333333294</v>
      </c>
      <c r="L18" s="1"/>
    </row>
    <row r="19" spans="1:12" x14ac:dyDescent="0.3">
      <c r="A19" s="37">
        <v>45931</v>
      </c>
      <c r="B19" s="46">
        <v>47.076000000000001</v>
      </c>
      <c r="C19" s="31">
        <f t="shared" si="7"/>
        <v>-21133.504000000008</v>
      </c>
      <c r="D19" s="32">
        <f t="shared" si="8"/>
        <v>13611.111111111113</v>
      </c>
      <c r="E19" s="4">
        <v>35.444000000000003</v>
      </c>
      <c r="F19" s="31">
        <f t="shared" si="9"/>
        <v>-11690.62400000002</v>
      </c>
      <c r="G19" s="32">
        <f t="shared" si="10"/>
        <v>3111.1111111111113</v>
      </c>
      <c r="H19" s="4">
        <v>49.095999999999997</v>
      </c>
      <c r="I19" s="31">
        <f t="shared" si="11"/>
        <v>23800.00000000004</v>
      </c>
      <c r="J19" s="32">
        <f t="shared" ref="J19" si="13">$D$6*(A19-$A$14)/360*$D$5</f>
        <v>4861.1111111111113</v>
      </c>
      <c r="K19" s="101">
        <f t="shared" ref="K19" si="14">C19+D19+F19+G19-I19-J19</f>
        <v>-44763.016888888953</v>
      </c>
      <c r="L19" s="1"/>
    </row>
    <row r="20" spans="1:12" x14ac:dyDescent="0.3">
      <c r="A20" s="37">
        <v>45932</v>
      </c>
      <c r="B20" s="46">
        <v>46.082000000000001</v>
      </c>
      <c r="C20" s="31">
        <f t="shared" si="7"/>
        <v>-12978.728000000006</v>
      </c>
      <c r="D20" s="32">
        <f t="shared" si="8"/>
        <v>15555.555555555555</v>
      </c>
      <c r="E20" s="4">
        <v>33.387</v>
      </c>
      <c r="F20" s="31">
        <f t="shared" si="9"/>
        <v>4962.8479999999963</v>
      </c>
      <c r="G20" s="32">
        <f t="shared" si="10"/>
        <v>3555.5555555555557</v>
      </c>
      <c r="H20" s="4">
        <v>48.683</v>
      </c>
      <c r="I20" s="31">
        <f t="shared" si="11"/>
        <v>28962.5</v>
      </c>
      <c r="J20" s="32">
        <f t="shared" ref="J20" si="15">$D$6*(A20-$A$14)/360*$D$5</f>
        <v>5555.5555555555557</v>
      </c>
      <c r="K20" s="101">
        <f t="shared" ref="K20" si="16">C20+D20+F20+G20-I20-J20</f>
        <v>-23422.824444444454</v>
      </c>
      <c r="L20" s="1"/>
    </row>
    <row r="21" spans="1:12" x14ac:dyDescent="0.3">
      <c r="A21" s="37">
        <v>45933</v>
      </c>
      <c r="B21" s="46">
        <v>46.137</v>
      </c>
      <c r="C21" s="31">
        <f t="shared" si="7"/>
        <v>-13429.948000000004</v>
      </c>
      <c r="D21" s="32">
        <f t="shared" si="8"/>
        <v>17500</v>
      </c>
      <c r="E21" s="4">
        <v>33.853999999999999</v>
      </c>
      <c r="F21" s="31">
        <f t="shared" si="9"/>
        <v>1182.0160000000064</v>
      </c>
      <c r="G21" s="32">
        <f t="shared" si="10"/>
        <v>4000</v>
      </c>
      <c r="H21" s="4">
        <v>47.753</v>
      </c>
      <c r="I21" s="31">
        <f t="shared" si="11"/>
        <v>40587.5</v>
      </c>
      <c r="J21" s="32">
        <f t="shared" ref="J21" si="17">$D$6*(A21-$A$14)/360*$D$5</f>
        <v>6250</v>
      </c>
      <c r="K21" s="101">
        <f t="shared" ref="K21" si="18">C21+D21+F21+G21-I21-J21</f>
        <v>-37585.432000000001</v>
      </c>
      <c r="L21" s="1"/>
    </row>
    <row r="22" spans="1:12" x14ac:dyDescent="0.3">
      <c r="A22" s="37">
        <v>45936</v>
      </c>
      <c r="B22" s="46">
        <v>46.728999999999999</v>
      </c>
      <c r="C22" s="31">
        <f t="shared" si="7"/>
        <v>-18286.715999999997</v>
      </c>
      <c r="D22" s="32">
        <f t="shared" si="8"/>
        <v>23333.333333333339</v>
      </c>
      <c r="E22" s="4">
        <v>34.582000000000001</v>
      </c>
      <c r="F22" s="31">
        <f t="shared" si="9"/>
        <v>-4711.8720000000058</v>
      </c>
      <c r="G22" s="32">
        <f t="shared" si="10"/>
        <v>5333.333333333333</v>
      </c>
      <c r="H22" s="4">
        <v>48.448999999999998</v>
      </c>
      <c r="I22" s="31">
        <f t="shared" si="11"/>
        <v>31887.500000000025</v>
      </c>
      <c r="J22" s="32">
        <f t="shared" ref="J22" si="19">$D$6*(A22-$A$14)/360*$D$5</f>
        <v>8333.3333333333339</v>
      </c>
      <c r="K22" s="101">
        <f t="shared" ref="K22" si="20">C22+D22+F22+G22-I22-J22</f>
        <v>-34552.754666666689</v>
      </c>
      <c r="L22" s="1"/>
    </row>
    <row r="23" spans="1:12" x14ac:dyDescent="0.3">
      <c r="A23" s="37">
        <v>45937</v>
      </c>
      <c r="B23" s="1">
        <v>47.106999999999999</v>
      </c>
      <c r="C23" s="31">
        <f t="shared" si="7"/>
        <v>-21387.827999999998</v>
      </c>
      <c r="D23" s="32">
        <f t="shared" si="8"/>
        <v>25277.777777777781</v>
      </c>
      <c r="E23" s="4">
        <v>34.889000000000003</v>
      </c>
      <c r="F23" s="31">
        <f t="shared" si="9"/>
        <v>-7197.3440000000228</v>
      </c>
      <c r="G23" s="32">
        <f t="shared" si="10"/>
        <v>5777.7777777777783</v>
      </c>
      <c r="H23" s="4">
        <v>49.048000000000002</v>
      </c>
      <c r="I23" s="31">
        <f t="shared" si="11"/>
        <v>24399.999999999982</v>
      </c>
      <c r="J23" s="32">
        <f t="shared" ref="J23" si="21">$D$6*(A23-$A$14)/360*$D$5</f>
        <v>9027.7777777777792</v>
      </c>
      <c r="K23" s="101">
        <f t="shared" ref="K23" si="22">C23+D23+F23+G23-I23-J23</f>
        <v>-30957.394222222225</v>
      </c>
      <c r="L23" s="1"/>
    </row>
    <row r="24" spans="1:12" x14ac:dyDescent="0.3">
      <c r="A24" s="37">
        <v>45938</v>
      </c>
      <c r="B24" s="1">
        <v>47.887999999999998</v>
      </c>
      <c r="C24" s="31">
        <f t="shared" ref="C24" si="23">-1*(B24-$B$14)*10^-4*$B$8*$B$5</f>
        <v>-27795.151999999987</v>
      </c>
      <c r="D24" s="32">
        <f t="shared" ref="D24" si="24">$B$6*(A24-$A$14)/360*$B$5</f>
        <v>27222.222222222226</v>
      </c>
      <c r="E24" s="4">
        <v>35.597999999999999</v>
      </c>
      <c r="F24" s="31">
        <f t="shared" ref="F24" si="25">-1*(E24-$E$14)*10^-4*$C$8*$C$5</f>
        <v>-12937.40799999999</v>
      </c>
      <c r="G24" s="32">
        <f t="shared" ref="G24" si="26">$C$6*(A24-$A$14)/360*$C$5</f>
        <v>6222.2222222222226</v>
      </c>
      <c r="H24" s="4">
        <v>49.271000000000001</v>
      </c>
      <c r="I24" s="31">
        <f t="shared" ref="I24" si="27">-1*(H24-$H$14)*10^-4*$D$8*$D$5</f>
        <v>21612.499999999989</v>
      </c>
      <c r="J24" s="32">
        <f t="shared" ref="J24" si="28">$D$6*(A24-$A$14)/360*$D$5</f>
        <v>9722.2222222222226</v>
      </c>
      <c r="K24" s="101">
        <f t="shared" ref="K24" si="29">C24+D24+F24+G24-I24-J24</f>
        <v>-38622.837777777735</v>
      </c>
      <c r="L24" s="1"/>
    </row>
    <row r="25" spans="1:12" x14ac:dyDescent="0.3">
      <c r="A25" s="37">
        <v>45939</v>
      </c>
      <c r="B25" s="1">
        <v>47.508000000000003</v>
      </c>
      <c r="C25" s="31">
        <f t="shared" ref="C25" si="30">-1*(B25-$B$14)*10^-4*$B$8*$B$5</f>
        <v>-24677.632000000023</v>
      </c>
      <c r="D25" s="32">
        <f t="shared" ref="D25" si="31">$B$6*(A25-$A$14)/360*$B$5</f>
        <v>29166.666666666668</v>
      </c>
      <c r="E25" s="4">
        <v>34.442</v>
      </c>
      <c r="F25" s="31">
        <f t="shared" ref="F25" si="32">-1*(E25-$E$14)*10^-4*$C$8*$C$5</f>
        <v>-3578.4320000000012</v>
      </c>
      <c r="G25" s="32">
        <f t="shared" ref="G25" si="33">$C$6*(A25-$A$14)/360*$C$5</f>
        <v>6666.6666666666661</v>
      </c>
      <c r="H25" s="4">
        <v>49.787999999999997</v>
      </c>
      <c r="I25" s="31">
        <f t="shared" ref="I25" si="34">-1*(H25-$H$14)*10^-4*$D$8*$D$5</f>
        <v>15150.00000000004</v>
      </c>
      <c r="J25" s="32">
        <f t="shared" ref="J25" si="35">$D$6*(A25-$A$14)/360*$D$5</f>
        <v>10416.666666666666</v>
      </c>
      <c r="K25" s="101">
        <f t="shared" ref="K25" si="36">C25+D25+F25+G25-I25-J25</f>
        <v>-17989.397333333396</v>
      </c>
      <c r="L25" s="1"/>
    </row>
    <row r="26" spans="1:12" x14ac:dyDescent="0.3">
      <c r="A26" s="37">
        <v>45940</v>
      </c>
      <c r="B26" s="1">
        <v>47.566000000000003</v>
      </c>
      <c r="C26" s="31">
        <f t="shared" ref="C26" si="37">-1*(B26-$B$14)*10^-4*$B$8*$B$5</f>
        <v>-25153.464000000022</v>
      </c>
      <c r="D26" s="32">
        <f t="shared" ref="D26" si="38">$B$6*(A26-$A$14)/360*$B$5</f>
        <v>31111.111111111109</v>
      </c>
      <c r="E26" s="4">
        <v>34.442</v>
      </c>
      <c r="F26" s="31">
        <f t="shared" ref="F26" si="39">-1*(E26-$E$14)*10^-4*$C$8*$C$5</f>
        <v>-3578.4320000000012</v>
      </c>
      <c r="G26" s="32">
        <f t="shared" ref="G26" si="40">$C$6*(A26-$A$14)/360*$C$5</f>
        <v>7111.1111111111113</v>
      </c>
      <c r="H26" s="4">
        <v>49.889000000000003</v>
      </c>
      <c r="I26" s="31">
        <f t="shared" ref="I26" si="41">-1*(H26-$H$14)*10^-4*$D$8*$D$5</f>
        <v>13887.499999999965</v>
      </c>
      <c r="J26" s="32">
        <f t="shared" ref="J26" si="42">$D$6*(A26-$A$14)/360*$D$5</f>
        <v>11111.111111111111</v>
      </c>
      <c r="K26" s="101">
        <f t="shared" ref="K26" si="43">C26+D26+F26+G26-I26-J26</f>
        <v>-15508.284888888878</v>
      </c>
      <c r="L26" s="1"/>
    </row>
    <row r="27" spans="1:12" x14ac:dyDescent="0.3">
      <c r="A27" s="37">
        <v>45941</v>
      </c>
      <c r="B27" s="57"/>
      <c r="C27" s="58"/>
      <c r="D27" s="59"/>
      <c r="E27" s="4"/>
      <c r="F27" s="31"/>
      <c r="G27" s="32"/>
      <c r="H27" s="4"/>
      <c r="I27" s="31"/>
      <c r="J27" s="32"/>
      <c r="K27" s="84"/>
      <c r="L27" s="1"/>
    </row>
    <row r="28" spans="1:12" x14ac:dyDescent="0.3">
      <c r="A28" s="37"/>
      <c r="B28" s="46"/>
      <c r="C28" s="31"/>
      <c r="D28" s="32"/>
      <c r="E28" s="4"/>
      <c r="F28" s="31"/>
      <c r="G28" s="32"/>
      <c r="H28" s="4" t="s">
        <v>83</v>
      </c>
      <c r="I28" s="31"/>
      <c r="J28" s="32"/>
      <c r="K28" s="84"/>
      <c r="L28" s="1"/>
    </row>
    <row r="29" spans="1:12" x14ac:dyDescent="0.3">
      <c r="A29" s="37"/>
      <c r="B29" s="46"/>
      <c r="C29" s="31"/>
      <c r="D29" s="32"/>
      <c r="E29" s="4"/>
      <c r="F29" s="31"/>
      <c r="G29" s="32"/>
      <c r="H29" s="4"/>
      <c r="I29" s="31"/>
      <c r="J29" s="32"/>
      <c r="K29" s="84"/>
      <c r="L29" s="1"/>
    </row>
    <row r="30" spans="1:12" x14ac:dyDescent="0.3">
      <c r="A30" s="56"/>
      <c r="B30" s="46"/>
      <c r="C30" s="31"/>
      <c r="D30" s="32"/>
      <c r="E30" s="4"/>
      <c r="F30" s="31"/>
      <c r="G30" s="32"/>
      <c r="H30" s="4"/>
      <c r="I30" s="31"/>
      <c r="J30" s="32"/>
      <c r="K30" s="84"/>
      <c r="L30" s="1"/>
    </row>
    <row r="31" spans="1:12" x14ac:dyDescent="0.3">
      <c r="A31" s="56"/>
      <c r="B31" s="46"/>
      <c r="C31" s="31"/>
      <c r="D31" s="32"/>
      <c r="E31" s="4"/>
      <c r="F31" s="31"/>
      <c r="G31" s="32"/>
      <c r="H31" s="4"/>
      <c r="I31" s="31"/>
      <c r="J31" s="32"/>
      <c r="K31" s="84"/>
      <c r="L31" s="1"/>
    </row>
    <row r="32" spans="1:12" x14ac:dyDescent="0.3">
      <c r="A32" s="15"/>
      <c r="B32" s="46"/>
      <c r="C32" s="31"/>
      <c r="D32" s="32"/>
      <c r="E32" s="4"/>
      <c r="F32" s="31"/>
      <c r="G32" s="32"/>
      <c r="H32" s="4"/>
      <c r="I32" s="31"/>
      <c r="J32" s="32"/>
      <c r="K32" s="39"/>
      <c r="L32" s="1"/>
    </row>
    <row r="33" spans="1:12" x14ac:dyDescent="0.3">
      <c r="A33" s="15"/>
      <c r="B33" s="46"/>
      <c r="C33" s="31"/>
      <c r="D33" s="32"/>
      <c r="E33" s="4"/>
      <c r="F33" s="31"/>
      <c r="G33" s="32"/>
      <c r="H33" s="4"/>
      <c r="I33" s="31"/>
      <c r="J33" s="32"/>
      <c r="K33" s="39"/>
      <c r="L33" s="1"/>
    </row>
    <row r="34" spans="1:12" x14ac:dyDescent="0.3">
      <c r="A34" s="15"/>
      <c r="B34" s="46"/>
      <c r="C34" s="31"/>
      <c r="D34" s="32"/>
      <c r="E34" s="4"/>
      <c r="F34" s="31"/>
      <c r="G34" s="32"/>
      <c r="H34" s="4"/>
      <c r="I34" s="31"/>
      <c r="J34" s="32"/>
      <c r="K34" s="39"/>
      <c r="L34" s="1"/>
    </row>
    <row r="35" spans="1:12" x14ac:dyDescent="0.3">
      <c r="A35" s="15"/>
      <c r="B35" s="46"/>
      <c r="C35" s="31"/>
      <c r="D35" s="32"/>
      <c r="E35" s="4"/>
      <c r="F35" s="31"/>
      <c r="G35" s="32"/>
      <c r="H35" s="4"/>
      <c r="I35" s="31"/>
      <c r="J35" s="32"/>
      <c r="K35" s="39"/>
      <c r="L35" s="1"/>
    </row>
    <row r="36" spans="1:12" x14ac:dyDescent="0.3">
      <c r="A36" s="15"/>
      <c r="B36" s="46"/>
      <c r="C36" s="31"/>
      <c r="D36" s="32"/>
      <c r="E36" s="4"/>
      <c r="F36" s="31"/>
      <c r="G36" s="32"/>
      <c r="H36" s="4"/>
      <c r="I36" s="31"/>
      <c r="J36" s="32"/>
      <c r="K36" s="39"/>
      <c r="L36" s="1"/>
    </row>
    <row r="37" spans="1:12" x14ac:dyDescent="0.3">
      <c r="A37" s="15"/>
      <c r="B37" s="46"/>
      <c r="C37" s="31"/>
      <c r="D37" s="32"/>
      <c r="E37" s="4"/>
      <c r="F37" s="31"/>
      <c r="G37" s="32"/>
      <c r="H37" s="4"/>
      <c r="I37" s="31"/>
      <c r="J37" s="32"/>
      <c r="K37" s="39"/>
      <c r="L37" s="1"/>
    </row>
    <row r="38" spans="1:12" x14ac:dyDescent="0.3">
      <c r="A38" s="15"/>
      <c r="B38" s="46"/>
      <c r="C38" s="31"/>
      <c r="D38" s="32"/>
      <c r="E38" s="4"/>
      <c r="F38" s="31"/>
      <c r="G38" s="32"/>
      <c r="H38" s="4"/>
      <c r="I38" s="31"/>
      <c r="J38" s="32"/>
      <c r="K38" s="39"/>
      <c r="L38" s="1"/>
    </row>
    <row r="39" spans="1:12" x14ac:dyDescent="0.3">
      <c r="A39" s="15"/>
      <c r="B39" s="46"/>
      <c r="C39" s="31"/>
      <c r="D39" s="32"/>
      <c r="E39" s="4"/>
      <c r="F39" s="31"/>
      <c r="G39" s="32"/>
      <c r="H39" s="4"/>
      <c r="I39" s="31"/>
      <c r="J39" s="32"/>
      <c r="K39" s="39"/>
      <c r="L39" s="1"/>
    </row>
    <row r="40" spans="1:12" x14ac:dyDescent="0.3">
      <c r="A40" s="15"/>
      <c r="B40" s="46"/>
      <c r="C40" s="31"/>
      <c r="D40" s="32"/>
      <c r="E40" s="4"/>
      <c r="F40" s="31"/>
      <c r="G40" s="32"/>
      <c r="H40" s="4"/>
      <c r="I40" s="31"/>
      <c r="J40" s="32"/>
      <c r="K40" s="39"/>
      <c r="L40" s="1"/>
    </row>
    <row r="41" spans="1:12" ht="15" thickBot="1" x14ac:dyDescent="0.35">
      <c r="A41" s="16"/>
      <c r="B41" s="49"/>
      <c r="C41" s="50"/>
      <c r="D41" s="51"/>
      <c r="E41" s="11"/>
      <c r="F41" s="50"/>
      <c r="G41" s="51"/>
      <c r="H41" s="11"/>
      <c r="I41" s="50"/>
      <c r="J41" s="51"/>
      <c r="K41" s="52"/>
      <c r="L41" s="1"/>
    </row>
    <row r="42" spans="1:12" x14ac:dyDescent="0.3">
      <c r="B42" s="60"/>
      <c r="C42" s="60"/>
      <c r="D42" s="60"/>
      <c r="F42" s="58"/>
      <c r="G42" s="58"/>
      <c r="I42" s="58"/>
      <c r="J42" s="58"/>
      <c r="K42" s="58"/>
    </row>
    <row r="43" spans="1:12" x14ac:dyDescent="0.3">
      <c r="B43" s="60"/>
      <c r="C43" s="60"/>
      <c r="D43" s="60"/>
      <c r="I43" s="58"/>
      <c r="J43" s="58"/>
      <c r="K43" s="58"/>
    </row>
    <row r="44" spans="1:12" x14ac:dyDescent="0.3">
      <c r="B44" s="60"/>
      <c r="C44" s="60"/>
      <c r="D44" s="60"/>
      <c r="I44" s="58"/>
      <c r="J44" s="58"/>
      <c r="K44" s="58"/>
    </row>
    <row r="45" spans="1:12" x14ac:dyDescent="0.3">
      <c r="B45" s="60"/>
      <c r="C45" s="60"/>
      <c r="D45" s="60"/>
      <c r="I45" s="58"/>
      <c r="J45" s="58"/>
      <c r="K45" s="58"/>
    </row>
    <row r="46" spans="1:12" x14ac:dyDescent="0.3">
      <c r="B46" s="60"/>
      <c r="C46" s="60"/>
      <c r="D46" s="60"/>
    </row>
    <row r="47" spans="1:12" x14ac:dyDescent="0.3">
      <c r="B47" s="60"/>
      <c r="C47" s="60"/>
      <c r="D47" s="60"/>
    </row>
    <row r="48" spans="1:12" x14ac:dyDescent="0.3">
      <c r="B48" s="60"/>
      <c r="C48" s="60"/>
      <c r="D48" s="60"/>
    </row>
    <row r="49" spans="2:4" x14ac:dyDescent="0.3">
      <c r="B49" s="60"/>
      <c r="C49" s="60"/>
      <c r="D49" s="60"/>
    </row>
    <row r="50" spans="2:4" x14ac:dyDescent="0.3">
      <c r="B50" s="60"/>
      <c r="C50" s="60"/>
      <c r="D50" s="60"/>
    </row>
    <row r="51" spans="2:4" x14ac:dyDescent="0.3">
      <c r="B51" s="60"/>
      <c r="C51" s="60"/>
      <c r="D51" s="60"/>
    </row>
    <row r="52" spans="2:4" x14ac:dyDescent="0.3">
      <c r="B52" s="60"/>
      <c r="C52" s="60"/>
      <c r="D52" s="60"/>
    </row>
    <row r="53" spans="2:4" x14ac:dyDescent="0.3">
      <c r="B53" s="60"/>
      <c r="C53" s="60"/>
      <c r="D53" s="60"/>
    </row>
  </sheetData>
  <mergeCells count="3">
    <mergeCell ref="H12:J12"/>
    <mergeCell ref="B12:D12"/>
    <mergeCell ref="E12:G12"/>
  </mergeCells>
  <conditionalFormatting sqref="K1:K1048576">
    <cfRule type="cellIs" dxfId="8" priority="1" operator="lessThan">
      <formula>0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8B78D-6B56-41EA-B5B5-A7E5C4EDD0A1}">
  <dimension ref="A1:L53"/>
  <sheetViews>
    <sheetView zoomScale="80" zoomScaleNormal="80" workbookViewId="0"/>
  </sheetViews>
  <sheetFormatPr defaultRowHeight="14.4" x14ac:dyDescent="0.3"/>
  <cols>
    <col min="1" max="1" width="15.44140625" style="3" bestFit="1" customWidth="1"/>
    <col min="2" max="4" width="16.88671875" style="3" customWidth="1"/>
    <col min="5" max="5" width="24.6640625" style="3" bestFit="1" customWidth="1"/>
    <col min="6" max="6" width="8.5546875" style="3" bestFit="1" customWidth="1"/>
    <col min="7" max="7" width="10.5546875" style="3" bestFit="1" customWidth="1"/>
    <col min="8" max="8" width="11" style="3" bestFit="1" customWidth="1"/>
    <col min="9" max="9" width="10.6640625" style="3" bestFit="1" customWidth="1"/>
    <col min="10" max="16384" width="8.88671875" style="3"/>
  </cols>
  <sheetData>
    <row r="1" spans="1:12" ht="15" thickBot="1" x14ac:dyDescent="0.35">
      <c r="A1" s="1"/>
      <c r="B1" s="1"/>
      <c r="C1" s="1"/>
      <c r="D1" s="1"/>
      <c r="E1" s="54">
        <f ca="1">TODAY()-5</f>
        <v>45935</v>
      </c>
      <c r="G1" s="1"/>
      <c r="H1" s="1"/>
      <c r="I1" s="1"/>
      <c r="J1" s="1"/>
    </row>
    <row r="2" spans="1:12" ht="15" thickBot="1" x14ac:dyDescent="0.35">
      <c r="A2" s="30"/>
      <c r="B2" s="41" t="s">
        <v>0</v>
      </c>
      <c r="C2" s="28" t="s">
        <v>1</v>
      </c>
      <c r="E2" s="27" t="s">
        <v>0</v>
      </c>
      <c r="F2" s="1"/>
      <c r="G2" s="28" t="s">
        <v>1</v>
      </c>
      <c r="H2" s="2"/>
      <c r="J2" s="1"/>
    </row>
    <row r="3" spans="1:12" x14ac:dyDescent="0.3">
      <c r="A3" s="15" t="s">
        <v>33</v>
      </c>
      <c r="B3" s="1" t="s">
        <v>37</v>
      </c>
      <c r="C3" s="5" t="s">
        <v>38</v>
      </c>
      <c r="E3" s="53" cm="1">
        <f t="array" aca="1" ref="E3:F7" ca="1">_xll.BDH($B$4, "PX_LAST, ",E1, "")</f>
        <v>45936</v>
      </c>
      <c r="F3" s="1">
        <f ca="1"/>
        <v>57.584000000000003</v>
      </c>
      <c r="G3" s="53" cm="1">
        <f t="array" aca="1" ref="G3:H7" ca="1">_xll.BDH($C$4, "PX_LAST, ",E1, "")</f>
        <v>45936</v>
      </c>
      <c r="H3" s="47">
        <f ca="1"/>
        <v>40.457999999999998</v>
      </c>
      <c r="J3" s="1"/>
    </row>
    <row r="4" spans="1:12" ht="32.25" customHeight="1" x14ac:dyDescent="0.3">
      <c r="A4" s="15" t="s">
        <v>34</v>
      </c>
      <c r="B4" s="42" t="s">
        <v>39</v>
      </c>
      <c r="C4" s="43" t="s">
        <v>40</v>
      </c>
      <c r="E4" s="54">
        <f ca="1"/>
        <v>45937</v>
      </c>
      <c r="F4" s="1">
        <f ca="1"/>
        <v>57.856000000000002</v>
      </c>
      <c r="G4" s="54">
        <f ca="1"/>
        <v>45937</v>
      </c>
      <c r="H4" s="1">
        <f ca="1"/>
        <v>40.533000000000001</v>
      </c>
      <c r="I4" s="1"/>
    </row>
    <row r="5" spans="1:12" x14ac:dyDescent="0.3">
      <c r="A5" s="15" t="s">
        <v>8</v>
      </c>
      <c r="B5" s="7">
        <f>20*10^6</f>
        <v>20000000</v>
      </c>
      <c r="C5" s="8">
        <f>28*10^6</f>
        <v>28000000</v>
      </c>
      <c r="E5" s="54">
        <f ca="1"/>
        <v>45938</v>
      </c>
      <c r="F5" s="1">
        <f ca="1"/>
        <v>57.808999999999997</v>
      </c>
      <c r="G5" s="54">
        <f ca="1"/>
        <v>45938</v>
      </c>
      <c r="H5" s="1">
        <f ca="1"/>
        <v>40.706000000000003</v>
      </c>
      <c r="I5" s="1"/>
      <c r="L5" s="62"/>
    </row>
    <row r="6" spans="1:12" x14ac:dyDescent="0.3">
      <c r="A6" s="15" t="s">
        <v>10</v>
      </c>
      <c r="B6" s="9">
        <v>0.01</v>
      </c>
      <c r="C6" s="44">
        <v>0.01</v>
      </c>
      <c r="E6" s="54">
        <f ca="1"/>
        <v>45939</v>
      </c>
      <c r="F6" s="1">
        <f ca="1"/>
        <v>58.106999999999999</v>
      </c>
      <c r="G6" s="54">
        <f ca="1"/>
        <v>45939</v>
      </c>
      <c r="H6" s="1">
        <f ca="1"/>
        <v>40.537999999999997</v>
      </c>
      <c r="I6" s="1"/>
    </row>
    <row r="7" spans="1:12" x14ac:dyDescent="0.3">
      <c r="A7" s="15" t="s">
        <v>12</v>
      </c>
      <c r="B7" s="9">
        <v>0</v>
      </c>
      <c r="C7" s="44">
        <v>0</v>
      </c>
      <c r="E7" s="54">
        <f ca="1"/>
        <v>45940</v>
      </c>
      <c r="F7" s="1">
        <f ca="1"/>
        <v>58.451999999999998</v>
      </c>
      <c r="G7" s="54">
        <f ca="1"/>
        <v>45940</v>
      </c>
      <c r="H7" s="1">
        <f ca="1"/>
        <v>41.215000000000003</v>
      </c>
      <c r="I7" s="1"/>
    </row>
    <row r="8" spans="1:12" x14ac:dyDescent="0.3">
      <c r="A8" s="15" t="s">
        <v>14</v>
      </c>
      <c r="B8" s="1">
        <v>4.96</v>
      </c>
      <c r="C8" s="5">
        <v>5.03</v>
      </c>
      <c r="E8" s="1"/>
      <c r="F8" s="1"/>
      <c r="G8" s="1"/>
      <c r="H8" s="1"/>
      <c r="I8" s="1"/>
    </row>
    <row r="9" spans="1:12" x14ac:dyDescent="0.3">
      <c r="A9" s="15" t="s">
        <v>15</v>
      </c>
      <c r="B9" s="1" t="s">
        <v>24</v>
      </c>
      <c r="C9" s="5" t="s">
        <v>24</v>
      </c>
      <c r="E9" s="1"/>
      <c r="F9" s="1"/>
      <c r="G9" s="1"/>
      <c r="H9" s="1"/>
      <c r="I9" s="1"/>
    </row>
    <row r="10" spans="1:12" ht="15" thickBot="1" x14ac:dyDescent="0.35">
      <c r="A10" s="16" t="s">
        <v>29</v>
      </c>
      <c r="B10" s="21" cm="1">
        <f t="array" ref="B10">_xll.BDP(B4,"px_last")</f>
        <v>58.452080000000002</v>
      </c>
      <c r="C10" s="22" cm="1">
        <f t="array" ref="C10">_xll.BDP(C4,"px_last")</f>
        <v>41.214849999999998</v>
      </c>
      <c r="E10" s="1"/>
      <c r="F10" s="1"/>
      <c r="G10" s="1"/>
      <c r="H10" s="1"/>
      <c r="I10" s="1"/>
    </row>
    <row r="11" spans="1:12" ht="15" thickBot="1" x14ac:dyDescent="0.35">
      <c r="C11" s="1"/>
      <c r="D11" s="1"/>
      <c r="E11" s="1"/>
      <c r="F11" s="1"/>
      <c r="G11" s="1"/>
      <c r="H11" s="1"/>
      <c r="I11" s="1"/>
    </row>
    <row r="12" spans="1:12" ht="15" thickBot="1" x14ac:dyDescent="0.35">
      <c r="A12" s="40" t="s">
        <v>23</v>
      </c>
      <c r="B12" s="113" t="s">
        <v>0</v>
      </c>
      <c r="C12" s="114"/>
      <c r="D12" s="115"/>
      <c r="E12" s="116" t="s">
        <v>1</v>
      </c>
      <c r="F12" s="117"/>
      <c r="G12" s="118"/>
      <c r="H12" s="40" t="s">
        <v>16</v>
      </c>
      <c r="I12" s="1"/>
    </row>
    <row r="13" spans="1:12" ht="15" thickBot="1" x14ac:dyDescent="0.35">
      <c r="A13" s="16"/>
      <c r="B13" s="11" t="s">
        <v>25</v>
      </c>
      <c r="C13" s="21" t="s">
        <v>19</v>
      </c>
      <c r="D13" s="22" t="s">
        <v>20</v>
      </c>
      <c r="E13" s="11" t="s">
        <v>25</v>
      </c>
      <c r="F13" s="21" t="s">
        <v>19</v>
      </c>
      <c r="G13" s="22" t="s">
        <v>20</v>
      </c>
      <c r="H13" s="100"/>
      <c r="I13" s="1"/>
    </row>
    <row r="14" spans="1:12" x14ac:dyDescent="0.3">
      <c r="A14" s="37">
        <v>45925</v>
      </c>
      <c r="B14" s="46">
        <v>57.5</v>
      </c>
      <c r="C14" s="47"/>
      <c r="D14" s="48"/>
      <c r="E14" s="4">
        <v>40</v>
      </c>
      <c r="F14" s="1"/>
      <c r="G14" s="5"/>
      <c r="H14" s="85"/>
      <c r="I14" s="1"/>
    </row>
    <row r="15" spans="1:12" x14ac:dyDescent="0.3">
      <c r="A15" s="37">
        <v>45926</v>
      </c>
      <c r="B15" s="46">
        <v>58.128</v>
      </c>
      <c r="C15" s="31">
        <f t="shared" ref="C15:C22" si="0">-1*(B15-$B$14)*10^-4*$B$8*$B$5</f>
        <v>-6229.7600000000011</v>
      </c>
      <c r="D15" s="32">
        <f t="shared" ref="D15:D22" si="1">$B$6*(A15-$A$14)/360*$B$5</f>
        <v>555.55555555555554</v>
      </c>
      <c r="E15" s="4">
        <v>40.033999999999999</v>
      </c>
      <c r="F15" s="31">
        <f t="shared" ref="F15:F22" si="2">-1*(E15-$E$14)*10^-4*$C$8*$C$5</f>
        <v>-478.85599999998482</v>
      </c>
      <c r="G15" s="32">
        <f t="shared" ref="G15:G20" si="3">$C$6*(A15-$A$14)/360*$C$5</f>
        <v>777.77777777777783</v>
      </c>
      <c r="H15" s="85">
        <f>C15+D15-F15-G15</f>
        <v>-5973.1262222222376</v>
      </c>
      <c r="I15" s="1"/>
    </row>
    <row r="16" spans="1:12" x14ac:dyDescent="0.3">
      <c r="A16" s="37">
        <v>45929</v>
      </c>
      <c r="B16" s="46">
        <v>57.143999999999998</v>
      </c>
      <c r="C16" s="31">
        <f t="shared" si="0"/>
        <v>3531.5200000000164</v>
      </c>
      <c r="D16" s="32">
        <f t="shared" si="1"/>
        <v>2222.2222222222222</v>
      </c>
      <c r="E16" s="4">
        <v>39.978000000000002</v>
      </c>
      <c r="F16" s="31">
        <f t="shared" si="2"/>
        <v>309.84799999997841</v>
      </c>
      <c r="G16" s="32">
        <f t="shared" si="3"/>
        <v>3111.1111111111113</v>
      </c>
      <c r="H16" s="85">
        <f t="shared" ref="H16" si="4">C16+D16-F16-G16</f>
        <v>2332.7831111111491</v>
      </c>
      <c r="I16" s="1"/>
    </row>
    <row r="17" spans="1:9" x14ac:dyDescent="0.3">
      <c r="A17" s="37">
        <v>45930</v>
      </c>
      <c r="B17" s="46">
        <v>57.469000000000001</v>
      </c>
      <c r="C17" s="31">
        <f t="shared" si="0"/>
        <v>307.51999999998822</v>
      </c>
      <c r="D17" s="32">
        <f t="shared" si="1"/>
        <v>2777.7777777777778</v>
      </c>
      <c r="E17" s="4">
        <v>40.097999999999999</v>
      </c>
      <c r="F17" s="31">
        <f t="shared" si="2"/>
        <v>-1380.2319999999856</v>
      </c>
      <c r="G17" s="32">
        <f t="shared" si="3"/>
        <v>3888.8888888888887</v>
      </c>
      <c r="H17" s="85">
        <f t="shared" ref="H17:H18" si="5">C17+D17-F17-G17</f>
        <v>576.64088888886272</v>
      </c>
      <c r="I17" s="1"/>
    </row>
    <row r="18" spans="1:9" x14ac:dyDescent="0.3">
      <c r="A18" s="37">
        <v>45931</v>
      </c>
      <c r="B18" s="46">
        <v>57.505000000000003</v>
      </c>
      <c r="C18" s="31">
        <f t="shared" si="0"/>
        <v>-49.600000000025375</v>
      </c>
      <c r="D18" s="32">
        <f t="shared" si="1"/>
        <v>3333.333333333333</v>
      </c>
      <c r="E18" s="4">
        <v>40.186</v>
      </c>
      <c r="F18" s="31">
        <f t="shared" si="2"/>
        <v>-2619.6239999999993</v>
      </c>
      <c r="G18" s="32">
        <f t="shared" si="3"/>
        <v>4666.6666666666661</v>
      </c>
      <c r="H18" s="85">
        <f t="shared" si="5"/>
        <v>1236.6906666666409</v>
      </c>
      <c r="I18" s="1"/>
    </row>
    <row r="19" spans="1:9" x14ac:dyDescent="0.3">
      <c r="A19" s="37">
        <v>45932</v>
      </c>
      <c r="B19" s="46">
        <v>57.018000000000001</v>
      </c>
      <c r="C19" s="31">
        <f t="shared" si="0"/>
        <v>4781.4399999999932</v>
      </c>
      <c r="D19" s="32">
        <f t="shared" si="1"/>
        <v>3888.8888888888891</v>
      </c>
      <c r="E19" s="4">
        <v>39.902000000000001</v>
      </c>
      <c r="F19" s="31">
        <f t="shared" si="2"/>
        <v>1380.2319999999856</v>
      </c>
      <c r="G19" s="32">
        <f t="shared" si="3"/>
        <v>5444.4444444444453</v>
      </c>
      <c r="H19" s="85">
        <f t="shared" ref="H19" si="6">C19+D19-F19-G19</f>
        <v>1845.6524444444512</v>
      </c>
      <c r="I19" s="1"/>
    </row>
    <row r="20" spans="1:9" x14ac:dyDescent="0.3">
      <c r="A20" s="37">
        <v>45933</v>
      </c>
      <c r="B20" s="46">
        <v>56.69</v>
      </c>
      <c r="C20" s="31">
        <f t="shared" si="0"/>
        <v>8035.2000000000235</v>
      </c>
      <c r="D20" s="32">
        <f t="shared" si="1"/>
        <v>4444.4444444444443</v>
      </c>
      <c r="E20" s="4">
        <v>39.761000000000003</v>
      </c>
      <c r="F20" s="31">
        <f t="shared" si="2"/>
        <v>3366.0759999999614</v>
      </c>
      <c r="G20" s="32">
        <f t="shared" si="3"/>
        <v>6222.2222222222226</v>
      </c>
      <c r="H20" s="85">
        <f t="shared" ref="H20" si="7">C20+D20-F20-G20</f>
        <v>2891.3462222222843</v>
      </c>
      <c r="I20" s="1"/>
    </row>
    <row r="21" spans="1:9" x14ac:dyDescent="0.3">
      <c r="A21" s="37">
        <v>45936</v>
      </c>
      <c r="B21" s="46">
        <v>57.584000000000003</v>
      </c>
      <c r="C21" s="31">
        <f t="shared" si="0"/>
        <v>-833.28000000003169</v>
      </c>
      <c r="D21" s="32">
        <f t="shared" si="1"/>
        <v>6111.1111111111113</v>
      </c>
      <c r="E21" s="4">
        <v>40.457999999999998</v>
      </c>
      <c r="F21" s="31">
        <f t="shared" si="2"/>
        <v>-6450.4719999999779</v>
      </c>
      <c r="G21" s="32">
        <f t="shared" ref="G21" si="8">$C$6*(A21-$A$14)/360*$C$5</f>
        <v>8555.5555555555547</v>
      </c>
      <c r="H21" s="85">
        <f t="shared" ref="H21" si="9">C21+D21-F21-G21</f>
        <v>3172.7475555555029</v>
      </c>
      <c r="I21" s="1"/>
    </row>
    <row r="22" spans="1:9" x14ac:dyDescent="0.3">
      <c r="A22" s="37">
        <v>45937</v>
      </c>
      <c r="B22" s="46">
        <v>57.856000000000002</v>
      </c>
      <c r="C22" s="31">
        <f t="shared" si="0"/>
        <v>-3531.5200000000164</v>
      </c>
      <c r="D22" s="32">
        <f t="shared" si="1"/>
        <v>6666.6666666666661</v>
      </c>
      <c r="E22" s="4">
        <v>40.533000000000001</v>
      </c>
      <c r="F22" s="31">
        <f t="shared" si="2"/>
        <v>-7506.7720000000181</v>
      </c>
      <c r="G22" s="32">
        <f t="shared" ref="G22" si="10">$C$6*(A22-$A$14)/360*$C$5</f>
        <v>9333.3333333333321</v>
      </c>
      <c r="H22" s="85">
        <f t="shared" ref="H22" si="11">C22+D22-F22-G22</f>
        <v>1308.5853333333362</v>
      </c>
      <c r="I22" s="1"/>
    </row>
    <row r="23" spans="1:9" x14ac:dyDescent="0.3">
      <c r="A23" s="37">
        <v>45938</v>
      </c>
      <c r="B23" s="46">
        <v>57.808999999999997</v>
      </c>
      <c r="C23" s="31">
        <f t="shared" ref="C23" si="12">-1*(B23-$B$14)*10^-4*$B$8*$B$5</f>
        <v>-3065.2799999999747</v>
      </c>
      <c r="D23" s="32">
        <f t="shared" ref="D23" si="13">$B$6*(A23-$A$14)/360*$B$5</f>
        <v>7222.2222222222226</v>
      </c>
      <c r="E23" s="4">
        <v>40.706000000000003</v>
      </c>
      <c r="F23" s="31">
        <f t="shared" ref="F23" si="14">-1*(E23-$E$14)*10^-4*$C$8*$C$5</f>
        <v>-9943.3040000000437</v>
      </c>
      <c r="G23" s="32">
        <f t="shared" ref="G23" si="15">$C$6*(A23-$A$14)/360*$C$5</f>
        <v>10111.111111111111</v>
      </c>
      <c r="H23" s="85">
        <f t="shared" ref="H23" si="16">C23+D23-F23-G23</f>
        <v>3989.1351111111799</v>
      </c>
      <c r="I23" s="1"/>
    </row>
    <row r="24" spans="1:9" x14ac:dyDescent="0.3">
      <c r="A24" s="37">
        <v>45939</v>
      </c>
      <c r="B24" s="46">
        <v>58.106999999999999</v>
      </c>
      <c r="C24" s="31">
        <f t="shared" ref="C24" si="17">-1*(B24-$B$14)*10^-4*$B$8*$B$5</f>
        <v>-6021.4399999999932</v>
      </c>
      <c r="D24" s="32">
        <f t="shared" ref="D24" si="18">$B$6*(A24-$A$14)/360*$B$5</f>
        <v>7777.7777777777783</v>
      </c>
      <c r="E24" s="4">
        <v>40.537999999999997</v>
      </c>
      <c r="F24" s="31">
        <f t="shared" ref="F24" si="19">-1*(E24-$E$14)*10^-4*$C$8*$C$5</f>
        <v>-7577.1919999999554</v>
      </c>
      <c r="G24" s="32">
        <f t="shared" ref="G24" si="20">$C$6*(A24-$A$14)/360*$C$5</f>
        <v>10888.888888888891</v>
      </c>
      <c r="H24" s="85">
        <f t="shared" ref="H24" si="21">C24+D24-F24-G24</f>
        <v>-1555.3591111111491</v>
      </c>
      <c r="I24" s="1"/>
    </row>
    <row r="25" spans="1:9" x14ac:dyDescent="0.3">
      <c r="A25" s="37">
        <v>45940</v>
      </c>
      <c r="B25" s="46">
        <v>57.826000000000001</v>
      </c>
      <c r="C25" s="31">
        <f t="shared" ref="C25" si="22">-1*(B25-$B$14)*10^-4*$B$8*$B$5</f>
        <v>-3233.9200000000051</v>
      </c>
      <c r="D25" s="32">
        <f t="shared" ref="D25" si="23">$B$6*(A25-$A$14)/360*$B$5</f>
        <v>8333.3333333333321</v>
      </c>
      <c r="E25" s="4">
        <v>40.537999999999997</v>
      </c>
      <c r="F25" s="31">
        <f t="shared" ref="F25" si="24">-1*(E25-$E$14)*10^-4*$C$8*$C$5</f>
        <v>-7577.1919999999554</v>
      </c>
      <c r="G25" s="32">
        <f t="shared" ref="G25" si="25">$C$6*(A25-$A$14)/360*$C$5</f>
        <v>11666.666666666666</v>
      </c>
      <c r="H25" s="85">
        <f t="shared" ref="H25" si="26">C25+D25-F25-G25</f>
        <v>1009.938666666616</v>
      </c>
      <c r="I25" s="1"/>
    </row>
    <row r="26" spans="1:9" x14ac:dyDescent="0.3">
      <c r="A26" s="37">
        <v>45941</v>
      </c>
      <c r="B26" s="46"/>
      <c r="C26" s="31"/>
      <c r="D26" s="32"/>
      <c r="E26" s="4"/>
      <c r="F26" s="31"/>
      <c r="G26" s="32"/>
      <c r="H26" s="85"/>
      <c r="I26" s="1"/>
    </row>
    <row r="27" spans="1:9" x14ac:dyDescent="0.3">
      <c r="A27" s="37">
        <v>45942</v>
      </c>
      <c r="B27" s="61"/>
      <c r="C27" s="62"/>
      <c r="D27" s="63"/>
      <c r="E27" s="4"/>
      <c r="F27" s="31"/>
      <c r="G27" s="32"/>
      <c r="H27" s="85"/>
      <c r="I27" s="1"/>
    </row>
    <row r="28" spans="1:9" x14ac:dyDescent="0.3">
      <c r="A28" s="37">
        <v>45943</v>
      </c>
      <c r="B28" s="46"/>
      <c r="C28" s="31"/>
      <c r="D28" s="32"/>
      <c r="E28" s="4"/>
      <c r="F28" s="31"/>
      <c r="G28" s="32"/>
      <c r="H28" s="85"/>
      <c r="I28" s="1"/>
    </row>
    <row r="29" spans="1:9" x14ac:dyDescent="0.3">
      <c r="A29" s="37"/>
      <c r="B29" s="46"/>
      <c r="C29" s="31"/>
      <c r="D29" s="32"/>
      <c r="E29" s="4"/>
      <c r="F29" s="31"/>
      <c r="G29" s="32"/>
      <c r="H29" s="18"/>
      <c r="I29" s="1"/>
    </row>
    <row r="30" spans="1:9" x14ac:dyDescent="0.3">
      <c r="A30" s="38"/>
      <c r="B30" s="46"/>
      <c r="C30" s="31"/>
      <c r="D30" s="32"/>
      <c r="E30" s="4"/>
      <c r="F30" s="31"/>
      <c r="G30" s="32"/>
      <c r="H30" s="18"/>
      <c r="I30" s="1"/>
    </row>
    <row r="31" spans="1:9" x14ac:dyDescent="0.3">
      <c r="A31" s="38"/>
      <c r="B31" s="46"/>
      <c r="C31" s="31"/>
      <c r="D31" s="32"/>
      <c r="E31" s="4"/>
      <c r="F31" s="31"/>
      <c r="G31" s="32"/>
      <c r="H31" s="18"/>
      <c r="I31" s="1"/>
    </row>
    <row r="32" spans="1:9" x14ac:dyDescent="0.3">
      <c r="A32" s="15"/>
      <c r="B32" s="46"/>
      <c r="C32" s="31"/>
      <c r="D32" s="32"/>
      <c r="E32" s="4"/>
      <c r="F32" s="31"/>
      <c r="G32" s="32"/>
      <c r="H32" s="18"/>
      <c r="I32" s="1"/>
    </row>
    <row r="33" spans="1:9" x14ac:dyDescent="0.3">
      <c r="A33" s="15"/>
      <c r="B33" s="46"/>
      <c r="C33" s="31"/>
      <c r="D33" s="32"/>
      <c r="E33" s="4"/>
      <c r="F33" s="31"/>
      <c r="G33" s="32"/>
      <c r="H33" s="18"/>
      <c r="I33" s="1"/>
    </row>
    <row r="34" spans="1:9" x14ac:dyDescent="0.3">
      <c r="A34" s="15"/>
      <c r="B34" s="46"/>
      <c r="C34" s="31"/>
      <c r="D34" s="32"/>
      <c r="E34" s="4"/>
      <c r="F34" s="31"/>
      <c r="G34" s="32"/>
      <c r="H34" s="39"/>
      <c r="I34" s="1"/>
    </row>
    <row r="35" spans="1:9" x14ac:dyDescent="0.3">
      <c r="A35" s="15"/>
      <c r="B35" s="46"/>
      <c r="C35" s="31"/>
      <c r="D35" s="32"/>
      <c r="E35" s="4"/>
      <c r="F35" s="31"/>
      <c r="G35" s="32"/>
      <c r="H35" s="39"/>
      <c r="I35" s="1"/>
    </row>
    <row r="36" spans="1:9" x14ac:dyDescent="0.3">
      <c r="A36" s="15"/>
      <c r="B36" s="46"/>
      <c r="C36" s="31"/>
      <c r="D36" s="32"/>
      <c r="E36" s="4"/>
      <c r="F36" s="31"/>
      <c r="G36" s="32"/>
      <c r="H36" s="39"/>
      <c r="I36" s="1"/>
    </row>
    <row r="37" spans="1:9" x14ac:dyDescent="0.3">
      <c r="A37" s="15"/>
      <c r="B37" s="46"/>
      <c r="C37" s="31"/>
      <c r="D37" s="32"/>
      <c r="E37" s="4"/>
      <c r="F37" s="31"/>
      <c r="G37" s="32"/>
      <c r="H37" s="39"/>
      <c r="I37" s="1"/>
    </row>
    <row r="38" spans="1:9" x14ac:dyDescent="0.3">
      <c r="A38" s="15"/>
      <c r="B38" s="46"/>
      <c r="C38" s="31"/>
      <c r="D38" s="32"/>
      <c r="E38" s="4"/>
      <c r="F38" s="31"/>
      <c r="G38" s="32"/>
      <c r="H38" s="39"/>
      <c r="I38" s="1"/>
    </row>
    <row r="39" spans="1:9" x14ac:dyDescent="0.3">
      <c r="A39" s="15"/>
      <c r="B39" s="46"/>
      <c r="C39" s="31"/>
      <c r="D39" s="32"/>
      <c r="E39" s="4"/>
      <c r="F39" s="31"/>
      <c r="G39" s="32"/>
      <c r="H39" s="39"/>
      <c r="I39" s="1"/>
    </row>
    <row r="40" spans="1:9" x14ac:dyDescent="0.3">
      <c r="A40" s="15"/>
      <c r="B40" s="46"/>
      <c r="C40" s="31"/>
      <c r="D40" s="32"/>
      <c r="E40" s="4"/>
      <c r="F40" s="31"/>
      <c r="G40" s="32"/>
      <c r="H40" s="39"/>
      <c r="I40" s="1"/>
    </row>
    <row r="41" spans="1:9" ht="15" thickBot="1" x14ac:dyDescent="0.35">
      <c r="A41" s="16"/>
      <c r="B41" s="49"/>
      <c r="C41" s="50"/>
      <c r="D41" s="51"/>
      <c r="E41" s="11"/>
      <c r="F41" s="50"/>
      <c r="G41" s="51"/>
      <c r="H41" s="52"/>
      <c r="I41" s="1"/>
    </row>
    <row r="42" spans="1:9" x14ac:dyDescent="0.3">
      <c r="B42" s="64"/>
      <c r="C42" s="64"/>
      <c r="D42" s="64"/>
      <c r="F42" s="62"/>
      <c r="G42" s="62"/>
      <c r="H42" s="62"/>
    </row>
    <row r="43" spans="1:9" x14ac:dyDescent="0.3">
      <c r="B43" s="64"/>
      <c r="C43" s="64"/>
      <c r="D43" s="64"/>
      <c r="F43" s="62"/>
      <c r="G43" s="62"/>
      <c r="H43" s="62"/>
    </row>
    <row r="44" spans="1:9" x14ac:dyDescent="0.3">
      <c r="B44" s="64"/>
      <c r="C44" s="64"/>
      <c r="D44" s="64"/>
      <c r="F44" s="62"/>
      <c r="G44" s="62"/>
      <c r="H44" s="62"/>
    </row>
    <row r="45" spans="1:9" x14ac:dyDescent="0.3">
      <c r="B45" s="64"/>
      <c r="C45" s="64"/>
      <c r="D45" s="64"/>
      <c r="F45" s="62"/>
      <c r="G45" s="62"/>
      <c r="H45" s="62"/>
    </row>
    <row r="46" spans="1:9" x14ac:dyDescent="0.3">
      <c r="B46" s="64"/>
      <c r="C46" s="64"/>
      <c r="D46" s="64"/>
    </row>
    <row r="47" spans="1:9" x14ac:dyDescent="0.3">
      <c r="B47" s="64"/>
      <c r="C47" s="64"/>
      <c r="D47" s="64"/>
    </row>
    <row r="48" spans="1:9" x14ac:dyDescent="0.3">
      <c r="B48" s="64"/>
      <c r="C48" s="64"/>
      <c r="D48" s="64"/>
    </row>
    <row r="49" spans="2:4" x14ac:dyDescent="0.3">
      <c r="B49" s="64"/>
      <c r="C49" s="64"/>
      <c r="D49" s="64"/>
    </row>
    <row r="50" spans="2:4" x14ac:dyDescent="0.3">
      <c r="B50" s="64"/>
      <c r="C50" s="64"/>
      <c r="D50" s="64"/>
    </row>
    <row r="51" spans="2:4" x14ac:dyDescent="0.3">
      <c r="B51" s="64"/>
      <c r="C51" s="64"/>
      <c r="D51" s="64"/>
    </row>
    <row r="52" spans="2:4" x14ac:dyDescent="0.3">
      <c r="B52" s="64"/>
      <c r="C52" s="64"/>
      <c r="D52" s="64"/>
    </row>
    <row r="53" spans="2:4" x14ac:dyDescent="0.3">
      <c r="B53" s="64"/>
      <c r="C53" s="64"/>
      <c r="D53" s="64"/>
    </row>
  </sheetData>
  <mergeCells count="2">
    <mergeCell ref="B12:D12"/>
    <mergeCell ref="E12:G12"/>
  </mergeCells>
  <conditionalFormatting sqref="H1:H1048576">
    <cfRule type="cellIs" dxfId="7" priority="1" operator="lessThan">
      <formula>0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4F07A-A306-493C-9741-6E1F9D9D790F}">
  <dimension ref="A1:M53"/>
  <sheetViews>
    <sheetView zoomScale="80" zoomScaleNormal="80" workbookViewId="0">
      <selection activeCell="K8" sqref="K8"/>
    </sheetView>
  </sheetViews>
  <sheetFormatPr defaultRowHeight="14.4" x14ac:dyDescent="0.3"/>
  <cols>
    <col min="1" max="1" width="15.44140625" style="3" bestFit="1" customWidth="1"/>
    <col min="2" max="3" width="18.33203125" style="3" bestFit="1" customWidth="1"/>
    <col min="4" max="4" width="16.88671875" style="3" customWidth="1"/>
    <col min="5" max="5" width="24.6640625" style="3" bestFit="1" customWidth="1"/>
    <col min="6" max="6" width="8.5546875" style="3" bestFit="1" customWidth="1"/>
    <col min="7" max="7" width="10.5546875" style="3" bestFit="1" customWidth="1"/>
    <col min="8" max="8" width="11.88671875" style="3" bestFit="1" customWidth="1"/>
    <col min="9" max="9" width="10.6640625" style="3" bestFit="1" customWidth="1"/>
    <col min="10" max="10" width="8.88671875" style="3"/>
    <col min="11" max="11" width="10.21875" style="3" bestFit="1" customWidth="1"/>
    <col min="12" max="12" width="12.21875" style="3" bestFit="1" customWidth="1"/>
    <col min="13" max="16384" width="8.88671875" style="3"/>
  </cols>
  <sheetData>
    <row r="1" spans="1:13" ht="15" thickBot="1" x14ac:dyDescent="0.35">
      <c r="A1" s="1" t="s">
        <v>83</v>
      </c>
      <c r="B1" s="1"/>
      <c r="C1" s="1"/>
      <c r="D1" s="1"/>
      <c r="E1" s="54">
        <f ca="1">TODAY()-5</f>
        <v>45935</v>
      </c>
      <c r="G1" s="1"/>
      <c r="H1" s="1"/>
      <c r="I1" s="1"/>
      <c r="J1" s="1"/>
    </row>
    <row r="2" spans="1:13" ht="15" thickBot="1" x14ac:dyDescent="0.35">
      <c r="A2" s="30"/>
      <c r="B2" s="41" t="s">
        <v>0</v>
      </c>
      <c r="C2" s="28" t="s">
        <v>1</v>
      </c>
      <c r="E2" s="27" t="s">
        <v>0</v>
      </c>
      <c r="F2" s="1"/>
      <c r="G2" s="28" t="s">
        <v>1</v>
      </c>
      <c r="H2" s="2"/>
      <c r="J2" s="1"/>
    </row>
    <row r="3" spans="1:13" x14ac:dyDescent="0.3">
      <c r="A3" s="15" t="s">
        <v>33</v>
      </c>
      <c r="B3" s="66" t="s">
        <v>41</v>
      </c>
      <c r="C3" s="67" t="s">
        <v>42</v>
      </c>
      <c r="E3" s="53" cm="1">
        <f t="array" aca="1" ref="E3:F7" ca="1">_xll.BDH($B$4, "PX_LAST, ",E1, "")</f>
        <v>45936</v>
      </c>
      <c r="F3" s="1">
        <f ca="1"/>
        <v>94.912000000000006</v>
      </c>
      <c r="G3" s="53" cm="1">
        <f t="array" aca="1" ref="G3:H7" ca="1">_xll.BDH($C$4, "PX_LAST, ",E1, "")</f>
        <v>45936</v>
      </c>
      <c r="H3" s="47">
        <f ca="1"/>
        <v>106.16800000000001</v>
      </c>
      <c r="J3" s="1"/>
    </row>
    <row r="4" spans="1:13" ht="32.25" customHeight="1" x14ac:dyDescent="0.3">
      <c r="A4" s="15" t="s">
        <v>34</v>
      </c>
      <c r="B4" s="68" t="s">
        <v>43</v>
      </c>
      <c r="C4" s="43" t="s">
        <v>44</v>
      </c>
      <c r="E4" s="54">
        <f ca="1"/>
        <v>45937</v>
      </c>
      <c r="F4" s="1">
        <f ca="1"/>
        <v>94.86</v>
      </c>
      <c r="G4" s="54">
        <f ca="1"/>
        <v>45937</v>
      </c>
      <c r="H4" s="1">
        <f ca="1"/>
        <v>106.07599999999999</v>
      </c>
      <c r="I4" s="1"/>
    </row>
    <row r="5" spans="1:13" x14ac:dyDescent="0.3">
      <c r="A5" s="15" t="s">
        <v>8</v>
      </c>
      <c r="B5" s="69">
        <f>18*10^6</f>
        <v>18000000</v>
      </c>
      <c r="C5" s="8">
        <f>10*10^6</f>
        <v>10000000</v>
      </c>
      <c r="E5" s="54">
        <f ca="1"/>
        <v>45938</v>
      </c>
      <c r="F5" s="1">
        <f ca="1"/>
        <v>94.718999999999994</v>
      </c>
      <c r="G5" s="54">
        <f ca="1"/>
        <v>45938</v>
      </c>
      <c r="H5" s="1">
        <f ca="1"/>
        <v>106.13</v>
      </c>
      <c r="I5" s="1"/>
      <c r="L5" s="62"/>
    </row>
    <row r="6" spans="1:13" x14ac:dyDescent="0.3">
      <c r="A6" s="15" t="s">
        <v>10</v>
      </c>
      <c r="B6" s="70">
        <v>4.3749999999999997E-2</v>
      </c>
      <c r="C6" s="65">
        <v>7.6249999999999998E-2</v>
      </c>
      <c r="E6" s="54">
        <f ca="1"/>
        <v>45939</v>
      </c>
      <c r="F6" s="1">
        <f ca="1"/>
        <v>94.66</v>
      </c>
      <c r="G6" s="54">
        <f ca="1"/>
        <v>45939</v>
      </c>
      <c r="H6" s="1">
        <f ca="1"/>
        <v>105.73</v>
      </c>
      <c r="I6" s="1"/>
      <c r="K6" s="73"/>
      <c r="L6" s="73"/>
      <c r="M6" s="73"/>
    </row>
    <row r="7" spans="1:13" x14ac:dyDescent="0.3">
      <c r="A7" s="15" t="s">
        <v>12</v>
      </c>
      <c r="B7" s="71">
        <v>4.2299999999999997E-2</v>
      </c>
      <c r="C7" s="10">
        <v>4.2299999999999997E-2</v>
      </c>
      <c r="E7" s="54">
        <f ca="1"/>
        <v>45940</v>
      </c>
      <c r="F7" s="1">
        <f ca="1"/>
        <v>94.694999999999993</v>
      </c>
      <c r="G7" s="54">
        <f ca="1"/>
        <v>45940</v>
      </c>
      <c r="H7" s="1">
        <f ca="1"/>
        <v>105.782</v>
      </c>
      <c r="I7" s="1"/>
    </row>
    <row r="8" spans="1:13" x14ac:dyDescent="0.3">
      <c r="A8" s="15" t="s">
        <v>14</v>
      </c>
      <c r="B8" s="4" t="s">
        <v>24</v>
      </c>
      <c r="C8" s="5" t="s">
        <v>24</v>
      </c>
      <c r="E8" s="1"/>
      <c r="F8" s="1"/>
      <c r="G8" s="1"/>
      <c r="H8" s="1"/>
      <c r="I8" s="1"/>
      <c r="K8" s="73"/>
      <c r="L8" s="73"/>
    </row>
    <row r="9" spans="1:13" x14ac:dyDescent="0.3">
      <c r="A9" s="15" t="s">
        <v>15</v>
      </c>
      <c r="B9" s="4" t="s">
        <v>24</v>
      </c>
      <c r="C9" s="5" t="s">
        <v>24</v>
      </c>
      <c r="E9" s="1"/>
      <c r="F9" s="1"/>
      <c r="G9" s="1"/>
      <c r="H9" s="1"/>
      <c r="I9" s="1"/>
    </row>
    <row r="10" spans="1:13" ht="15" thickBot="1" x14ac:dyDescent="0.35">
      <c r="A10" s="16" t="s">
        <v>29</v>
      </c>
      <c r="B10" s="11" cm="1">
        <f t="array" ref="B10">_xll.BDP(B4,"px_last")</f>
        <v>94.694999999999993</v>
      </c>
      <c r="C10" s="22" cm="1">
        <f t="array" ref="C10">_xll.BDP(C4,"px_last")</f>
        <v>105.782</v>
      </c>
      <c r="E10" s="1"/>
      <c r="F10" s="1"/>
      <c r="G10" s="1"/>
      <c r="H10" s="1"/>
      <c r="I10" s="1"/>
    </row>
    <row r="11" spans="1:13" ht="15" thickBot="1" x14ac:dyDescent="0.35">
      <c r="C11" s="1"/>
      <c r="D11" s="1"/>
      <c r="E11" s="1"/>
      <c r="F11" s="1"/>
      <c r="G11" s="1"/>
      <c r="H11" s="1"/>
      <c r="I11" s="1"/>
    </row>
    <row r="12" spans="1:13" ht="15" thickBot="1" x14ac:dyDescent="0.35">
      <c r="A12" s="40" t="s">
        <v>23</v>
      </c>
      <c r="B12" s="113" t="s">
        <v>0</v>
      </c>
      <c r="C12" s="114"/>
      <c r="D12" s="115"/>
      <c r="E12" s="116" t="s">
        <v>1</v>
      </c>
      <c r="F12" s="117"/>
      <c r="G12" s="118"/>
      <c r="H12" s="40" t="s">
        <v>16</v>
      </c>
      <c r="I12" s="1"/>
    </row>
    <row r="13" spans="1:13" ht="15" thickBot="1" x14ac:dyDescent="0.35">
      <c r="A13" s="16"/>
      <c r="B13" s="11" t="s">
        <v>17</v>
      </c>
      <c r="C13" s="21" t="s">
        <v>21</v>
      </c>
      <c r="D13" s="22" t="s">
        <v>20</v>
      </c>
      <c r="E13" s="11" t="s">
        <v>17</v>
      </c>
      <c r="F13" s="21" t="s">
        <v>21</v>
      </c>
      <c r="G13" s="22" t="s">
        <v>20</v>
      </c>
      <c r="H13" s="16"/>
      <c r="I13" s="1"/>
    </row>
    <row r="14" spans="1:13" x14ac:dyDescent="0.3">
      <c r="A14" s="37">
        <v>45930</v>
      </c>
      <c r="B14" s="46">
        <v>94.875</v>
      </c>
      <c r="C14" s="47"/>
      <c r="D14" s="48"/>
      <c r="E14" s="4">
        <v>105.75</v>
      </c>
      <c r="F14" s="1"/>
      <c r="G14" s="5"/>
      <c r="H14" s="15"/>
      <c r="I14" s="1"/>
    </row>
    <row r="15" spans="1:13" x14ac:dyDescent="0.3">
      <c r="A15" s="37">
        <v>45931</v>
      </c>
      <c r="B15" s="46">
        <v>94.757000000000005</v>
      </c>
      <c r="C15" s="31">
        <f t="shared" ref="C15:C20" si="0">(B15-$B$14)/100*$B$5</f>
        <v>-21239.999999999098</v>
      </c>
      <c r="D15" s="32">
        <f t="shared" ref="D15:D20" si="1">(A15-$A$14)/360*$B$6*$B$5-(A15-$A$14)/360*$B$7*$B$5*$B$14/100</f>
        <v>180.89374999999995</v>
      </c>
      <c r="E15" s="4">
        <v>105.964</v>
      </c>
      <c r="F15" s="31">
        <f t="shared" ref="F15:F20" si="2">(E15-$E$14)/100*$C$5</f>
        <v>21399.999999999865</v>
      </c>
      <c r="G15" s="32">
        <f t="shared" ref="G15:G20" si="3">(A15-$A$14)/360*$C$6*$C$5-(A15-$A$14)/360*$C$7*$C$5*$E$14/100</f>
        <v>875.49305555555566</v>
      </c>
      <c r="H15" s="85">
        <f t="shared" ref="H15:H20" si="4">C15+D15-F15-G15</f>
        <v>-43334.599305554519</v>
      </c>
      <c r="I15" s="1"/>
    </row>
    <row r="16" spans="1:13" x14ac:dyDescent="0.3">
      <c r="A16" s="37">
        <v>45932</v>
      </c>
      <c r="B16" s="46">
        <v>94.944000000000003</v>
      </c>
      <c r="C16" s="31">
        <f t="shared" si="0"/>
        <v>12420.000000000469</v>
      </c>
      <c r="D16" s="32">
        <f t="shared" si="1"/>
        <v>361.78749999999991</v>
      </c>
      <c r="E16" s="4">
        <v>106.205</v>
      </c>
      <c r="F16" s="31">
        <f t="shared" si="2"/>
        <v>45499.999999999825</v>
      </c>
      <c r="G16" s="32">
        <f t="shared" si="3"/>
        <v>1750.9861111111113</v>
      </c>
      <c r="H16" s="85">
        <f t="shared" si="4"/>
        <v>-34469.198611110463</v>
      </c>
      <c r="I16" s="1"/>
    </row>
    <row r="17" spans="1:9" x14ac:dyDescent="0.3">
      <c r="A17" s="37">
        <v>45933</v>
      </c>
      <c r="B17" s="46">
        <v>94.963999999999999</v>
      </c>
      <c r="C17" s="31">
        <f t="shared" si="0"/>
        <v>16019.999999999754</v>
      </c>
      <c r="D17" s="32">
        <f t="shared" si="1"/>
        <v>542.68125000000055</v>
      </c>
      <c r="E17" s="4">
        <v>106.473</v>
      </c>
      <c r="F17" s="31">
        <f t="shared" si="2"/>
        <v>72299.999999999898</v>
      </c>
      <c r="G17" s="32">
        <f t="shared" si="3"/>
        <v>2626.4791666666665</v>
      </c>
      <c r="H17" s="85">
        <f t="shared" si="4"/>
        <v>-58363.797916666808</v>
      </c>
      <c r="I17" s="1"/>
    </row>
    <row r="18" spans="1:9" x14ac:dyDescent="0.3">
      <c r="A18" s="37">
        <v>45936</v>
      </c>
      <c r="B18" s="46">
        <v>94.912000000000006</v>
      </c>
      <c r="C18" s="31">
        <f t="shared" si="0"/>
        <v>6660.000000001105</v>
      </c>
      <c r="D18" s="32">
        <f t="shared" si="1"/>
        <v>1085.3625000000011</v>
      </c>
      <c r="E18" s="4">
        <v>106.16800000000001</v>
      </c>
      <c r="F18" s="31">
        <f t="shared" si="2"/>
        <v>41800.00000000064</v>
      </c>
      <c r="G18" s="32">
        <f t="shared" si="3"/>
        <v>5252.958333333333</v>
      </c>
      <c r="H18" s="85">
        <f t="shared" si="4"/>
        <v>-39307.595833332867</v>
      </c>
      <c r="I18" s="1"/>
    </row>
    <row r="19" spans="1:9" x14ac:dyDescent="0.3">
      <c r="A19" s="37">
        <v>45937</v>
      </c>
      <c r="B19" s="46">
        <v>94.86</v>
      </c>
      <c r="C19" s="31">
        <f t="shared" si="0"/>
        <v>-2700.0000000001023</v>
      </c>
      <c r="D19" s="32">
        <f t="shared" si="1"/>
        <v>1266.2562499999985</v>
      </c>
      <c r="E19" s="4">
        <v>106.07599999999999</v>
      </c>
      <c r="F19" s="31">
        <f t="shared" si="2"/>
        <v>32599.999999999338</v>
      </c>
      <c r="G19" s="32">
        <f t="shared" si="3"/>
        <v>6128.4513888888887</v>
      </c>
      <c r="H19" s="85">
        <f t="shared" si="4"/>
        <v>-40162.195138888332</v>
      </c>
      <c r="I19" s="1"/>
    </row>
    <row r="20" spans="1:9" x14ac:dyDescent="0.3">
      <c r="A20" s="37">
        <v>45938</v>
      </c>
      <c r="B20" s="46">
        <v>94.718999999999994</v>
      </c>
      <c r="C20" s="31">
        <f t="shared" si="0"/>
        <v>-28080.000000001066</v>
      </c>
      <c r="D20" s="32">
        <f t="shared" si="1"/>
        <v>1447.1499999999996</v>
      </c>
      <c r="E20" s="4">
        <v>106.13</v>
      </c>
      <c r="F20" s="31">
        <f t="shared" si="2"/>
        <v>37999.999999999542</v>
      </c>
      <c r="G20" s="32">
        <f t="shared" si="3"/>
        <v>7003.9444444444453</v>
      </c>
      <c r="H20" s="85">
        <f t="shared" si="4"/>
        <v>-71636.794444445055</v>
      </c>
      <c r="I20" s="1"/>
    </row>
    <row r="21" spans="1:9" x14ac:dyDescent="0.3">
      <c r="A21" s="37">
        <v>45939</v>
      </c>
      <c r="B21" s="46">
        <v>94.66</v>
      </c>
      <c r="C21" s="31">
        <f t="shared" ref="C21" si="5">(B21-$B$14)/100*$B$5</f>
        <v>-38700.000000000618</v>
      </c>
      <c r="D21" s="32">
        <f t="shared" ref="D21" si="6">(A21-$A$14)/360*$B$6*$B$5-(A21-$A$14)/360*$B$7*$B$5*$B$14/100</f>
        <v>1628.0437499999971</v>
      </c>
      <c r="E21" s="4">
        <v>105.73</v>
      </c>
      <c r="F21" s="31">
        <f t="shared" ref="F21" si="7">(E21-$E$14)/100*$C$5</f>
        <v>-1999.9999999996021</v>
      </c>
      <c r="G21" s="32">
        <f t="shared" ref="G21" si="8">(A21-$A$14)/360*$C$6*$C$5-(A21-$A$14)/360*$C$7*$C$5*$E$14/100</f>
        <v>7879.4375</v>
      </c>
      <c r="H21" s="85">
        <f t="shared" ref="H21" si="9">C21+D21-F21-G21</f>
        <v>-42951.393750001022</v>
      </c>
      <c r="I21" s="1"/>
    </row>
    <row r="22" spans="1:9" x14ac:dyDescent="0.3">
      <c r="A22" s="37">
        <v>45940</v>
      </c>
      <c r="B22" s="46">
        <v>94.694999999999993</v>
      </c>
      <c r="C22" s="31">
        <f t="shared" ref="C22" si="10">(B22-$B$14)/100*$B$5</f>
        <v>-32400.00000000123</v>
      </c>
      <c r="D22" s="32">
        <f t="shared" ref="D22" si="11">(A22-$A$14)/360*$B$6*$B$5-(A22-$A$14)/360*$B$7*$B$5*$B$14/100</f>
        <v>1808.9375</v>
      </c>
      <c r="E22" s="4">
        <v>105.782</v>
      </c>
      <c r="F22" s="31">
        <f t="shared" ref="F22" si="12">(E22-$E$14)/100*$C$5</f>
        <v>3199.9999999996476</v>
      </c>
      <c r="G22" s="32">
        <f t="shared" ref="G22" si="13">(A22-$A$14)/360*$C$6*$C$5-(A22-$A$14)/360*$C$7*$C$5*$E$14/100</f>
        <v>8754.9305555555566</v>
      </c>
      <c r="H22" s="85">
        <f t="shared" ref="H22" si="14">C22+D22-F22-G22</f>
        <v>-42545.993055556435</v>
      </c>
      <c r="I22" s="1"/>
    </row>
    <row r="23" spans="1:9" x14ac:dyDescent="0.3">
      <c r="A23" s="37">
        <v>45941</v>
      </c>
      <c r="B23" s="46"/>
      <c r="C23" s="31"/>
      <c r="D23" s="32"/>
      <c r="E23" s="4"/>
      <c r="F23" s="31"/>
      <c r="G23" s="32"/>
      <c r="H23" s="18"/>
      <c r="I23" s="1"/>
    </row>
    <row r="24" spans="1:9" x14ac:dyDescent="0.3">
      <c r="A24" s="37">
        <v>45942</v>
      </c>
      <c r="B24" s="46"/>
      <c r="C24" s="31"/>
      <c r="D24" s="32"/>
      <c r="E24" s="4"/>
      <c r="F24" s="31"/>
      <c r="G24" s="32"/>
      <c r="H24" s="18"/>
      <c r="I24" s="1"/>
    </row>
    <row r="25" spans="1:9" x14ac:dyDescent="0.3">
      <c r="A25" s="37">
        <v>45943</v>
      </c>
      <c r="B25" s="46"/>
      <c r="C25" s="31"/>
      <c r="D25" s="32"/>
      <c r="E25" s="4"/>
      <c r="F25" s="31"/>
      <c r="G25" s="32"/>
      <c r="H25" s="18"/>
      <c r="I25" s="1"/>
    </row>
    <row r="26" spans="1:9" x14ac:dyDescent="0.3">
      <c r="A26" s="37">
        <v>45944</v>
      </c>
      <c r="B26" s="46"/>
      <c r="C26" s="31"/>
      <c r="D26" s="32"/>
      <c r="E26" s="4"/>
      <c r="F26" s="31"/>
      <c r="G26" s="32"/>
      <c r="H26" s="18"/>
      <c r="I26" s="1"/>
    </row>
    <row r="27" spans="1:9" x14ac:dyDescent="0.3">
      <c r="A27" s="38"/>
      <c r="B27" s="61"/>
      <c r="C27" s="62"/>
      <c r="D27" s="63"/>
      <c r="E27" s="4"/>
      <c r="F27" s="31"/>
      <c r="G27" s="32"/>
      <c r="H27" s="18"/>
      <c r="I27" s="1"/>
    </row>
    <row r="28" spans="1:9" x14ac:dyDescent="0.3">
      <c r="A28" s="37"/>
      <c r="B28" s="46"/>
      <c r="C28" s="31"/>
      <c r="D28" s="32"/>
      <c r="E28" s="4"/>
      <c r="F28" s="31"/>
      <c r="G28" s="32"/>
      <c r="H28" s="18"/>
      <c r="I28" s="1"/>
    </row>
    <row r="29" spans="1:9" x14ac:dyDescent="0.3">
      <c r="A29" s="37"/>
      <c r="B29" s="46"/>
      <c r="C29" s="31"/>
      <c r="D29" s="32"/>
      <c r="E29" s="4"/>
      <c r="F29" s="31"/>
      <c r="G29" s="32"/>
      <c r="H29" s="39"/>
      <c r="I29" s="1"/>
    </row>
    <row r="30" spans="1:9" x14ac:dyDescent="0.3">
      <c r="A30" s="38"/>
      <c r="B30" s="46"/>
      <c r="C30" s="31"/>
      <c r="D30" s="32"/>
      <c r="E30" s="4"/>
      <c r="F30" s="31"/>
      <c r="G30" s="32"/>
      <c r="H30" s="39"/>
      <c r="I30" s="1"/>
    </row>
    <row r="31" spans="1:9" x14ac:dyDescent="0.3">
      <c r="A31" s="38"/>
      <c r="B31" s="46"/>
      <c r="C31" s="31"/>
      <c r="D31" s="32"/>
      <c r="E31" s="4"/>
      <c r="F31" s="31"/>
      <c r="G31" s="32"/>
      <c r="H31" s="39"/>
      <c r="I31" s="1"/>
    </row>
    <row r="32" spans="1:9" x14ac:dyDescent="0.3">
      <c r="A32" s="15"/>
      <c r="B32" s="46"/>
      <c r="C32" s="31"/>
      <c r="D32" s="32"/>
      <c r="E32" s="4"/>
      <c r="F32" s="31"/>
      <c r="G32" s="32"/>
      <c r="H32" s="39"/>
      <c r="I32" s="1"/>
    </row>
    <row r="33" spans="1:9" x14ac:dyDescent="0.3">
      <c r="A33" s="15"/>
      <c r="B33" s="46"/>
      <c r="C33" s="31"/>
      <c r="D33" s="32"/>
      <c r="E33" s="4"/>
      <c r="F33" s="31"/>
      <c r="G33" s="32"/>
      <c r="H33" s="39"/>
      <c r="I33" s="1"/>
    </row>
    <row r="34" spans="1:9" x14ac:dyDescent="0.3">
      <c r="A34" s="15"/>
      <c r="B34" s="46"/>
      <c r="C34" s="31"/>
      <c r="D34" s="32"/>
      <c r="E34" s="4"/>
      <c r="F34" s="31"/>
      <c r="G34" s="32"/>
      <c r="H34" s="39"/>
      <c r="I34" s="1"/>
    </row>
    <row r="35" spans="1:9" x14ac:dyDescent="0.3">
      <c r="A35" s="15"/>
      <c r="B35" s="46"/>
      <c r="C35" s="31"/>
      <c r="D35" s="32"/>
      <c r="E35" s="4"/>
      <c r="F35" s="31"/>
      <c r="G35" s="32"/>
      <c r="H35" s="39"/>
      <c r="I35" s="1"/>
    </row>
    <row r="36" spans="1:9" x14ac:dyDescent="0.3">
      <c r="A36" s="15"/>
      <c r="B36" s="46"/>
      <c r="C36" s="31"/>
      <c r="D36" s="32"/>
      <c r="E36" s="4"/>
      <c r="F36" s="31"/>
      <c r="G36" s="32"/>
      <c r="H36" s="39"/>
      <c r="I36" s="1"/>
    </row>
    <row r="37" spans="1:9" x14ac:dyDescent="0.3">
      <c r="A37" s="15"/>
      <c r="B37" s="46"/>
      <c r="C37" s="31"/>
      <c r="D37" s="32"/>
      <c r="E37" s="4"/>
      <c r="F37" s="31"/>
      <c r="G37" s="32"/>
      <c r="H37" s="39"/>
      <c r="I37" s="1"/>
    </row>
    <row r="38" spans="1:9" x14ac:dyDescent="0.3">
      <c r="A38" s="15"/>
      <c r="B38" s="46"/>
      <c r="C38" s="31"/>
      <c r="D38" s="32"/>
      <c r="E38" s="4"/>
      <c r="F38" s="31"/>
      <c r="G38" s="32"/>
      <c r="H38" s="39"/>
      <c r="I38" s="1"/>
    </row>
    <row r="39" spans="1:9" x14ac:dyDescent="0.3">
      <c r="A39" s="15"/>
      <c r="B39" s="46"/>
      <c r="C39" s="31"/>
      <c r="D39" s="32"/>
      <c r="E39" s="4"/>
      <c r="F39" s="31"/>
      <c r="G39" s="32"/>
      <c r="H39" s="39"/>
      <c r="I39" s="1"/>
    </row>
    <row r="40" spans="1:9" x14ac:dyDescent="0.3">
      <c r="A40" s="15"/>
      <c r="B40" s="46"/>
      <c r="C40" s="31"/>
      <c r="D40" s="32"/>
      <c r="E40" s="4"/>
      <c r="F40" s="31"/>
      <c r="G40" s="32"/>
      <c r="H40" s="39"/>
      <c r="I40" s="1"/>
    </row>
    <row r="41" spans="1:9" ht="15" thickBot="1" x14ac:dyDescent="0.35">
      <c r="A41" s="16"/>
      <c r="B41" s="49"/>
      <c r="C41" s="50"/>
      <c r="D41" s="51"/>
      <c r="E41" s="11"/>
      <c r="F41" s="50"/>
      <c r="G41" s="51"/>
      <c r="H41" s="52"/>
      <c r="I41" s="1"/>
    </row>
    <row r="42" spans="1:9" x14ac:dyDescent="0.3">
      <c r="B42" s="64"/>
      <c r="C42" s="64"/>
      <c r="D42" s="64"/>
      <c r="F42" s="62"/>
      <c r="G42" s="62"/>
      <c r="H42" s="62"/>
    </row>
    <row r="43" spans="1:9" x14ac:dyDescent="0.3">
      <c r="B43" s="64"/>
      <c r="C43" s="64"/>
      <c r="D43" s="64"/>
      <c r="F43" s="62"/>
      <c r="G43" s="62"/>
      <c r="H43" s="62"/>
    </row>
    <row r="44" spans="1:9" x14ac:dyDescent="0.3">
      <c r="B44" s="64"/>
      <c r="C44" s="64"/>
      <c r="D44" s="64"/>
      <c r="F44" s="62"/>
      <c r="G44" s="62"/>
      <c r="H44" s="62"/>
    </row>
    <row r="45" spans="1:9" x14ac:dyDescent="0.3">
      <c r="B45" s="64"/>
      <c r="C45" s="64"/>
      <c r="D45" s="64"/>
      <c r="F45" s="62"/>
      <c r="G45" s="62"/>
      <c r="H45" s="62"/>
    </row>
    <row r="46" spans="1:9" x14ac:dyDescent="0.3">
      <c r="B46" s="64"/>
      <c r="C46" s="64"/>
      <c r="D46" s="64"/>
    </row>
    <row r="47" spans="1:9" x14ac:dyDescent="0.3">
      <c r="B47" s="64"/>
      <c r="C47" s="64"/>
      <c r="D47" s="64"/>
    </row>
    <row r="48" spans="1:9" x14ac:dyDescent="0.3">
      <c r="B48" s="64"/>
      <c r="C48" s="64"/>
      <c r="D48" s="64"/>
    </row>
    <row r="49" spans="2:4" x14ac:dyDescent="0.3">
      <c r="B49" s="64"/>
      <c r="C49" s="64"/>
      <c r="D49" s="64"/>
    </row>
    <row r="50" spans="2:4" x14ac:dyDescent="0.3">
      <c r="B50" s="64"/>
      <c r="C50" s="64"/>
      <c r="D50" s="64"/>
    </row>
    <row r="51" spans="2:4" x14ac:dyDescent="0.3">
      <c r="B51" s="64"/>
      <c r="C51" s="64"/>
      <c r="D51" s="64"/>
    </row>
    <row r="52" spans="2:4" x14ac:dyDescent="0.3">
      <c r="B52" s="64"/>
      <c r="C52" s="64"/>
      <c r="D52" s="64"/>
    </row>
    <row r="53" spans="2:4" x14ac:dyDescent="0.3">
      <c r="B53" s="64"/>
      <c r="C53" s="64"/>
      <c r="D53" s="64"/>
    </row>
  </sheetData>
  <mergeCells count="2">
    <mergeCell ref="B12:D12"/>
    <mergeCell ref="E12:G12"/>
  </mergeCells>
  <conditionalFormatting sqref="H1:H1048576">
    <cfRule type="cellIs" dxfId="6" priority="1" operator="lessThan">
      <formula>0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2A558-2182-4AF5-B3B3-E5912781804D}">
  <dimension ref="A1:O53"/>
  <sheetViews>
    <sheetView zoomScale="80" zoomScaleNormal="80" workbookViewId="0">
      <selection activeCell="K20" sqref="K20:K21"/>
    </sheetView>
  </sheetViews>
  <sheetFormatPr defaultRowHeight="14.4" x14ac:dyDescent="0.3"/>
  <cols>
    <col min="1" max="1" width="15.44140625" style="55" bestFit="1" customWidth="1"/>
    <col min="2" max="5" width="16.88671875" style="55" customWidth="1"/>
    <col min="6" max="6" width="10.5546875" style="55" bestFit="1" customWidth="1"/>
    <col min="7" max="7" width="11.5546875" style="55" bestFit="1" customWidth="1"/>
    <col min="8" max="8" width="8.88671875" style="55" bestFit="1" customWidth="1"/>
    <col min="9" max="9" width="11.5546875" style="55" bestFit="1" customWidth="1"/>
    <col min="10" max="10" width="13.33203125" style="55" bestFit="1" customWidth="1"/>
    <col min="11" max="12" width="11.5546875" style="55" bestFit="1" customWidth="1"/>
    <col min="13" max="13" width="13.33203125" style="55" bestFit="1" customWidth="1"/>
    <col min="14" max="14" width="11.88671875" style="55" bestFit="1" customWidth="1"/>
    <col min="16" max="16384" width="8.88671875" style="55"/>
  </cols>
  <sheetData>
    <row r="1" spans="1:14" ht="15" thickBot="1" x14ac:dyDescent="0.35">
      <c r="A1" s="1"/>
      <c r="B1" s="1"/>
      <c r="C1" s="1"/>
      <c r="D1" s="1"/>
      <c r="E1" s="1"/>
      <c r="G1" s="54">
        <f ca="1">TODAY()-5</f>
        <v>45935</v>
      </c>
      <c r="H1" s="1"/>
      <c r="I1" s="1"/>
      <c r="J1" s="1"/>
      <c r="K1" s="1"/>
      <c r="L1" s="1"/>
      <c r="M1" s="1"/>
    </row>
    <row r="2" spans="1:14" ht="15" thickBot="1" x14ac:dyDescent="0.35">
      <c r="A2" s="30"/>
      <c r="B2" s="41" t="s">
        <v>0</v>
      </c>
      <c r="C2" s="45" t="s">
        <v>1</v>
      </c>
      <c r="D2" s="74" t="s">
        <v>1</v>
      </c>
      <c r="E2" s="75" t="s">
        <v>0</v>
      </c>
      <c r="G2" s="27" t="s">
        <v>0</v>
      </c>
      <c r="H2" s="1"/>
      <c r="I2" s="45" t="s">
        <v>1</v>
      </c>
      <c r="J2" s="2"/>
      <c r="K2" s="28" t="s">
        <v>1</v>
      </c>
      <c r="L2" s="1"/>
      <c r="M2" s="75" t="s">
        <v>0</v>
      </c>
    </row>
    <row r="3" spans="1:14" x14ac:dyDescent="0.3">
      <c r="A3" s="15" t="s">
        <v>33</v>
      </c>
      <c r="B3" s="66" t="s">
        <v>45</v>
      </c>
      <c r="C3" s="76" t="s">
        <v>46</v>
      </c>
      <c r="D3" s="76" t="s">
        <v>47</v>
      </c>
      <c r="E3" s="67" t="s">
        <v>48</v>
      </c>
      <c r="G3" s="53" cm="1">
        <f t="array" aca="1" ref="G3:H7" ca="1">_xll.BDH($B$4, "PX_LAST, ", $G$1, "")</f>
        <v>45936</v>
      </c>
      <c r="H3" s="1">
        <f ca="1"/>
        <v>100.666</v>
      </c>
      <c r="I3" s="53" cm="1">
        <f t="array" aca="1" ref="I3:J7" ca="1">_xll.BDH($C$4, "PX_LAST, ", $G$1, "")</f>
        <v>45936</v>
      </c>
      <c r="J3" s="47">
        <f ca="1"/>
        <v>100.8828125</v>
      </c>
      <c r="K3" s="53" cm="1">
        <f t="array" aca="1" ref="K3:L7" ca="1">_xll.BDH($D$4, "PX_LAST, ", $G$1, "")</f>
        <v>45936</v>
      </c>
      <c r="L3" s="1">
        <f ca="1"/>
        <v>94.522000000000006</v>
      </c>
      <c r="M3" s="53" cm="1">
        <f t="array" aca="1" ref="M3:N7" ca="1">_xll.BDH($E$4, "PX_LAST, ", $G$1, "")</f>
        <v>45936</v>
      </c>
      <c r="N3" s="55">
        <f ca="1"/>
        <v>99.96875</v>
      </c>
    </row>
    <row r="4" spans="1:14" ht="32.25" customHeight="1" x14ac:dyDescent="0.3">
      <c r="A4" s="15" t="s">
        <v>34</v>
      </c>
      <c r="B4" s="68" t="s">
        <v>49</v>
      </c>
      <c r="C4" s="42" t="s">
        <v>50</v>
      </c>
      <c r="D4" s="42" t="s">
        <v>51</v>
      </c>
      <c r="E4" s="43" t="s">
        <v>52</v>
      </c>
      <c r="G4" s="78">
        <f ca="1"/>
        <v>45937</v>
      </c>
      <c r="H4" s="1">
        <f ca="1"/>
        <v>100.748</v>
      </c>
      <c r="I4" s="54">
        <f ca="1"/>
        <v>45937</v>
      </c>
      <c r="J4" s="1">
        <f ca="1"/>
        <v>101.1171875</v>
      </c>
      <c r="K4" s="54">
        <f ca="1"/>
        <v>45937</v>
      </c>
      <c r="L4" s="1">
        <f ca="1"/>
        <v>94.481999999999999</v>
      </c>
      <c r="M4" s="54">
        <f ca="1"/>
        <v>45937</v>
      </c>
      <c r="N4" s="55">
        <f ca="1"/>
        <v>100.359375</v>
      </c>
    </row>
    <row r="5" spans="1:14" x14ac:dyDescent="0.3">
      <c r="A5" s="15" t="s">
        <v>8</v>
      </c>
      <c r="B5" s="69">
        <f>14*10^6</f>
        <v>14000000</v>
      </c>
      <c r="C5" s="7">
        <f>13.6*10^6</f>
        <v>13600000</v>
      </c>
      <c r="D5" s="7">
        <f>5*10^6</f>
        <v>5000000</v>
      </c>
      <c r="E5" s="8">
        <f>4.2*10^6</f>
        <v>4200000</v>
      </c>
      <c r="G5" s="78">
        <f ca="1"/>
        <v>45938</v>
      </c>
      <c r="H5" s="1">
        <f ca="1"/>
        <v>100.879</v>
      </c>
      <c r="I5" s="54">
        <f ca="1"/>
        <v>45938</v>
      </c>
      <c r="J5" s="1">
        <f ca="1"/>
        <v>101.1484375</v>
      </c>
      <c r="K5" s="54">
        <f ca="1"/>
        <v>45938</v>
      </c>
      <c r="L5" s="1">
        <f ca="1"/>
        <v>94.591999999999999</v>
      </c>
      <c r="M5" s="54">
        <f ca="1"/>
        <v>45938</v>
      </c>
      <c r="N5" s="55">
        <f ca="1"/>
        <v>100.6015625</v>
      </c>
    </row>
    <row r="6" spans="1:14" x14ac:dyDescent="0.3">
      <c r="A6" s="15" t="s">
        <v>10</v>
      </c>
      <c r="B6" s="71">
        <v>4.8750000000000002E-2</v>
      </c>
      <c r="C6" s="77">
        <v>4.2500000000000003E-2</v>
      </c>
      <c r="D6" s="77">
        <v>5.3749999999999999E-2</v>
      </c>
      <c r="E6" s="10">
        <v>4.7500000000000001E-2</v>
      </c>
      <c r="G6" s="78">
        <f ca="1"/>
        <v>45939</v>
      </c>
      <c r="H6" s="1">
        <f ca="1"/>
        <v>100.69</v>
      </c>
      <c r="I6" s="54">
        <f ca="1"/>
        <v>45939</v>
      </c>
      <c r="J6" s="1">
        <f ca="1"/>
        <v>100.9921875</v>
      </c>
      <c r="K6" s="54">
        <f ca="1"/>
        <v>45939</v>
      </c>
      <c r="L6" s="1">
        <f ca="1"/>
        <v>94.316000000000003</v>
      </c>
      <c r="M6" s="54">
        <f ca="1"/>
        <v>45939</v>
      </c>
      <c r="N6" s="55">
        <f ca="1"/>
        <v>100.40625</v>
      </c>
    </row>
    <row r="7" spans="1:14" x14ac:dyDescent="0.3">
      <c r="A7" s="15" t="s">
        <v>12</v>
      </c>
      <c r="B7" s="71">
        <v>4.2299999999999997E-2</v>
      </c>
      <c r="C7" s="77">
        <v>4.2299999999999997E-2</v>
      </c>
      <c r="D7" s="77">
        <v>4.2299999999999997E-2</v>
      </c>
      <c r="E7" s="10">
        <v>4.2299999999999997E-2</v>
      </c>
      <c r="G7" s="54">
        <f ca="1"/>
        <v>45940</v>
      </c>
      <c r="H7" s="1">
        <f ca="1"/>
        <v>100.676</v>
      </c>
      <c r="I7" s="54">
        <f ca="1"/>
        <v>45940</v>
      </c>
      <c r="J7" s="1">
        <f ca="1"/>
        <v>101.28125</v>
      </c>
      <c r="K7" s="54">
        <f ca="1"/>
        <v>45940</v>
      </c>
      <c r="L7" s="1">
        <f ca="1"/>
        <v>94.274000000000001</v>
      </c>
      <c r="M7" s="54">
        <f ca="1"/>
        <v>45940</v>
      </c>
      <c r="N7" s="1">
        <f ca="1"/>
        <v>101.09375</v>
      </c>
    </row>
    <row r="8" spans="1:14" x14ac:dyDescent="0.3">
      <c r="A8" s="15" t="s">
        <v>14</v>
      </c>
      <c r="B8" s="4" t="s">
        <v>24</v>
      </c>
      <c r="C8" s="1" t="s">
        <v>24</v>
      </c>
      <c r="D8" s="1" t="s">
        <v>24</v>
      </c>
      <c r="E8" s="5" t="s">
        <v>24</v>
      </c>
      <c r="G8" s="1"/>
      <c r="H8" s="1"/>
      <c r="I8" s="1"/>
      <c r="J8" s="1"/>
      <c r="K8" s="1"/>
      <c r="L8" s="1"/>
      <c r="M8" s="1"/>
      <c r="N8" s="1"/>
    </row>
    <row r="9" spans="1:14" x14ac:dyDescent="0.3">
      <c r="A9" s="15" t="s">
        <v>15</v>
      </c>
      <c r="B9" s="4" t="s">
        <v>24</v>
      </c>
      <c r="C9" s="1" t="s">
        <v>24</v>
      </c>
      <c r="D9" s="1"/>
      <c r="E9" s="5" t="s">
        <v>24</v>
      </c>
      <c r="G9" s="1"/>
      <c r="H9" s="1"/>
      <c r="I9" s="1"/>
      <c r="J9" s="1"/>
      <c r="K9" s="1"/>
      <c r="L9" s="1"/>
      <c r="M9" s="1"/>
      <c r="N9" s="1"/>
    </row>
    <row r="10" spans="1:14" ht="15" thickBot="1" x14ac:dyDescent="0.35">
      <c r="A10" s="16" t="s">
        <v>29</v>
      </c>
      <c r="B10" s="11" cm="1">
        <f t="array" ref="B10">_xll.BDP(B4,"px_last")</f>
        <v>100.676</v>
      </c>
      <c r="C10" s="21" cm="1">
        <f t="array" ref="C10">_xll.BDP(C4,"px_last")</f>
        <v>101.296875</v>
      </c>
      <c r="D10" s="21" cm="1">
        <f t="array" ref="D10">_xll.BDP(D4,"px_last")</f>
        <v>94.274000000000001</v>
      </c>
      <c r="E10" s="22" cm="1">
        <f t="array" ref="E10">_xll.BDP(E4,"px_last")</f>
        <v>101.109375</v>
      </c>
      <c r="F10" s="1"/>
      <c r="G10" s="1"/>
      <c r="H10" s="1"/>
      <c r="I10" s="1"/>
      <c r="J10" s="1"/>
      <c r="K10" s="1"/>
      <c r="L10" s="1"/>
      <c r="M10" s="1"/>
      <c r="N10" s="1"/>
    </row>
    <row r="11" spans="1:14" ht="15" thickBot="1" x14ac:dyDescent="0.35"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 ht="15" thickBot="1" x14ac:dyDescent="0.35">
      <c r="A12" s="40" t="s">
        <v>23</v>
      </c>
      <c r="B12" s="113" t="s">
        <v>0</v>
      </c>
      <c r="C12" s="114"/>
      <c r="D12" s="114"/>
      <c r="E12" s="119" t="s">
        <v>1</v>
      </c>
      <c r="F12" s="120"/>
      <c r="G12" s="121"/>
      <c r="H12" s="116" t="s">
        <v>1</v>
      </c>
      <c r="I12" s="117"/>
      <c r="J12" s="118"/>
      <c r="K12" s="122" t="s">
        <v>0</v>
      </c>
      <c r="L12" s="123"/>
      <c r="M12" s="124"/>
      <c r="N12" s="40" t="s">
        <v>16</v>
      </c>
    </row>
    <row r="13" spans="1:14" ht="15" thickBot="1" x14ac:dyDescent="0.35">
      <c r="A13" s="16"/>
      <c r="B13" s="11" t="s">
        <v>17</v>
      </c>
      <c r="C13" s="21" t="s">
        <v>21</v>
      </c>
      <c r="D13" s="22" t="s">
        <v>20</v>
      </c>
      <c r="E13" s="11" t="s">
        <v>17</v>
      </c>
      <c r="F13" s="21" t="s">
        <v>21</v>
      </c>
      <c r="G13" s="22" t="s">
        <v>20</v>
      </c>
      <c r="H13" s="11" t="s">
        <v>17</v>
      </c>
      <c r="I13" s="21" t="s">
        <v>21</v>
      </c>
      <c r="J13" s="22" t="s">
        <v>20</v>
      </c>
      <c r="K13" s="11" t="s">
        <v>17</v>
      </c>
      <c r="L13" s="21" t="s">
        <v>21</v>
      </c>
      <c r="M13" s="22" t="s">
        <v>20</v>
      </c>
      <c r="N13" s="102"/>
    </row>
    <row r="14" spans="1:14" x14ac:dyDescent="0.3">
      <c r="A14" s="37">
        <v>45931</v>
      </c>
      <c r="B14" s="79">
        <v>100.65</v>
      </c>
      <c r="C14" s="47"/>
      <c r="D14" s="48"/>
      <c r="E14" s="79">
        <v>100.898</v>
      </c>
      <c r="F14" s="1"/>
      <c r="G14" s="5"/>
      <c r="H14" s="79">
        <v>94.375</v>
      </c>
      <c r="I14" s="1"/>
      <c r="J14" s="5"/>
      <c r="K14" s="79">
        <v>100.297</v>
      </c>
      <c r="L14" s="1"/>
      <c r="M14" s="5"/>
      <c r="N14" s="85"/>
    </row>
    <row r="15" spans="1:14" x14ac:dyDescent="0.3">
      <c r="A15" s="37">
        <v>45932</v>
      </c>
      <c r="B15" s="79">
        <v>100.941</v>
      </c>
      <c r="C15" s="31">
        <f t="shared" ref="C15:C20" si="0">(B15-$B$14)/100*$B$5</f>
        <v>40739.999999999556</v>
      </c>
      <c r="D15" s="32">
        <f t="shared" ref="D15:D20" si="1">(A15-$A$14)/360*$B$6*$B$5-(A15-$A$14)/360*$B$7*$B$5*$B$14/100</f>
        <v>240.1408333333336</v>
      </c>
      <c r="E15" s="79">
        <v>101.44499999999999</v>
      </c>
      <c r="F15" s="31">
        <f t="shared" ref="F15:F20" si="2">(E15-$E$14)/100*$C$5</f>
        <v>74391.999999999593</v>
      </c>
      <c r="G15" s="32">
        <f t="shared" ref="G15:G20" si="3">(A15-$A$14)/360*$C$6*$C$5-(A15-$A$14)/360*$C$7*$C$5*$E$14/100</f>
        <v>-6.7944844444439241</v>
      </c>
      <c r="H15" s="79">
        <v>94.896000000000001</v>
      </c>
      <c r="I15" s="31">
        <f t="shared" ref="I15:I20" si="4">(H15-$H$14)/100*$D$5</f>
        <v>26050.00000000004</v>
      </c>
      <c r="J15" s="32">
        <f t="shared" ref="J15:J20" si="5">(A15-$A$14)/360*$D$6*$D$5-(A15-$A$14)/360*$D$7*$D$5*$H$14/100</f>
        <v>192.07465277777771</v>
      </c>
      <c r="K15" s="79">
        <v>100.9375</v>
      </c>
      <c r="L15" s="31">
        <f t="shared" ref="L15:L20" si="6">(K15-$K$14)/100*$E$5</f>
        <v>26901.000000000124</v>
      </c>
      <c r="M15" s="32">
        <f t="shared" ref="M15:M20" si="7">(A15-$A$14)/360*$E$6*$E$5-(A15-$A$14)/360*$E$7*$E$5*$K$14/100</f>
        <v>59.20097166666676</v>
      </c>
      <c r="N15" s="85">
        <f t="shared" ref="N15:N20" si="8">C15+D15-F15-G15-I15-J15+L15+M15</f>
        <v>-32686.938363333298</v>
      </c>
    </row>
    <row r="16" spans="1:14" x14ac:dyDescent="0.3">
      <c r="A16" s="37">
        <v>45933</v>
      </c>
      <c r="B16" s="79">
        <v>100.846</v>
      </c>
      <c r="C16" s="31">
        <f t="shared" si="0"/>
        <v>27439.999999999713</v>
      </c>
      <c r="D16" s="32">
        <f t="shared" si="1"/>
        <v>480.28166666666721</v>
      </c>
      <c r="E16" s="79">
        <v>101.1484375</v>
      </c>
      <c r="F16" s="31">
        <f t="shared" si="2"/>
        <v>34059.500000000524</v>
      </c>
      <c r="G16" s="32">
        <f t="shared" si="3"/>
        <v>-13.588968888887848</v>
      </c>
      <c r="H16" s="79">
        <v>94.849000000000004</v>
      </c>
      <c r="I16" s="31">
        <f t="shared" si="4"/>
        <v>23700.000000000189</v>
      </c>
      <c r="J16" s="32">
        <f t="shared" si="5"/>
        <v>384.14930555555543</v>
      </c>
      <c r="K16" s="79">
        <v>100.554</v>
      </c>
      <c r="L16" s="31">
        <f t="shared" si="6"/>
        <v>10794.000000000211</v>
      </c>
      <c r="M16" s="32">
        <f t="shared" si="7"/>
        <v>118.40194333333352</v>
      </c>
      <c r="N16" s="85">
        <f t="shared" si="8"/>
        <v>-19297.376726667459</v>
      </c>
    </row>
    <row r="17" spans="1:14" x14ac:dyDescent="0.3">
      <c r="A17" s="37">
        <v>45936</v>
      </c>
      <c r="B17" s="79">
        <v>100.666</v>
      </c>
      <c r="C17" s="31">
        <f t="shared" si="0"/>
        <v>2239.9999999987585</v>
      </c>
      <c r="D17" s="32">
        <f t="shared" si="1"/>
        <v>1200.7041666666682</v>
      </c>
      <c r="E17" s="79">
        <v>100.8828</v>
      </c>
      <c r="F17" s="31">
        <f t="shared" si="2"/>
        <v>-2067.1999999990476</v>
      </c>
      <c r="G17" s="32">
        <f t="shared" si="3"/>
        <v>-33.972422222220303</v>
      </c>
      <c r="H17" s="79">
        <v>94.522000000000006</v>
      </c>
      <c r="I17" s="31">
        <f t="shared" si="4"/>
        <v>7350.0000000002783</v>
      </c>
      <c r="J17" s="32">
        <f t="shared" si="5"/>
        <v>960.37326388888914</v>
      </c>
      <c r="K17" s="79">
        <v>99.96875</v>
      </c>
      <c r="L17" s="31">
        <f t="shared" si="6"/>
        <v>-13786.499999999876</v>
      </c>
      <c r="M17" s="32">
        <f t="shared" si="7"/>
        <v>296.00485833333414</v>
      </c>
      <c r="N17" s="85">
        <f t="shared" si="8"/>
        <v>-16258.991816669015</v>
      </c>
    </row>
    <row r="18" spans="1:14" x14ac:dyDescent="0.3">
      <c r="A18" s="37">
        <v>45937</v>
      </c>
      <c r="B18" s="46">
        <v>100.748</v>
      </c>
      <c r="C18" s="31">
        <f t="shared" si="0"/>
        <v>13719.999999999856</v>
      </c>
      <c r="D18" s="32">
        <f t="shared" si="1"/>
        <v>1440.8450000000012</v>
      </c>
      <c r="E18" s="79">
        <v>101.1171875</v>
      </c>
      <c r="F18" s="31">
        <f t="shared" si="2"/>
        <v>29809.500000000528</v>
      </c>
      <c r="G18" s="32">
        <f t="shared" si="3"/>
        <v>-40.766906666663999</v>
      </c>
      <c r="H18" s="4">
        <v>94.481999999999999</v>
      </c>
      <c r="I18" s="31">
        <f t="shared" si="4"/>
        <v>5349.9999999999663</v>
      </c>
      <c r="J18" s="32">
        <f t="shared" si="5"/>
        <v>1152.4479166666674</v>
      </c>
      <c r="K18" s="79">
        <v>100.359375</v>
      </c>
      <c r="L18" s="31">
        <f t="shared" si="6"/>
        <v>2619.7500000001241</v>
      </c>
      <c r="M18" s="32">
        <f t="shared" si="7"/>
        <v>355.20583000000033</v>
      </c>
      <c r="N18" s="85">
        <f t="shared" si="8"/>
        <v>-18135.380180000517</v>
      </c>
    </row>
    <row r="19" spans="1:14" x14ac:dyDescent="0.3">
      <c r="A19" s="37">
        <v>45938</v>
      </c>
      <c r="B19" s="46">
        <v>100.879</v>
      </c>
      <c r="C19" s="31">
        <f t="shared" si="0"/>
        <v>32059.999999999891</v>
      </c>
      <c r="D19" s="32">
        <f t="shared" si="1"/>
        <v>1680.9858333333341</v>
      </c>
      <c r="E19" s="79">
        <v>101.1484375</v>
      </c>
      <c r="F19" s="31">
        <f t="shared" si="2"/>
        <v>34059.500000000524</v>
      </c>
      <c r="G19" s="32">
        <f t="shared" si="3"/>
        <v>-47.561391111108605</v>
      </c>
      <c r="H19" s="4">
        <v>94.591999999999999</v>
      </c>
      <c r="I19" s="31">
        <f t="shared" si="4"/>
        <v>10849.999999999938</v>
      </c>
      <c r="J19" s="32">
        <f t="shared" si="5"/>
        <v>1344.5225694444443</v>
      </c>
      <c r="K19" s="79">
        <v>100.6015625</v>
      </c>
      <c r="L19" s="31">
        <f t="shared" si="6"/>
        <v>12791.625000000124</v>
      </c>
      <c r="M19" s="32">
        <f t="shared" si="7"/>
        <v>414.40680166666698</v>
      </c>
      <c r="N19" s="85">
        <f t="shared" si="8"/>
        <v>740.55645666621695</v>
      </c>
    </row>
    <row r="20" spans="1:14" x14ac:dyDescent="0.3">
      <c r="A20" s="37">
        <v>45939</v>
      </c>
      <c r="B20" s="46">
        <v>100.69</v>
      </c>
      <c r="C20" s="31">
        <f t="shared" si="0"/>
        <v>5599.9999999988859</v>
      </c>
      <c r="D20" s="32">
        <f t="shared" si="1"/>
        <v>1921.1266666666688</v>
      </c>
      <c r="E20" s="79">
        <v>100.9921875</v>
      </c>
      <c r="F20" s="31">
        <f t="shared" si="2"/>
        <v>12809.500000000526</v>
      </c>
      <c r="G20" s="32">
        <f t="shared" si="3"/>
        <v>-54.355875555551393</v>
      </c>
      <c r="H20" s="4">
        <v>94.316000000000003</v>
      </c>
      <c r="I20" s="31">
        <f t="shared" si="4"/>
        <v>-2949.9999999998749</v>
      </c>
      <c r="J20" s="32">
        <f t="shared" si="5"/>
        <v>1536.5972222222217</v>
      </c>
      <c r="K20" s="79">
        <v>100.40625</v>
      </c>
      <c r="L20" s="31">
        <f t="shared" si="6"/>
        <v>4588.5000000001246</v>
      </c>
      <c r="M20" s="32">
        <f t="shared" si="7"/>
        <v>473.60777333333408</v>
      </c>
      <c r="N20" s="85">
        <f t="shared" si="8"/>
        <v>1241.4930933316923</v>
      </c>
    </row>
    <row r="21" spans="1:14" x14ac:dyDescent="0.3">
      <c r="A21" s="37">
        <v>45940</v>
      </c>
      <c r="B21" s="46">
        <v>100.77500000000001</v>
      </c>
      <c r="C21" s="31">
        <f t="shared" ref="C21" si="9">(B21-$B$14)/100*$B$5</f>
        <v>17500</v>
      </c>
      <c r="D21" s="32">
        <f t="shared" ref="D21" si="10">(A21-$A$14)/360*$B$6*$B$5-(A21-$A$14)/360*$B$7*$B$5*$B$14/100</f>
        <v>2161.2675000000036</v>
      </c>
      <c r="E21" s="79">
        <v>101.1953125</v>
      </c>
      <c r="F21" s="31">
        <f t="shared" ref="F21" si="11">(E21-$E$14)/100*$C$5</f>
        <v>40434.500000000524</v>
      </c>
      <c r="G21" s="32">
        <f t="shared" ref="G21" si="12">(A21-$A$14)/360*$C$6*$C$5-(A21-$A$14)/360*$C$7*$C$5*$E$14/100</f>
        <v>-61.150359999995999</v>
      </c>
      <c r="H21" s="4">
        <v>94.384</v>
      </c>
      <c r="I21" s="31">
        <f t="shared" ref="I21" si="13">(H21-$H$14)/100*$D$5</f>
        <v>450.00000000001705</v>
      </c>
      <c r="J21" s="32">
        <f t="shared" ref="J21" si="14">(A21-$A$14)/360*$D$6*$D$5-(A21-$A$14)/360*$D$7*$D$5*$H$14/100</f>
        <v>1728.6718750000009</v>
      </c>
      <c r="K21" s="79">
        <v>100.8515625</v>
      </c>
      <c r="L21" s="31">
        <f t="shared" ref="L21" si="15">(K21-$K$14)/100*$E$5</f>
        <v>23291.625000000124</v>
      </c>
      <c r="M21" s="32">
        <f t="shared" ref="M21" si="16">(A21-$A$14)/360*$E$6*$E$5-(A21-$A$14)/360*$E$7*$E$5*$K$14/100</f>
        <v>532.80874500000118</v>
      </c>
      <c r="N21" s="85">
        <f t="shared" ref="N21" si="17">C21+D21-F21-G21-I21-J21+L21+M21</f>
        <v>933.67972999958056</v>
      </c>
    </row>
    <row r="22" spans="1:14" x14ac:dyDescent="0.3">
      <c r="A22" s="37">
        <v>45941</v>
      </c>
      <c r="B22" s="46"/>
      <c r="C22" s="31"/>
      <c r="D22" s="31"/>
      <c r="E22" s="4"/>
      <c r="F22" s="31"/>
      <c r="G22" s="32"/>
      <c r="H22" s="4"/>
      <c r="I22" s="31"/>
      <c r="J22" s="32"/>
      <c r="K22" s="4"/>
      <c r="L22" s="31"/>
      <c r="M22" s="32"/>
      <c r="N22" s="85"/>
    </row>
    <row r="23" spans="1:14" x14ac:dyDescent="0.3">
      <c r="A23" s="37"/>
      <c r="B23" s="46"/>
      <c r="C23" s="31"/>
      <c r="D23" s="31"/>
      <c r="E23" s="4"/>
      <c r="F23" s="31"/>
      <c r="G23" s="32"/>
      <c r="H23" s="4"/>
      <c r="I23" s="31"/>
      <c r="J23" s="32"/>
      <c r="K23" s="4"/>
      <c r="L23" s="31"/>
      <c r="M23" s="32"/>
      <c r="N23" s="85"/>
    </row>
    <row r="24" spans="1:14" x14ac:dyDescent="0.3">
      <c r="A24" s="37"/>
      <c r="B24" s="46"/>
      <c r="C24" s="31"/>
      <c r="D24" s="31"/>
      <c r="E24" s="4"/>
      <c r="F24" s="31"/>
      <c r="G24" s="32"/>
      <c r="H24" s="4"/>
      <c r="I24" s="31"/>
      <c r="J24" s="32"/>
      <c r="K24" s="4"/>
      <c r="L24" s="31"/>
      <c r="M24" s="32"/>
      <c r="N24" s="85"/>
    </row>
    <row r="25" spans="1:14" x14ac:dyDescent="0.3">
      <c r="A25" s="37"/>
      <c r="B25" s="46"/>
      <c r="C25" s="31"/>
      <c r="D25" s="31"/>
      <c r="E25" s="4"/>
      <c r="F25" s="31"/>
      <c r="G25" s="32"/>
      <c r="H25" s="4"/>
      <c r="I25" s="31"/>
      <c r="J25" s="32"/>
      <c r="K25" s="4"/>
      <c r="L25" s="31"/>
      <c r="M25" s="32"/>
      <c r="N25" s="85"/>
    </row>
    <row r="26" spans="1:14" x14ac:dyDescent="0.3">
      <c r="A26" s="37"/>
      <c r="B26" s="46"/>
      <c r="C26" s="31"/>
      <c r="D26" s="31"/>
      <c r="E26" s="4"/>
      <c r="F26" s="31"/>
      <c r="G26" s="32"/>
      <c r="H26" s="4"/>
      <c r="I26" s="31"/>
      <c r="J26" s="32"/>
      <c r="K26" s="4"/>
      <c r="L26" s="31"/>
      <c r="M26" s="32"/>
      <c r="N26" s="85"/>
    </row>
    <row r="27" spans="1:14" x14ac:dyDescent="0.3">
      <c r="A27" s="56"/>
      <c r="B27" s="57"/>
      <c r="C27" s="58"/>
      <c r="D27" s="58"/>
      <c r="E27" s="4"/>
      <c r="F27" s="31"/>
      <c r="G27" s="32"/>
      <c r="H27" s="4"/>
      <c r="I27" s="31"/>
      <c r="J27" s="32"/>
      <c r="K27" s="4"/>
      <c r="L27" s="31"/>
      <c r="M27" s="32"/>
      <c r="N27" s="85"/>
    </row>
    <row r="28" spans="1:14" x14ac:dyDescent="0.3">
      <c r="A28" s="37"/>
      <c r="B28" s="46"/>
      <c r="C28" s="31"/>
      <c r="D28" s="31"/>
      <c r="E28" s="4"/>
      <c r="F28" s="31"/>
      <c r="G28" s="32"/>
      <c r="H28" s="4"/>
      <c r="I28" s="31"/>
      <c r="J28" s="32"/>
      <c r="K28" s="4"/>
      <c r="L28" s="31"/>
      <c r="M28" s="32"/>
      <c r="N28" s="85"/>
    </row>
    <row r="29" spans="1:14" x14ac:dyDescent="0.3">
      <c r="A29" s="37"/>
      <c r="B29" s="46"/>
      <c r="C29" s="31"/>
      <c r="D29" s="31"/>
      <c r="E29" s="4"/>
      <c r="F29" s="31"/>
      <c r="G29" s="32"/>
      <c r="H29" s="4"/>
      <c r="I29" s="31"/>
      <c r="J29" s="32"/>
      <c r="K29" s="4"/>
      <c r="L29" s="31"/>
      <c r="M29" s="32"/>
      <c r="N29" s="85"/>
    </row>
    <row r="30" spans="1:14" x14ac:dyDescent="0.3">
      <c r="A30" s="56"/>
      <c r="B30" s="46"/>
      <c r="C30" s="31"/>
      <c r="D30" s="31"/>
      <c r="E30" s="4"/>
      <c r="F30" s="31"/>
      <c r="G30" s="32"/>
      <c r="H30" s="4"/>
      <c r="I30" s="31"/>
      <c r="J30" s="32"/>
      <c r="K30" s="4"/>
      <c r="L30" s="31"/>
      <c r="M30" s="32"/>
      <c r="N30" s="39"/>
    </row>
    <row r="31" spans="1:14" x14ac:dyDescent="0.3">
      <c r="A31" s="56"/>
      <c r="B31" s="46"/>
      <c r="C31" s="31"/>
      <c r="D31" s="31"/>
      <c r="E31" s="4"/>
      <c r="F31" s="31"/>
      <c r="G31" s="32"/>
      <c r="H31" s="4"/>
      <c r="I31" s="31"/>
      <c r="J31" s="32"/>
      <c r="K31" s="4"/>
      <c r="L31" s="31"/>
      <c r="M31" s="32"/>
      <c r="N31" s="39"/>
    </row>
    <row r="32" spans="1:14" x14ac:dyDescent="0.3">
      <c r="A32" s="15"/>
      <c r="B32" s="46"/>
      <c r="C32" s="31"/>
      <c r="D32" s="31"/>
      <c r="E32" s="4"/>
      <c r="F32" s="31"/>
      <c r="G32" s="32"/>
      <c r="H32" s="4"/>
      <c r="I32" s="31"/>
      <c r="J32" s="32"/>
      <c r="K32" s="4"/>
      <c r="L32" s="31"/>
      <c r="M32" s="32"/>
      <c r="N32" s="39"/>
    </row>
    <row r="33" spans="1:14" x14ac:dyDescent="0.3">
      <c r="A33" s="15"/>
      <c r="B33" s="46"/>
      <c r="C33" s="31"/>
      <c r="D33" s="31"/>
      <c r="E33" s="4"/>
      <c r="F33" s="31"/>
      <c r="G33" s="32"/>
      <c r="H33" s="4"/>
      <c r="I33" s="31"/>
      <c r="J33" s="32"/>
      <c r="K33" s="4"/>
      <c r="L33" s="31"/>
      <c r="M33" s="32"/>
      <c r="N33" s="39"/>
    </row>
    <row r="34" spans="1:14" x14ac:dyDescent="0.3">
      <c r="A34" s="15"/>
      <c r="B34" s="46"/>
      <c r="C34" s="31"/>
      <c r="D34" s="31"/>
      <c r="E34" s="4"/>
      <c r="F34" s="31"/>
      <c r="G34" s="32"/>
      <c r="H34" s="4"/>
      <c r="I34" s="31"/>
      <c r="J34" s="32"/>
      <c r="K34" s="4"/>
      <c r="L34" s="31"/>
      <c r="M34" s="32"/>
      <c r="N34" s="39"/>
    </row>
    <row r="35" spans="1:14" x14ac:dyDescent="0.3">
      <c r="A35" s="15"/>
      <c r="B35" s="46"/>
      <c r="C35" s="31"/>
      <c r="D35" s="31"/>
      <c r="E35" s="4"/>
      <c r="F35" s="31"/>
      <c r="G35" s="32"/>
      <c r="H35" s="4"/>
      <c r="I35" s="31"/>
      <c r="J35" s="32"/>
      <c r="K35" s="4"/>
      <c r="L35" s="31"/>
      <c r="M35" s="32"/>
      <c r="N35" s="39"/>
    </row>
    <row r="36" spans="1:14" x14ac:dyDescent="0.3">
      <c r="A36" s="15"/>
      <c r="B36" s="46"/>
      <c r="C36" s="31"/>
      <c r="D36" s="31"/>
      <c r="E36" s="4"/>
      <c r="F36" s="31"/>
      <c r="G36" s="32"/>
      <c r="H36" s="4"/>
      <c r="I36" s="31"/>
      <c r="J36" s="32"/>
      <c r="K36" s="4"/>
      <c r="L36" s="31"/>
      <c r="M36" s="32"/>
      <c r="N36" s="39"/>
    </row>
    <row r="37" spans="1:14" x14ac:dyDescent="0.3">
      <c r="A37" s="15"/>
      <c r="B37" s="46"/>
      <c r="C37" s="31"/>
      <c r="D37" s="31"/>
      <c r="E37" s="4"/>
      <c r="F37" s="31"/>
      <c r="G37" s="32"/>
      <c r="H37" s="4"/>
      <c r="I37" s="31"/>
      <c r="J37" s="32"/>
      <c r="K37" s="4"/>
      <c r="L37" s="31"/>
      <c r="M37" s="32"/>
      <c r="N37" s="39"/>
    </row>
    <row r="38" spans="1:14" x14ac:dyDescent="0.3">
      <c r="A38" s="15"/>
      <c r="B38" s="46"/>
      <c r="C38" s="31"/>
      <c r="D38" s="31"/>
      <c r="E38" s="4"/>
      <c r="F38" s="31"/>
      <c r="G38" s="32"/>
      <c r="H38" s="4"/>
      <c r="I38" s="31"/>
      <c r="J38" s="32"/>
      <c r="K38" s="4"/>
      <c r="L38" s="31"/>
      <c r="M38" s="32"/>
      <c r="N38" s="39"/>
    </row>
    <row r="39" spans="1:14" x14ac:dyDescent="0.3">
      <c r="A39" s="15"/>
      <c r="B39" s="46"/>
      <c r="C39" s="31"/>
      <c r="D39" s="31"/>
      <c r="E39" s="4"/>
      <c r="F39" s="31"/>
      <c r="G39" s="32"/>
      <c r="H39" s="4"/>
      <c r="I39" s="31"/>
      <c r="J39" s="32"/>
      <c r="K39" s="4"/>
      <c r="L39" s="31"/>
      <c r="M39" s="32"/>
      <c r="N39" s="39"/>
    </row>
    <row r="40" spans="1:14" x14ac:dyDescent="0.3">
      <c r="A40" s="15"/>
      <c r="B40" s="46"/>
      <c r="C40" s="31"/>
      <c r="D40" s="31"/>
      <c r="E40" s="4"/>
      <c r="F40" s="31"/>
      <c r="G40" s="32"/>
      <c r="H40" s="4"/>
      <c r="I40" s="31"/>
      <c r="J40" s="32"/>
      <c r="K40" s="4"/>
      <c r="L40" s="31"/>
      <c r="M40" s="32"/>
      <c r="N40" s="39"/>
    </row>
    <row r="41" spans="1:14" ht="15" thickBot="1" x14ac:dyDescent="0.35">
      <c r="A41" s="16"/>
      <c r="B41" s="49"/>
      <c r="C41" s="50"/>
      <c r="D41" s="50"/>
      <c r="E41" s="11"/>
      <c r="F41" s="50"/>
      <c r="G41" s="51"/>
      <c r="H41" s="11"/>
      <c r="I41" s="50"/>
      <c r="J41" s="51"/>
      <c r="K41" s="11"/>
      <c r="L41" s="50"/>
      <c r="M41" s="51"/>
      <c r="N41" s="52"/>
    </row>
    <row r="42" spans="1:14" x14ac:dyDescent="0.3">
      <c r="B42" s="60"/>
      <c r="C42" s="60"/>
      <c r="D42" s="60"/>
      <c r="F42" s="58"/>
      <c r="G42" s="58"/>
      <c r="I42" s="58"/>
      <c r="J42" s="58"/>
      <c r="L42" s="58"/>
      <c r="M42" s="58"/>
      <c r="N42" s="58"/>
    </row>
    <row r="43" spans="1:14" x14ac:dyDescent="0.3">
      <c r="B43" s="60"/>
      <c r="C43" s="60"/>
      <c r="D43" s="60"/>
      <c r="I43" s="58"/>
      <c r="J43" s="58"/>
      <c r="L43" s="58"/>
      <c r="M43" s="58"/>
      <c r="N43" s="58"/>
    </row>
    <row r="44" spans="1:14" x14ac:dyDescent="0.3">
      <c r="B44" s="60"/>
      <c r="C44" s="60"/>
      <c r="D44" s="60"/>
      <c r="I44" s="58"/>
      <c r="J44" s="58"/>
      <c r="L44" s="58"/>
      <c r="M44" s="58"/>
      <c r="N44" s="58"/>
    </row>
    <row r="45" spans="1:14" x14ac:dyDescent="0.3">
      <c r="B45" s="60"/>
      <c r="C45" s="60"/>
      <c r="D45" s="60"/>
      <c r="I45" s="58"/>
      <c r="J45" s="58"/>
      <c r="L45" s="58"/>
      <c r="M45" s="58"/>
      <c r="N45" s="58"/>
    </row>
    <row r="46" spans="1:14" x14ac:dyDescent="0.3">
      <c r="B46" s="60"/>
      <c r="C46" s="60"/>
      <c r="D46" s="60"/>
    </row>
    <row r="47" spans="1:14" x14ac:dyDescent="0.3">
      <c r="B47" s="60"/>
      <c r="C47" s="60"/>
      <c r="D47" s="60"/>
    </row>
    <row r="48" spans="1:14" x14ac:dyDescent="0.3">
      <c r="B48" s="60"/>
      <c r="C48" s="60"/>
      <c r="D48" s="60"/>
    </row>
    <row r="49" spans="2:4" x14ac:dyDescent="0.3">
      <c r="B49" s="60"/>
      <c r="C49" s="60"/>
      <c r="D49" s="60"/>
    </row>
    <row r="50" spans="2:4" x14ac:dyDescent="0.3">
      <c r="B50" s="60"/>
      <c r="C50" s="60"/>
      <c r="D50" s="60"/>
    </row>
    <row r="51" spans="2:4" x14ac:dyDescent="0.3">
      <c r="B51" s="60"/>
      <c r="C51" s="60"/>
      <c r="D51" s="60"/>
    </row>
    <row r="52" spans="2:4" x14ac:dyDescent="0.3">
      <c r="B52" s="60"/>
      <c r="C52" s="60"/>
      <c r="D52" s="60"/>
    </row>
    <row r="53" spans="2:4" x14ac:dyDescent="0.3">
      <c r="B53" s="60"/>
      <c r="C53" s="60"/>
      <c r="D53" s="60"/>
    </row>
  </sheetData>
  <mergeCells count="4">
    <mergeCell ref="E12:G12"/>
    <mergeCell ref="H12:J12"/>
    <mergeCell ref="B12:D12"/>
    <mergeCell ref="K12:M12"/>
  </mergeCells>
  <conditionalFormatting sqref="N1:N1048576">
    <cfRule type="cellIs" dxfId="5" priority="1" operator="lessThan">
      <formula>0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0D6ED-CFA7-40D0-BD54-12C39214CD86}">
  <dimension ref="A1:L53"/>
  <sheetViews>
    <sheetView zoomScale="80" zoomScaleNormal="80" workbookViewId="0">
      <selection activeCell="E4" sqref="E4"/>
    </sheetView>
  </sheetViews>
  <sheetFormatPr defaultRowHeight="14.4" x14ac:dyDescent="0.3"/>
  <cols>
    <col min="1" max="1" width="15.44140625" style="3" bestFit="1" customWidth="1"/>
    <col min="2" max="4" width="16.88671875" style="3" customWidth="1"/>
    <col min="5" max="5" width="24.6640625" style="3" bestFit="1" customWidth="1"/>
    <col min="6" max="6" width="8.5546875" style="3" bestFit="1" customWidth="1"/>
    <col min="7" max="7" width="10.5546875" style="3" bestFit="1" customWidth="1"/>
    <col min="8" max="8" width="11" style="3" bestFit="1" customWidth="1"/>
    <col min="9" max="9" width="10.6640625" style="3" bestFit="1" customWidth="1"/>
    <col min="10" max="16384" width="8.88671875" style="3"/>
  </cols>
  <sheetData>
    <row r="1" spans="1:12" ht="15" thickBot="1" x14ac:dyDescent="0.35">
      <c r="A1" s="1"/>
      <c r="B1" s="1"/>
      <c r="C1" s="1"/>
      <c r="D1" s="1"/>
      <c r="E1" s="54">
        <f ca="1">TODAY()-7</f>
        <v>45933</v>
      </c>
      <c r="G1" s="1"/>
      <c r="H1" s="1"/>
      <c r="I1" s="1"/>
      <c r="J1" s="1"/>
    </row>
    <row r="2" spans="1:12" ht="15" thickBot="1" x14ac:dyDescent="0.35">
      <c r="A2" s="30"/>
      <c r="B2" s="41" t="s">
        <v>0</v>
      </c>
      <c r="C2" s="28" t="s">
        <v>1</v>
      </c>
      <c r="E2" s="27" t="s">
        <v>0</v>
      </c>
      <c r="F2" s="1"/>
      <c r="G2" s="28" t="s">
        <v>1</v>
      </c>
      <c r="H2" s="2"/>
      <c r="J2" s="1"/>
    </row>
    <row r="3" spans="1:12" x14ac:dyDescent="0.3">
      <c r="A3" s="15" t="s">
        <v>33</v>
      </c>
      <c r="B3" s="1" t="s">
        <v>53</v>
      </c>
      <c r="C3" s="5" t="s">
        <v>54</v>
      </c>
      <c r="E3" s="53" cm="1">
        <f t="array" aca="1" ref="E3:F3" ca="1">_xll.BDH($B$4, "PX_LAST, ",E1, "")</f>
        <v>45938</v>
      </c>
      <c r="F3" s="1">
        <f ca="1"/>
        <v>92.66</v>
      </c>
      <c r="G3" s="53" cm="1">
        <f t="array" aca="1" ref="G3:H8" ca="1">_xll.BDH($C$4, "PX_LAST, ",E1, "")</f>
        <v>45933</v>
      </c>
      <c r="H3" s="47">
        <f ca="1"/>
        <v>45.582000000000001</v>
      </c>
      <c r="J3" s="1"/>
    </row>
    <row r="4" spans="1:12" ht="32.25" customHeight="1" x14ac:dyDescent="0.3">
      <c r="A4" s="15" t="s">
        <v>34</v>
      </c>
      <c r="B4" s="42" t="s">
        <v>55</v>
      </c>
      <c r="C4" s="43" t="s">
        <v>56</v>
      </c>
      <c r="E4" s="54"/>
      <c r="F4" s="1"/>
      <c r="G4" s="54">
        <f ca="1"/>
        <v>45936</v>
      </c>
      <c r="H4" s="1">
        <f ca="1"/>
        <v>46.14</v>
      </c>
      <c r="I4" s="1"/>
    </row>
    <row r="5" spans="1:12" x14ac:dyDescent="0.3">
      <c r="A5" s="15" t="s">
        <v>8</v>
      </c>
      <c r="B5" s="7">
        <f>20*10^6</f>
        <v>20000000</v>
      </c>
      <c r="C5" s="8">
        <f>39*10^6</f>
        <v>39000000</v>
      </c>
      <c r="E5" s="54"/>
      <c r="F5" s="1"/>
      <c r="G5" s="54">
        <f ca="1"/>
        <v>45937</v>
      </c>
      <c r="H5" s="1">
        <f ca="1"/>
        <v>46.350999999999999</v>
      </c>
      <c r="I5" s="1"/>
      <c r="L5" s="62"/>
    </row>
    <row r="6" spans="1:12" x14ac:dyDescent="0.3">
      <c r="A6" s="15" t="s">
        <v>10</v>
      </c>
      <c r="B6" s="9">
        <v>0.01</v>
      </c>
      <c r="C6" s="44">
        <v>0.01</v>
      </c>
      <c r="E6" s="54"/>
      <c r="F6" s="1"/>
      <c r="G6" s="54">
        <f ca="1"/>
        <v>45938</v>
      </c>
      <c r="H6" s="1">
        <f ca="1"/>
        <v>46.396000000000001</v>
      </c>
      <c r="I6" s="1"/>
    </row>
    <row r="7" spans="1:12" x14ac:dyDescent="0.3">
      <c r="A7" s="15" t="s">
        <v>12</v>
      </c>
      <c r="B7" s="9">
        <v>0</v>
      </c>
      <c r="C7" s="44">
        <v>0</v>
      </c>
      <c r="E7" s="54"/>
      <c r="F7" s="1"/>
      <c r="G7" s="54">
        <f ca="1"/>
        <v>45939</v>
      </c>
      <c r="H7" s="1">
        <f ca="1"/>
        <v>46.616999999999997</v>
      </c>
      <c r="I7" s="1"/>
    </row>
    <row r="8" spans="1:12" x14ac:dyDescent="0.3">
      <c r="A8" s="15" t="s">
        <v>14</v>
      </c>
      <c r="B8" s="1">
        <v>4.8499999999999996</v>
      </c>
      <c r="C8" s="5">
        <v>5.01</v>
      </c>
      <c r="E8" s="1"/>
      <c r="F8" s="1"/>
      <c r="G8" s="54">
        <f ca="1"/>
        <v>45940</v>
      </c>
      <c r="H8" s="1">
        <f ca="1"/>
        <v>46.917000000000002</v>
      </c>
      <c r="I8" s="1"/>
    </row>
    <row r="9" spans="1:12" x14ac:dyDescent="0.3">
      <c r="A9" s="15" t="s">
        <v>15</v>
      </c>
      <c r="B9" s="1" t="s">
        <v>24</v>
      </c>
      <c r="C9" s="5" t="s">
        <v>24</v>
      </c>
      <c r="E9" s="1"/>
      <c r="F9" s="1"/>
      <c r="G9" s="1"/>
      <c r="H9" s="1"/>
      <c r="I9" s="1"/>
    </row>
    <row r="10" spans="1:12" ht="15" thickBot="1" x14ac:dyDescent="0.35">
      <c r="A10" s="16" t="s">
        <v>29</v>
      </c>
      <c r="B10" s="21" cm="1">
        <f t="array" ref="B10">_xll.BDP(B4,"px_last")</f>
        <v>92.660420000000002</v>
      </c>
      <c r="C10" s="22" cm="1">
        <f t="array" ref="C10">_xll.BDP(C4,"px_last")</f>
        <v>46.917110000000001</v>
      </c>
      <c r="E10" s="1"/>
      <c r="F10" s="1"/>
      <c r="G10" s="1"/>
      <c r="H10" s="1"/>
      <c r="I10" s="1"/>
    </row>
    <row r="11" spans="1:12" ht="15" thickBot="1" x14ac:dyDescent="0.35">
      <c r="C11" s="1"/>
      <c r="D11" s="1"/>
      <c r="E11" s="1"/>
      <c r="F11" s="1"/>
      <c r="G11" s="1"/>
      <c r="H11" s="1"/>
      <c r="I11" s="1"/>
    </row>
    <row r="12" spans="1:12" ht="15" thickBot="1" x14ac:dyDescent="0.35">
      <c r="A12" s="40" t="s">
        <v>23</v>
      </c>
      <c r="B12" s="113" t="s">
        <v>0</v>
      </c>
      <c r="C12" s="114"/>
      <c r="D12" s="115"/>
      <c r="E12" s="116" t="s">
        <v>1</v>
      </c>
      <c r="F12" s="117"/>
      <c r="G12" s="118"/>
      <c r="H12" s="103" t="s">
        <v>16</v>
      </c>
      <c r="I12" s="1"/>
    </row>
    <row r="13" spans="1:12" ht="15" thickBot="1" x14ac:dyDescent="0.35">
      <c r="A13" s="16"/>
      <c r="B13" s="11" t="s">
        <v>25</v>
      </c>
      <c r="C13" s="21" t="s">
        <v>19</v>
      </c>
      <c r="D13" s="22" t="s">
        <v>20</v>
      </c>
      <c r="E13" s="11" t="s">
        <v>25</v>
      </c>
      <c r="F13" s="21" t="s">
        <v>19</v>
      </c>
      <c r="G13" s="22" t="s">
        <v>20</v>
      </c>
      <c r="H13" s="102"/>
      <c r="I13" s="1"/>
    </row>
    <row r="14" spans="1:12" x14ac:dyDescent="0.3">
      <c r="A14" s="37">
        <v>45933</v>
      </c>
      <c r="B14" s="46">
        <v>90</v>
      </c>
      <c r="C14" s="47"/>
      <c r="D14" s="48"/>
      <c r="E14" s="46">
        <v>45</v>
      </c>
      <c r="F14" s="1"/>
      <c r="G14" s="5"/>
      <c r="H14" s="85"/>
      <c r="I14" s="1"/>
    </row>
    <row r="15" spans="1:12" x14ac:dyDescent="0.3">
      <c r="A15" s="37">
        <v>45936</v>
      </c>
      <c r="B15" s="46">
        <v>92.248999999999995</v>
      </c>
      <c r="C15" s="31">
        <f t="shared" ref="C15" si="0">-1*(B15-$B$14)*10^-4*$B$8*$B$5</f>
        <v>-21815.299999999952</v>
      </c>
      <c r="D15" s="32">
        <f t="shared" ref="D15" si="1">$B$6*(A15-$A$14)/360*$B$5</f>
        <v>1666.6666666666665</v>
      </c>
      <c r="E15" s="46">
        <v>46.14</v>
      </c>
      <c r="F15" s="31">
        <f t="shared" ref="F15" si="2">-1*(E15-$E$14)*10^-4*$C$8*$C$5</f>
        <v>-22274.46000000001</v>
      </c>
      <c r="G15" s="32">
        <f t="shared" ref="G15" si="3">$C$6*(A15-$A$14)/360*$C$5</f>
        <v>3250</v>
      </c>
      <c r="H15" s="85">
        <f>C15+D15-F15-G15</f>
        <v>-1124.1733333332741</v>
      </c>
      <c r="I15" s="1"/>
    </row>
    <row r="16" spans="1:12" x14ac:dyDescent="0.3">
      <c r="A16" s="37">
        <v>45937</v>
      </c>
      <c r="B16" s="46">
        <v>92.248999999999995</v>
      </c>
      <c r="C16" s="31">
        <f t="shared" ref="C16" si="4">-1*(B16-$B$14)*10^-4*$B$8*$B$5</f>
        <v>-21815.299999999952</v>
      </c>
      <c r="D16" s="32">
        <f t="shared" ref="D16" si="5">$B$6*(A16-$A$14)/360*$B$5</f>
        <v>2222.2222222222222</v>
      </c>
      <c r="E16" s="46">
        <v>46.350999999999999</v>
      </c>
      <c r="F16" s="31">
        <f t="shared" ref="F16" si="6">-1*(E16-$E$14)*10^-4*$C$8*$C$5</f>
        <v>-26397.188999999984</v>
      </c>
      <c r="G16" s="32">
        <f>$C$6*(A16-$A$14)/360*$C$5</f>
        <v>4333.3333333333339</v>
      </c>
      <c r="H16" s="85">
        <f>C16+D16-F16-G16</f>
        <v>2470.7778888889206</v>
      </c>
      <c r="I16" s="1"/>
    </row>
    <row r="17" spans="1:9" x14ac:dyDescent="0.3">
      <c r="A17" s="37">
        <v>45938</v>
      </c>
      <c r="B17" s="46">
        <v>92.66</v>
      </c>
      <c r="C17" s="31">
        <f t="shared" ref="C17" si="7">-1*(B17-$B$14)*10^-4*$B$8*$B$5</f>
        <v>-25801.999999999967</v>
      </c>
      <c r="D17" s="32">
        <f t="shared" ref="D17" si="8">$B$6*(A17-$A$14)/360*$B$5</f>
        <v>2777.7777777777778</v>
      </c>
      <c r="E17" s="1">
        <v>46.396000000000001</v>
      </c>
      <c r="F17" s="31">
        <f t="shared" ref="F17" si="9">-1*(E17-$E$14)*10^-4*$C$8*$C$5</f>
        <v>-27276.444000000018</v>
      </c>
      <c r="G17" s="32">
        <f>$C$6*(A17-$A$14)/360*$C$5</f>
        <v>5416.666666666667</v>
      </c>
      <c r="H17" s="85">
        <f>C17+D17-F17-G17</f>
        <v>-1164.4448888888392</v>
      </c>
      <c r="I17" s="1"/>
    </row>
    <row r="18" spans="1:9" x14ac:dyDescent="0.3">
      <c r="A18" s="37">
        <v>45939</v>
      </c>
      <c r="B18" s="46">
        <v>92.66</v>
      </c>
      <c r="C18" s="31">
        <f t="shared" ref="C18" si="10">-1*(B18-$B$14)*10^-4*$B$8*$B$5</f>
        <v>-25801.999999999967</v>
      </c>
      <c r="D18" s="32">
        <f t="shared" ref="D18" si="11">$B$6*(A18-$A$14)/360*$B$5</f>
        <v>3333.333333333333</v>
      </c>
      <c r="E18" s="1">
        <v>46.616999999999997</v>
      </c>
      <c r="F18" s="31">
        <f t="shared" ref="F18" si="12">-1*(E18-$E$14)*10^-4*$C$8*$C$5</f>
        <v>-31594.562999999947</v>
      </c>
      <c r="G18" s="32">
        <f>$C$6*(A18-$A$14)/360*$C$5</f>
        <v>6500</v>
      </c>
      <c r="H18" s="85">
        <f>C18+D18-F18-G18</f>
        <v>2625.8963333333122</v>
      </c>
      <c r="I18" s="1"/>
    </row>
    <row r="19" spans="1:9" x14ac:dyDescent="0.3">
      <c r="A19" s="37">
        <v>45940</v>
      </c>
      <c r="B19" s="46">
        <v>93.66</v>
      </c>
      <c r="C19" s="31">
        <f t="shared" ref="C19" si="13">-1*(B19-$B$14)*10^-4*$B$8*$B$5</f>
        <v>-35501.999999999971</v>
      </c>
      <c r="D19" s="32">
        <f t="shared" ref="D19" si="14">$B$6*(A19-$A$14)/360*$B$5</f>
        <v>3888.8888888888891</v>
      </c>
      <c r="E19" s="1">
        <v>46.377000000000002</v>
      </c>
      <c r="F19" s="31">
        <f t="shared" ref="F19" si="15">-1*(E19-$E$14)*10^-4*$C$8*$C$5</f>
        <v>-26905.203000000049</v>
      </c>
      <c r="G19" s="32">
        <f>$C$6*(A19-$A$14)/360*$C$5</f>
        <v>7583.3333333333339</v>
      </c>
      <c r="H19" s="85">
        <f>C19+D19-F19-G19</f>
        <v>-12291.241444444366</v>
      </c>
      <c r="I19" s="1"/>
    </row>
    <row r="20" spans="1:9" x14ac:dyDescent="0.3">
      <c r="A20" s="37">
        <v>45941</v>
      </c>
      <c r="B20" s="46"/>
      <c r="C20" s="31"/>
      <c r="D20" s="32"/>
      <c r="E20" s="46"/>
      <c r="F20" s="31"/>
      <c r="G20" s="32"/>
      <c r="H20" s="85"/>
      <c r="I20" s="1"/>
    </row>
    <row r="21" spans="1:9" x14ac:dyDescent="0.3">
      <c r="A21" s="37">
        <v>45942</v>
      </c>
      <c r="B21" s="46"/>
      <c r="C21" s="31"/>
      <c r="D21" s="32"/>
      <c r="E21" s="46"/>
      <c r="F21" s="31"/>
      <c r="G21" s="32"/>
      <c r="H21" s="85"/>
      <c r="I21" s="1"/>
    </row>
    <row r="22" spans="1:9" x14ac:dyDescent="0.3">
      <c r="A22" s="37">
        <v>45943</v>
      </c>
      <c r="B22" s="46"/>
      <c r="C22" s="31"/>
      <c r="D22" s="32"/>
      <c r="E22" s="46"/>
      <c r="F22" s="31"/>
      <c r="G22" s="32"/>
      <c r="H22" s="85"/>
      <c r="I22" s="1"/>
    </row>
    <row r="23" spans="1:9" x14ac:dyDescent="0.3">
      <c r="A23" s="37"/>
      <c r="B23" s="46"/>
      <c r="C23" s="31"/>
      <c r="D23" s="32"/>
      <c r="E23" s="46"/>
      <c r="F23" s="31"/>
      <c r="G23" s="32"/>
      <c r="H23" s="85"/>
      <c r="I23" s="1"/>
    </row>
    <row r="24" spans="1:9" x14ac:dyDescent="0.3">
      <c r="A24" s="37"/>
      <c r="B24" s="46"/>
      <c r="C24" s="31"/>
      <c r="D24" s="32"/>
      <c r="E24" s="46"/>
      <c r="F24" s="31"/>
      <c r="G24" s="32"/>
      <c r="H24" s="85"/>
      <c r="I24" s="1"/>
    </row>
    <row r="25" spans="1:9" x14ac:dyDescent="0.3">
      <c r="A25" s="37"/>
      <c r="B25" s="46"/>
      <c r="C25" s="31"/>
      <c r="D25" s="32"/>
      <c r="E25" s="46"/>
      <c r="F25" s="31"/>
      <c r="G25" s="32"/>
      <c r="H25" s="85"/>
      <c r="I25" s="1"/>
    </row>
    <row r="26" spans="1:9" x14ac:dyDescent="0.3">
      <c r="A26" s="37"/>
      <c r="B26" s="46"/>
      <c r="C26" s="31"/>
      <c r="D26" s="32"/>
      <c r="E26" s="46"/>
      <c r="F26" s="31"/>
      <c r="G26" s="32"/>
      <c r="H26" s="85"/>
      <c r="I26" s="1"/>
    </row>
    <row r="27" spans="1:9" x14ac:dyDescent="0.3">
      <c r="A27" s="38"/>
      <c r="B27" s="61"/>
      <c r="C27" s="62"/>
      <c r="D27" s="63"/>
      <c r="E27" s="4"/>
      <c r="F27" s="31"/>
      <c r="G27" s="32"/>
      <c r="H27" s="85"/>
      <c r="I27" s="1"/>
    </row>
    <row r="28" spans="1:9" x14ac:dyDescent="0.3">
      <c r="A28" s="37"/>
      <c r="B28" s="46"/>
      <c r="C28" s="31"/>
      <c r="D28" s="32"/>
      <c r="E28" s="4"/>
      <c r="F28" s="31"/>
      <c r="G28" s="32"/>
      <c r="H28" s="85"/>
      <c r="I28" s="1"/>
    </row>
    <row r="29" spans="1:9" x14ac:dyDescent="0.3">
      <c r="A29" s="37"/>
      <c r="B29" s="46"/>
      <c r="C29" s="31"/>
      <c r="D29" s="32"/>
      <c r="E29" s="4"/>
      <c r="F29" s="31"/>
      <c r="G29" s="32"/>
      <c r="H29" s="85"/>
      <c r="I29" s="1"/>
    </row>
    <row r="30" spans="1:9" x14ac:dyDescent="0.3">
      <c r="A30" s="38"/>
      <c r="B30" s="46"/>
      <c r="C30" s="31"/>
      <c r="D30" s="32"/>
      <c r="E30" s="4"/>
      <c r="F30" s="31"/>
      <c r="G30" s="32"/>
      <c r="H30" s="85"/>
      <c r="I30" s="1"/>
    </row>
    <row r="31" spans="1:9" x14ac:dyDescent="0.3">
      <c r="A31" s="38"/>
      <c r="B31" s="46"/>
      <c r="C31" s="31"/>
      <c r="D31" s="32"/>
      <c r="E31" s="4"/>
      <c r="F31" s="31"/>
      <c r="G31" s="32"/>
      <c r="H31" s="85"/>
      <c r="I31" s="1"/>
    </row>
    <row r="32" spans="1:9" x14ac:dyDescent="0.3">
      <c r="A32" s="15"/>
      <c r="B32" s="46"/>
      <c r="C32" s="31"/>
      <c r="D32" s="32"/>
      <c r="E32" s="4"/>
      <c r="F32" s="31"/>
      <c r="G32" s="32"/>
      <c r="H32" s="85"/>
      <c r="I32" s="1"/>
    </row>
    <row r="33" spans="1:9" x14ac:dyDescent="0.3">
      <c r="A33" s="15"/>
      <c r="B33" s="46"/>
      <c r="C33" s="31"/>
      <c r="D33" s="32"/>
      <c r="E33" s="4"/>
      <c r="F33" s="31"/>
      <c r="G33" s="32"/>
      <c r="H33" s="85"/>
      <c r="I33" s="1"/>
    </row>
    <row r="34" spans="1:9" x14ac:dyDescent="0.3">
      <c r="A34" s="15"/>
      <c r="B34" s="46"/>
      <c r="C34" s="31"/>
      <c r="D34" s="32"/>
      <c r="E34" s="4"/>
      <c r="F34" s="31"/>
      <c r="G34" s="32"/>
      <c r="H34" s="85"/>
      <c r="I34" s="1"/>
    </row>
    <row r="35" spans="1:9" x14ac:dyDescent="0.3">
      <c r="A35" s="15"/>
      <c r="B35" s="46"/>
      <c r="C35" s="31"/>
      <c r="D35" s="32"/>
      <c r="E35" s="4"/>
      <c r="F35" s="31"/>
      <c r="G35" s="32"/>
      <c r="H35" s="39"/>
      <c r="I35" s="1"/>
    </row>
    <row r="36" spans="1:9" x14ac:dyDescent="0.3">
      <c r="A36" s="15"/>
      <c r="B36" s="46"/>
      <c r="C36" s="31"/>
      <c r="D36" s="32"/>
      <c r="E36" s="4"/>
      <c r="F36" s="31"/>
      <c r="G36" s="32"/>
      <c r="H36" s="39"/>
      <c r="I36" s="1"/>
    </row>
    <row r="37" spans="1:9" x14ac:dyDescent="0.3">
      <c r="A37" s="15"/>
      <c r="B37" s="46"/>
      <c r="C37" s="31"/>
      <c r="D37" s="32"/>
      <c r="E37" s="4"/>
      <c r="F37" s="31"/>
      <c r="G37" s="32"/>
      <c r="H37" s="39"/>
      <c r="I37" s="1"/>
    </row>
    <row r="38" spans="1:9" x14ac:dyDescent="0.3">
      <c r="A38" s="15"/>
      <c r="B38" s="46"/>
      <c r="C38" s="31"/>
      <c r="D38" s="32"/>
      <c r="E38" s="4"/>
      <c r="F38" s="31"/>
      <c r="G38" s="32"/>
      <c r="H38" s="39"/>
      <c r="I38" s="1"/>
    </row>
    <row r="39" spans="1:9" x14ac:dyDescent="0.3">
      <c r="A39" s="15"/>
      <c r="B39" s="46"/>
      <c r="C39" s="31"/>
      <c r="D39" s="32"/>
      <c r="E39" s="4"/>
      <c r="F39" s="31"/>
      <c r="G39" s="32"/>
      <c r="H39" s="39"/>
      <c r="I39" s="1"/>
    </row>
    <row r="40" spans="1:9" x14ac:dyDescent="0.3">
      <c r="A40" s="15"/>
      <c r="B40" s="46"/>
      <c r="C40" s="31"/>
      <c r="D40" s="32"/>
      <c r="E40" s="4"/>
      <c r="F40" s="31"/>
      <c r="G40" s="32"/>
      <c r="H40" s="39"/>
      <c r="I40" s="1"/>
    </row>
    <row r="41" spans="1:9" ht="15" thickBot="1" x14ac:dyDescent="0.35">
      <c r="A41" s="16"/>
      <c r="B41" s="49"/>
      <c r="C41" s="50"/>
      <c r="D41" s="51"/>
      <c r="E41" s="11"/>
      <c r="F41" s="50"/>
      <c r="G41" s="51"/>
      <c r="H41" s="52"/>
      <c r="I41" s="1"/>
    </row>
    <row r="42" spans="1:9" x14ac:dyDescent="0.3">
      <c r="B42" s="64"/>
      <c r="C42" s="64"/>
      <c r="D42" s="64"/>
      <c r="F42" s="62"/>
      <c r="G42" s="62"/>
      <c r="H42" s="62"/>
    </row>
    <row r="43" spans="1:9" x14ac:dyDescent="0.3">
      <c r="B43" s="64"/>
      <c r="C43" s="64"/>
      <c r="D43" s="64"/>
      <c r="F43" s="62"/>
      <c r="G43" s="62"/>
      <c r="H43" s="62"/>
    </row>
    <row r="44" spans="1:9" x14ac:dyDescent="0.3">
      <c r="B44" s="64"/>
      <c r="C44" s="64"/>
      <c r="D44" s="64"/>
      <c r="F44" s="62"/>
      <c r="G44" s="62"/>
      <c r="H44" s="62"/>
    </row>
    <row r="45" spans="1:9" x14ac:dyDescent="0.3">
      <c r="B45" s="64"/>
      <c r="C45" s="64"/>
      <c r="D45" s="64"/>
      <c r="F45" s="62"/>
      <c r="G45" s="62"/>
      <c r="H45" s="62"/>
    </row>
    <row r="46" spans="1:9" x14ac:dyDescent="0.3">
      <c r="B46" s="64"/>
      <c r="C46" s="64"/>
      <c r="D46" s="64"/>
    </row>
    <row r="47" spans="1:9" x14ac:dyDescent="0.3">
      <c r="B47" s="64"/>
      <c r="C47" s="64"/>
      <c r="D47" s="64"/>
    </row>
    <row r="48" spans="1:9" x14ac:dyDescent="0.3">
      <c r="B48" s="64"/>
      <c r="C48" s="64"/>
      <c r="D48" s="64"/>
    </row>
    <row r="49" spans="2:4" x14ac:dyDescent="0.3">
      <c r="B49" s="64"/>
      <c r="C49" s="64"/>
      <c r="D49" s="64"/>
    </row>
    <row r="50" spans="2:4" x14ac:dyDescent="0.3">
      <c r="B50" s="64"/>
      <c r="C50" s="64"/>
      <c r="D50" s="64"/>
    </row>
    <row r="51" spans="2:4" x14ac:dyDescent="0.3">
      <c r="B51" s="64"/>
      <c r="C51" s="64"/>
      <c r="D51" s="64"/>
    </row>
    <row r="52" spans="2:4" x14ac:dyDescent="0.3">
      <c r="B52" s="64"/>
      <c r="C52" s="64"/>
      <c r="D52" s="64"/>
    </row>
    <row r="53" spans="2:4" x14ac:dyDescent="0.3">
      <c r="B53" s="64"/>
      <c r="C53" s="64"/>
      <c r="D53" s="64"/>
    </row>
  </sheetData>
  <mergeCells count="2">
    <mergeCell ref="B12:D12"/>
    <mergeCell ref="E12:G12"/>
  </mergeCells>
  <conditionalFormatting sqref="H12:H34">
    <cfRule type="cellIs" dxfId="4" priority="1" operator="lessThan">
      <formula>0</formula>
    </cfRule>
  </conditionalFormatting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AFA43-48F1-405E-9185-E3F7C0AEBF7A}">
  <dimension ref="A1:W53"/>
  <sheetViews>
    <sheetView zoomScale="80" zoomScaleNormal="80" workbookViewId="0">
      <selection activeCell="M9" sqref="M9"/>
    </sheetView>
  </sheetViews>
  <sheetFormatPr defaultRowHeight="14.4" x14ac:dyDescent="0.3"/>
  <cols>
    <col min="1" max="1" width="15.44140625" style="55" bestFit="1" customWidth="1"/>
    <col min="2" max="5" width="16.88671875" style="55" customWidth="1"/>
    <col min="6" max="6" width="10.5546875" style="55" bestFit="1" customWidth="1"/>
    <col min="7" max="7" width="11.5546875" style="55" bestFit="1" customWidth="1"/>
    <col min="8" max="8" width="8.88671875" style="55" bestFit="1" customWidth="1"/>
    <col min="9" max="9" width="11.5546875" style="55" bestFit="1" customWidth="1"/>
    <col min="10" max="10" width="13.33203125" style="55" bestFit="1" customWidth="1"/>
    <col min="11" max="12" width="11.5546875" style="55" bestFit="1" customWidth="1"/>
    <col min="13" max="13" width="13.33203125" style="55" bestFit="1" customWidth="1"/>
    <col min="14" max="14" width="13" style="55" bestFit="1" customWidth="1"/>
    <col min="16" max="16" width="10.5546875" style="78" hidden="1" customWidth="1"/>
    <col min="17" max="17" width="6" style="55" hidden="1" customWidth="1"/>
    <col min="18" max="18" width="10.5546875" style="78" hidden="1" customWidth="1"/>
    <col min="19" max="19" width="0" style="55" hidden="1" customWidth="1"/>
    <col min="20" max="20" width="10.5546875" style="78" hidden="1" customWidth="1"/>
    <col min="21" max="21" width="0" style="55" hidden="1" customWidth="1"/>
    <col min="22" max="22" width="10.5546875" style="78" hidden="1" customWidth="1"/>
    <col min="23" max="23" width="0" style="55" hidden="1" customWidth="1"/>
    <col min="24" max="16384" width="8.88671875" style="55"/>
  </cols>
  <sheetData>
    <row r="1" spans="1:23" ht="15" thickBot="1" x14ac:dyDescent="0.35">
      <c r="A1" s="1"/>
      <c r="B1" s="1"/>
      <c r="C1" s="1"/>
      <c r="D1" s="1"/>
      <c r="E1" s="1"/>
      <c r="G1" s="54">
        <f ca="1">TODAY()-5</f>
        <v>45935</v>
      </c>
      <c r="H1" s="1"/>
      <c r="I1" s="1"/>
      <c r="J1" s="1"/>
      <c r="K1" s="1"/>
      <c r="L1" s="1"/>
      <c r="M1" s="1"/>
      <c r="P1" s="54">
        <f ca="1">TODAY()-50</f>
        <v>45890</v>
      </c>
      <c r="Q1" s="1"/>
      <c r="R1" s="54"/>
      <c r="S1" s="1"/>
      <c r="T1" s="54"/>
      <c r="U1" s="1"/>
      <c r="V1" s="54"/>
    </row>
    <row r="2" spans="1:23" ht="15" thickBot="1" x14ac:dyDescent="0.35">
      <c r="A2" s="30"/>
      <c r="B2" s="41" t="s">
        <v>0</v>
      </c>
      <c r="C2" s="45" t="s">
        <v>1</v>
      </c>
      <c r="D2" s="74" t="s">
        <v>1</v>
      </c>
      <c r="E2" s="75" t="s">
        <v>0</v>
      </c>
      <c r="G2" s="27" t="s">
        <v>0</v>
      </c>
      <c r="H2" s="1"/>
      <c r="I2" s="45" t="s">
        <v>1</v>
      </c>
      <c r="J2" s="2"/>
      <c r="K2" s="28" t="s">
        <v>1</v>
      </c>
      <c r="L2" s="1"/>
      <c r="M2" s="75" t="s">
        <v>0</v>
      </c>
      <c r="P2" s="105" t="s">
        <v>0</v>
      </c>
      <c r="Q2" s="1"/>
      <c r="R2" s="106" t="s">
        <v>1</v>
      </c>
      <c r="S2" s="2"/>
      <c r="T2" s="107" t="s">
        <v>1</v>
      </c>
      <c r="U2" s="1"/>
      <c r="V2" s="104" t="s">
        <v>0</v>
      </c>
    </row>
    <row r="3" spans="1:23" x14ac:dyDescent="0.3">
      <c r="A3" s="15" t="s">
        <v>33</v>
      </c>
      <c r="B3" s="66" t="s">
        <v>57</v>
      </c>
      <c r="C3" s="76" t="s">
        <v>58</v>
      </c>
      <c r="D3" s="76" t="s">
        <v>59</v>
      </c>
      <c r="E3" s="67" t="s">
        <v>60</v>
      </c>
      <c r="G3" s="53" cm="1">
        <f t="array" aca="1" ref="G3:H7" ca="1">_xll.BDH($B$4, "PX_LAST, ", $G$1, "")</f>
        <v>45936</v>
      </c>
      <c r="H3" s="1">
        <f ca="1"/>
        <v>92.53</v>
      </c>
      <c r="I3" s="53" cm="1">
        <f t="array" aca="1" ref="I3:J7" ca="1">_xll.BDH($C$4, "PX_LAST, ", $G$1, "")</f>
        <v>45936</v>
      </c>
      <c r="J3" s="47">
        <f ca="1"/>
        <v>100.917</v>
      </c>
      <c r="K3" s="53" cm="1">
        <f t="array" aca="1" ref="K3:L7" ca="1">_xll.BDH($D$4, "PX_LAST, ", $G$1, "")</f>
        <v>45936</v>
      </c>
      <c r="L3" s="1">
        <f ca="1"/>
        <v>120.97499999999999</v>
      </c>
      <c r="M3" s="53" cm="1">
        <f t="array" aca="1" ref="M3:N7" ca="1">_xll.BDH($E$4, "PX_LAST, ", $G$1, "")</f>
        <v>45936</v>
      </c>
      <c r="N3" s="55">
        <f ca="1"/>
        <v>99.501000000000005</v>
      </c>
      <c r="P3" s="53" cm="1">
        <f t="array" aca="1" ref="P3:Q38" ca="1">_xll.BDH($B$4, "PX_LAST, ", $P$1, "")</f>
        <v>45890</v>
      </c>
      <c r="Q3" s="1">
        <f ca="1"/>
        <v>94.54</v>
      </c>
      <c r="R3" s="53" cm="1">
        <f t="array" aca="1" ref="R3:S39" ca="1">_xll.BDH($C$4, "PX_LAST, ", P$1, "")</f>
        <v>45890</v>
      </c>
      <c r="S3" s="47">
        <f ca="1"/>
        <v>100.946</v>
      </c>
      <c r="T3" s="53" cm="1">
        <f t="array" aca="1" ref="T3:U38" ca="1">_xll.BDH($D$4, "PX_LAST, ", P$1, "")</f>
        <v>45890</v>
      </c>
      <c r="U3" s="1">
        <f ca="1"/>
        <v>120.14</v>
      </c>
      <c r="V3" s="53" cm="1">
        <f t="array" aca="1" ref="V3:W39" ca="1">_xll.BDH($E$4, "PX_LAST, ", P$1, "")</f>
        <v>45890</v>
      </c>
      <c r="W3" s="55">
        <f ca="1"/>
        <v>99.448999999999998</v>
      </c>
    </row>
    <row r="4" spans="1:23" ht="32.25" customHeight="1" x14ac:dyDescent="0.3">
      <c r="A4" s="15" t="s">
        <v>34</v>
      </c>
      <c r="B4" s="68" t="s">
        <v>61</v>
      </c>
      <c r="C4" s="42" t="s">
        <v>63</v>
      </c>
      <c r="D4" s="42" t="s">
        <v>62</v>
      </c>
      <c r="E4" s="43" t="s">
        <v>64</v>
      </c>
      <c r="G4" s="78">
        <f ca="1"/>
        <v>45937</v>
      </c>
      <c r="H4" s="1">
        <f ca="1"/>
        <v>92.26</v>
      </c>
      <c r="I4" s="54">
        <f ca="1"/>
        <v>45937</v>
      </c>
      <c r="J4" s="1">
        <f ca="1"/>
        <v>100.93</v>
      </c>
      <c r="K4" s="54">
        <f ca="1"/>
        <v>45937</v>
      </c>
      <c r="L4" s="1">
        <f ca="1"/>
        <v>120.96</v>
      </c>
      <c r="M4" s="54">
        <f ca="1"/>
        <v>45937</v>
      </c>
      <c r="N4" s="55">
        <f ca="1"/>
        <v>99.540999999999997</v>
      </c>
      <c r="P4" s="78">
        <f ca="1"/>
        <v>45891</v>
      </c>
      <c r="Q4" s="55">
        <f ca="1"/>
        <v>94.78</v>
      </c>
      <c r="R4" s="78">
        <f ca="1"/>
        <v>45891</v>
      </c>
      <c r="S4" s="55">
        <f ca="1"/>
        <v>101.041</v>
      </c>
      <c r="T4" s="78">
        <f ca="1"/>
        <v>45891</v>
      </c>
      <c r="U4" s="55">
        <f ca="1"/>
        <v>120.36</v>
      </c>
      <c r="V4" s="78">
        <f ca="1"/>
        <v>45891</v>
      </c>
      <c r="W4" s="55">
        <f ca="1"/>
        <v>99.629000000000005</v>
      </c>
    </row>
    <row r="5" spans="1:23" x14ac:dyDescent="0.3">
      <c r="A5" s="15" t="s">
        <v>8</v>
      </c>
      <c r="B5" s="69">
        <f>25*10^6</f>
        <v>25000000</v>
      </c>
      <c r="C5" s="7">
        <f>20*10^6</f>
        <v>20000000</v>
      </c>
      <c r="D5" s="7">
        <f>43*10^6</f>
        <v>43000000</v>
      </c>
      <c r="E5" s="8">
        <f>41*10^6</f>
        <v>41000000</v>
      </c>
      <c r="G5" s="78">
        <f ca="1"/>
        <v>45938</v>
      </c>
      <c r="H5" s="1">
        <f ca="1"/>
        <v>92.15</v>
      </c>
      <c r="I5" s="54">
        <f ca="1"/>
        <v>45938</v>
      </c>
      <c r="J5" s="1">
        <f ca="1"/>
        <v>100.986</v>
      </c>
      <c r="K5" s="54">
        <f ca="1"/>
        <v>45938</v>
      </c>
      <c r="L5" s="1">
        <f ca="1"/>
        <v>121.1</v>
      </c>
      <c r="M5" s="54">
        <f ca="1"/>
        <v>45938</v>
      </c>
      <c r="N5" s="55">
        <f ca="1"/>
        <v>99.665000000000006</v>
      </c>
      <c r="P5" s="78">
        <f ca="1"/>
        <v>45895</v>
      </c>
      <c r="Q5" s="55">
        <f ca="1"/>
        <v>94.58</v>
      </c>
      <c r="R5" s="78">
        <f ca="1"/>
        <v>45894</v>
      </c>
      <c r="S5" s="55">
        <f ca="1"/>
        <v>100.95</v>
      </c>
      <c r="T5" s="78">
        <f ca="1"/>
        <v>45895</v>
      </c>
      <c r="U5" s="55">
        <f ca="1"/>
        <v>120.31</v>
      </c>
      <c r="V5" s="78">
        <f ca="1"/>
        <v>45894</v>
      </c>
      <c r="W5" s="55">
        <f ca="1"/>
        <v>99.45</v>
      </c>
    </row>
    <row r="6" spans="1:23" x14ac:dyDescent="0.3">
      <c r="A6" s="15" t="s">
        <v>10</v>
      </c>
      <c r="B6" s="71">
        <v>0</v>
      </c>
      <c r="C6" s="77">
        <v>2.4E-2</v>
      </c>
      <c r="D6" s="77">
        <v>0</v>
      </c>
      <c r="E6" s="10">
        <v>2.1999999999999999E-2</v>
      </c>
      <c r="G6" s="78">
        <f ca="1"/>
        <v>45939</v>
      </c>
      <c r="H6" s="1">
        <f ca="1"/>
        <v>91.93</v>
      </c>
      <c r="I6" s="54">
        <f ca="1"/>
        <v>45939</v>
      </c>
      <c r="J6" s="1">
        <f ca="1"/>
        <v>100.932</v>
      </c>
      <c r="K6" s="54">
        <f ca="1"/>
        <v>45939</v>
      </c>
      <c r="L6" s="1">
        <f ca="1"/>
        <v>120.92</v>
      </c>
      <c r="M6" s="54">
        <f ca="1"/>
        <v>45939</v>
      </c>
      <c r="N6" s="55">
        <f ca="1"/>
        <v>99.552000000000007</v>
      </c>
      <c r="P6" s="78">
        <f ca="1"/>
        <v>45896</v>
      </c>
      <c r="Q6" s="55">
        <f ca="1"/>
        <v>94.55</v>
      </c>
      <c r="R6" s="78">
        <f ca="1"/>
        <v>45895</v>
      </c>
      <c r="S6" s="55">
        <f ca="1"/>
        <v>101.06699999999999</v>
      </c>
      <c r="T6" s="78">
        <f ca="1"/>
        <v>45896</v>
      </c>
      <c r="U6" s="55">
        <f ca="1"/>
        <v>120.29</v>
      </c>
      <c r="V6" s="78">
        <f ca="1"/>
        <v>45895</v>
      </c>
      <c r="W6" s="55">
        <f ca="1"/>
        <v>99.668999999999997</v>
      </c>
    </row>
    <row r="7" spans="1:23" x14ac:dyDescent="0.3">
      <c r="A7" s="15" t="s">
        <v>12</v>
      </c>
      <c r="B7" s="71">
        <v>4.2299999999999997E-2</v>
      </c>
      <c r="C7" s="77">
        <v>4.2299999999999997E-2</v>
      </c>
      <c r="D7" s="77">
        <v>4.2299999999999997E-2</v>
      </c>
      <c r="E7" s="10">
        <v>4.2299999999999997E-2</v>
      </c>
      <c r="G7" s="54">
        <f ca="1"/>
        <v>45940</v>
      </c>
      <c r="H7" s="1">
        <f ca="1"/>
        <v>91.85</v>
      </c>
      <c r="I7" s="54">
        <f ca="1"/>
        <v>45940</v>
      </c>
      <c r="J7" s="1">
        <f ca="1"/>
        <v>100.991</v>
      </c>
      <c r="K7" s="54">
        <f ca="1"/>
        <v>45940</v>
      </c>
      <c r="L7" s="1">
        <f ca="1"/>
        <v>121</v>
      </c>
      <c r="M7" s="54">
        <f ca="1"/>
        <v>45940</v>
      </c>
      <c r="N7" s="1">
        <f ca="1"/>
        <v>99.701999999999998</v>
      </c>
      <c r="P7" s="78">
        <f ca="1"/>
        <v>45897</v>
      </c>
      <c r="Q7" s="55">
        <f ca="1"/>
        <v>94.52</v>
      </c>
      <c r="R7" s="78">
        <f ca="1"/>
        <v>45896</v>
      </c>
      <c r="S7" s="55">
        <f ca="1"/>
        <v>101.145</v>
      </c>
      <c r="T7" s="78">
        <f ca="1"/>
        <v>45897</v>
      </c>
      <c r="U7" s="55">
        <f ca="1"/>
        <v>120.35</v>
      </c>
      <c r="V7" s="78">
        <f ca="1"/>
        <v>45896</v>
      </c>
      <c r="W7" s="55">
        <f ca="1"/>
        <v>99.82</v>
      </c>
    </row>
    <row r="8" spans="1:23" x14ac:dyDescent="0.3">
      <c r="A8" s="15" t="s">
        <v>14</v>
      </c>
      <c r="B8" s="4" t="s">
        <v>24</v>
      </c>
      <c r="C8" s="1" t="s">
        <v>24</v>
      </c>
      <c r="D8" s="1" t="s">
        <v>24</v>
      </c>
      <c r="E8" s="5" t="s">
        <v>24</v>
      </c>
      <c r="G8" s="1"/>
      <c r="H8" s="1"/>
      <c r="I8" s="1"/>
      <c r="J8" s="1"/>
      <c r="K8" s="1"/>
      <c r="L8" s="1"/>
      <c r="M8" s="1"/>
      <c r="N8" s="1"/>
      <c r="P8" s="78">
        <f ca="1"/>
        <v>45898</v>
      </c>
      <c r="Q8" s="55">
        <f ca="1"/>
        <v>94.41</v>
      </c>
      <c r="R8" s="78">
        <f ca="1"/>
        <v>45897</v>
      </c>
      <c r="S8" s="55">
        <f ca="1"/>
        <v>101.104</v>
      </c>
      <c r="T8" s="78">
        <f ca="1"/>
        <v>45898</v>
      </c>
      <c r="U8" s="55">
        <f ca="1"/>
        <v>120.21</v>
      </c>
      <c r="V8" s="78">
        <f ca="1"/>
        <v>45897</v>
      </c>
      <c r="W8" s="55">
        <f ca="1"/>
        <v>99.795000000000002</v>
      </c>
    </row>
    <row r="9" spans="1:23" x14ac:dyDescent="0.3">
      <c r="A9" s="15" t="s">
        <v>15</v>
      </c>
      <c r="B9" s="4" t="s">
        <v>24</v>
      </c>
      <c r="C9" s="1" t="s">
        <v>24</v>
      </c>
      <c r="D9" s="1"/>
      <c r="E9" s="5" t="s">
        <v>24</v>
      </c>
      <c r="G9" s="1"/>
      <c r="H9" s="1"/>
      <c r="I9" s="1"/>
      <c r="J9" s="1"/>
      <c r="K9" s="1"/>
      <c r="L9" s="1"/>
      <c r="M9" s="1"/>
      <c r="N9" s="1"/>
      <c r="P9" s="78">
        <f ca="1"/>
        <v>45901</v>
      </c>
      <c r="Q9" s="55">
        <f ca="1"/>
        <v>94.44</v>
      </c>
      <c r="R9" s="78">
        <f ca="1"/>
        <v>45898</v>
      </c>
      <c r="S9" s="55">
        <f ca="1"/>
        <v>101.065</v>
      </c>
      <c r="T9" s="78">
        <f ca="1"/>
        <v>45901</v>
      </c>
      <c r="U9" s="55">
        <f ca="1"/>
        <v>120.11</v>
      </c>
      <c r="V9" s="78">
        <f ca="1"/>
        <v>45898</v>
      </c>
      <c r="W9" s="55">
        <f ca="1"/>
        <v>99.722999999999999</v>
      </c>
    </row>
    <row r="10" spans="1:23" ht="15" thickBot="1" x14ac:dyDescent="0.35">
      <c r="A10" s="16" t="s">
        <v>29</v>
      </c>
      <c r="B10" s="11" cm="1">
        <f t="array" ref="B10">_xll.BDP(B4,"px_last")</f>
        <v>91.85</v>
      </c>
      <c r="C10" s="21" cm="1">
        <f t="array" ref="C10">_xll.BDP(C4,"px_last")</f>
        <v>100.991</v>
      </c>
      <c r="D10" s="21" cm="1">
        <f t="array" ref="D10">_xll.BDP(D4,"px_last")</f>
        <v>121</v>
      </c>
      <c r="E10" s="22" cm="1">
        <f t="array" ref="E10">_xll.BDP(E4,"px_last")</f>
        <v>99.701999999999998</v>
      </c>
      <c r="F10" s="1"/>
      <c r="G10" s="1"/>
      <c r="H10" s="1"/>
      <c r="I10" s="1"/>
      <c r="J10" s="1"/>
      <c r="K10" s="1"/>
      <c r="L10" s="1"/>
      <c r="M10" s="1"/>
      <c r="N10" s="1"/>
      <c r="P10" s="78">
        <f ca="1"/>
        <v>45902</v>
      </c>
      <c r="Q10" s="55">
        <f ca="1"/>
        <v>94.21</v>
      </c>
      <c r="R10" s="78">
        <f ca="1"/>
        <v>45901</v>
      </c>
      <c r="S10" s="55">
        <f ca="1"/>
        <v>101.017</v>
      </c>
      <c r="T10" s="78">
        <f ca="1"/>
        <v>45902</v>
      </c>
      <c r="U10" s="55">
        <f ca="1"/>
        <v>119.77</v>
      </c>
      <c r="V10" s="78">
        <f ca="1"/>
        <v>45901</v>
      </c>
      <c r="W10" s="55">
        <f ca="1"/>
        <v>99.625</v>
      </c>
    </row>
    <row r="11" spans="1:23" ht="15" thickBot="1" x14ac:dyDescent="0.35"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P11" s="78">
        <f ca="1"/>
        <v>45903</v>
      </c>
      <c r="Q11" s="55">
        <f ca="1"/>
        <v>94.34</v>
      </c>
      <c r="R11" s="78">
        <f ca="1"/>
        <v>45902</v>
      </c>
      <c r="S11" s="55">
        <f ca="1"/>
        <v>100.965</v>
      </c>
      <c r="T11" s="78">
        <f ca="1"/>
        <v>45903</v>
      </c>
      <c r="U11" s="55">
        <f ca="1"/>
        <v>120.09</v>
      </c>
      <c r="V11" s="78">
        <f ca="1"/>
        <v>45902</v>
      </c>
      <c r="W11" s="55">
        <f ca="1"/>
        <v>99.459000000000003</v>
      </c>
    </row>
    <row r="12" spans="1:23" ht="15" thickBot="1" x14ac:dyDescent="0.35">
      <c r="A12" s="40" t="s">
        <v>23</v>
      </c>
      <c r="B12" s="113" t="s">
        <v>0</v>
      </c>
      <c r="C12" s="114"/>
      <c r="D12" s="114"/>
      <c r="E12" s="119" t="s">
        <v>1</v>
      </c>
      <c r="F12" s="120"/>
      <c r="G12" s="121"/>
      <c r="H12" s="116" t="s">
        <v>1</v>
      </c>
      <c r="I12" s="117"/>
      <c r="J12" s="118"/>
      <c r="K12" s="122" t="s">
        <v>0</v>
      </c>
      <c r="L12" s="123"/>
      <c r="M12" s="124"/>
      <c r="N12" s="40" t="s">
        <v>16</v>
      </c>
      <c r="P12" s="78">
        <f ca="1"/>
        <v>45904</v>
      </c>
      <c r="Q12" s="55">
        <f ca="1"/>
        <v>94.51</v>
      </c>
      <c r="R12" s="78">
        <f ca="1"/>
        <v>45903</v>
      </c>
      <c r="S12" s="55">
        <f ca="1"/>
        <v>101.041</v>
      </c>
      <c r="T12" s="78">
        <f ca="1"/>
        <v>45904</v>
      </c>
      <c r="U12" s="55">
        <f ca="1"/>
        <v>120.3</v>
      </c>
      <c r="V12" s="78">
        <f ca="1"/>
        <v>45903</v>
      </c>
      <c r="W12" s="55">
        <f ca="1"/>
        <v>99.614999999999995</v>
      </c>
    </row>
    <row r="13" spans="1:23" ht="15" thickBot="1" x14ac:dyDescent="0.35">
      <c r="A13" s="16"/>
      <c r="B13" s="11" t="s">
        <v>17</v>
      </c>
      <c r="C13" s="21" t="s">
        <v>21</v>
      </c>
      <c r="D13" s="22" t="s">
        <v>20</v>
      </c>
      <c r="E13" s="11" t="s">
        <v>17</v>
      </c>
      <c r="F13" s="21" t="s">
        <v>21</v>
      </c>
      <c r="G13" s="22" t="s">
        <v>20</v>
      </c>
      <c r="H13" s="11" t="s">
        <v>17</v>
      </c>
      <c r="I13" s="21" t="s">
        <v>21</v>
      </c>
      <c r="J13" s="22" t="s">
        <v>20</v>
      </c>
      <c r="K13" s="11" t="s">
        <v>17</v>
      </c>
      <c r="L13" s="21" t="s">
        <v>21</v>
      </c>
      <c r="M13" s="22" t="s">
        <v>20</v>
      </c>
      <c r="N13" s="102"/>
      <c r="P13" s="78">
        <f ca="1"/>
        <v>45905</v>
      </c>
      <c r="Q13" s="55">
        <f ca="1"/>
        <v>94.63</v>
      </c>
      <c r="R13" s="78">
        <f ca="1"/>
        <v>45904</v>
      </c>
      <c r="S13" s="55">
        <f ca="1"/>
        <v>101.063</v>
      </c>
      <c r="T13" s="78">
        <f ca="1"/>
        <v>45905</v>
      </c>
      <c r="U13" s="55">
        <f ca="1"/>
        <v>120.63</v>
      </c>
      <c r="V13" s="78">
        <f ca="1"/>
        <v>45904</v>
      </c>
      <c r="W13" s="55">
        <f ca="1"/>
        <v>99.665999999999997</v>
      </c>
    </row>
    <row r="14" spans="1:23" x14ac:dyDescent="0.3">
      <c r="A14" s="37">
        <v>45937</v>
      </c>
      <c r="B14" s="79">
        <v>92.37</v>
      </c>
      <c r="C14" s="47"/>
      <c r="D14" s="48"/>
      <c r="E14" s="79">
        <v>100.9</v>
      </c>
      <c r="F14" s="1"/>
      <c r="G14" s="5"/>
      <c r="H14" s="79">
        <v>120.9</v>
      </c>
      <c r="I14" s="1"/>
      <c r="J14" s="5"/>
      <c r="K14" s="79">
        <v>99.48</v>
      </c>
      <c r="L14" s="1"/>
      <c r="M14" s="5"/>
      <c r="N14" s="85"/>
      <c r="P14" s="78">
        <f ca="1"/>
        <v>45908</v>
      </c>
      <c r="Q14" s="55">
        <f ca="1"/>
        <v>94.66</v>
      </c>
      <c r="R14" s="78">
        <f ca="1"/>
        <v>45905</v>
      </c>
      <c r="S14" s="55">
        <f ca="1"/>
        <v>101.19199999999999</v>
      </c>
      <c r="T14" s="78">
        <f ca="1"/>
        <v>45908</v>
      </c>
      <c r="U14" s="55">
        <f ca="1"/>
        <v>120.7</v>
      </c>
      <c r="V14" s="78">
        <f ca="1"/>
        <v>45905</v>
      </c>
      <c r="W14" s="55">
        <f ca="1"/>
        <v>99.903999999999996</v>
      </c>
    </row>
    <row r="15" spans="1:23" x14ac:dyDescent="0.3">
      <c r="A15" s="37">
        <v>45938</v>
      </c>
      <c r="B15" s="79">
        <v>92.15</v>
      </c>
      <c r="C15" s="31">
        <f>(B15/$B$14-1)*$B$5</f>
        <v>-59543.141712675715</v>
      </c>
      <c r="D15" s="32">
        <f>-1*(A15-$A$14)/360*$B$7*$B$5</f>
        <v>-2937.5</v>
      </c>
      <c r="E15" s="79">
        <v>100.986</v>
      </c>
      <c r="F15" s="31">
        <f>(E15-$E$14)/100*$C$5</f>
        <v>17199.999999999705</v>
      </c>
      <c r="G15" s="32">
        <f>(A15-$A$14)/360*$C$6*$C$5-(A15-$A$14)/360*$C$7*$C$5*$E$14/100</f>
        <v>-1037.8166666666666</v>
      </c>
      <c r="H15" s="79">
        <v>121.1</v>
      </c>
      <c r="I15" s="31">
        <f>(H15/$H$14-1)*$D$5</f>
        <v>71133.16790736212</v>
      </c>
      <c r="J15" s="32">
        <f>-1*(A15-$A$14)/360*$D$7*$D$5</f>
        <v>-5052.5</v>
      </c>
      <c r="K15" s="79">
        <v>99.665000000000006</v>
      </c>
      <c r="L15" s="31">
        <f>(K15-$K$14)/100*$E$5</f>
        <v>75850.000000000931</v>
      </c>
      <c r="M15" s="32">
        <f>(A15-$A$14)/360*$E$6*$E$5-(A15-$A$14)/360*$E$7*$E$5*$K$14/100</f>
        <v>-2286.8934444444453</v>
      </c>
      <c r="N15" s="85">
        <f>C15+D15-F15-G15-I15-J15+L15+M15</f>
        <v>-71160.386397814393</v>
      </c>
      <c r="P15" s="78">
        <f ca="1"/>
        <v>45909</v>
      </c>
      <c r="Q15" s="55">
        <f ca="1"/>
        <v>94.57</v>
      </c>
      <c r="R15" s="78">
        <f ca="1"/>
        <v>45908</v>
      </c>
      <c r="S15" s="55">
        <f ca="1"/>
        <v>101.22199999999999</v>
      </c>
      <c r="T15" s="78">
        <f ca="1"/>
        <v>45909</v>
      </c>
      <c r="U15" s="55">
        <f ca="1"/>
        <v>120.66</v>
      </c>
      <c r="V15" s="78">
        <f ca="1"/>
        <v>45908</v>
      </c>
      <c r="W15" s="55">
        <f ca="1"/>
        <v>99.954999999999998</v>
      </c>
    </row>
    <row r="16" spans="1:23" x14ac:dyDescent="0.3">
      <c r="A16" s="37">
        <v>45939</v>
      </c>
      <c r="B16" s="79">
        <v>91.93</v>
      </c>
      <c r="C16" s="31">
        <f>(B16/$B$14-1)*$B$5</f>
        <v>-119086.28342535421</v>
      </c>
      <c r="D16" s="32">
        <f>-1*(A16-$A$14)/360*$B$7*$B$5</f>
        <v>-5875</v>
      </c>
      <c r="E16" s="79">
        <v>100.932</v>
      </c>
      <c r="F16" s="31">
        <f>(E16-$E$14)/100*$C$5</f>
        <v>6399.9999999992951</v>
      </c>
      <c r="G16" s="32">
        <f>(A16-$A$14)/360*$C$6*$C$5-(A16-$A$14)/360*$C$7*$C$5*$E$14/100</f>
        <v>-2075.6333333333332</v>
      </c>
      <c r="H16" s="79">
        <v>120.92</v>
      </c>
      <c r="I16" s="31">
        <f>(H16/$H$14-1)*$D$5</f>
        <v>7113.3167907333482</v>
      </c>
      <c r="J16" s="32">
        <f>-1*(A16-$A$14)/360*$D$7*$D$5</f>
        <v>-10105</v>
      </c>
      <c r="K16" s="79">
        <v>99.552000000000007</v>
      </c>
      <c r="L16" s="31">
        <f>(K16-$K$14)/100*$E$5</f>
        <v>29520.000000001117</v>
      </c>
      <c r="M16" s="32">
        <f>(A16-$A$14)/360*$E$6*$E$5-(A16-$A$14)/360*$E$7*$E$5*$K$14/100</f>
        <v>-4573.7868888888906</v>
      </c>
      <c r="N16" s="85">
        <f>C16+D16-F16-G16-I16-J16+L16+M16</f>
        <v>-101347.75377164128</v>
      </c>
      <c r="P16" s="78">
        <f ca="1"/>
        <v>45910</v>
      </c>
      <c r="Q16" s="55">
        <f ca="1"/>
        <v>94.46</v>
      </c>
      <c r="R16" s="78">
        <f ca="1"/>
        <v>45909</v>
      </c>
      <c r="S16" s="55">
        <f ca="1"/>
        <v>101.158</v>
      </c>
      <c r="T16" s="78">
        <f ca="1"/>
        <v>45910</v>
      </c>
      <c r="U16" s="55">
        <f ca="1"/>
        <v>120.75</v>
      </c>
      <c r="V16" s="78">
        <f ca="1"/>
        <v>45909</v>
      </c>
      <c r="W16" s="55">
        <f ca="1"/>
        <v>99.878</v>
      </c>
    </row>
    <row r="17" spans="1:23" x14ac:dyDescent="0.3">
      <c r="A17" s="37">
        <v>45940</v>
      </c>
      <c r="B17" s="79">
        <f ca="1">VLOOKUP($A17,P$3:Q$500,2)</f>
        <v>91.85</v>
      </c>
      <c r="C17" s="31">
        <f ca="1">(B17/$B$14-1)*$B$5</f>
        <v>-140738.33495724108</v>
      </c>
      <c r="D17" s="32">
        <f>-1*(A17-$A$14)/360*$B$7*$B$5</f>
        <v>-8812.4999999999982</v>
      </c>
      <c r="E17" s="79">
        <f ca="1">VLOOKUP($A17,R$3:S$500,2)</f>
        <v>100.991</v>
      </c>
      <c r="F17" s="31">
        <f ca="1">(E17-$E$14)/100*$C$5</f>
        <v>18199.999999998796</v>
      </c>
      <c r="G17" s="32">
        <f>(A17-$A$14)/360*$C$6*$C$5-(A17-$A$14)/360*$C$7*$C$5*$E$14/100</f>
        <v>-3113.45</v>
      </c>
      <c r="H17" s="79">
        <f ca="1">VLOOKUP($A17,T$3:U$500,2)</f>
        <v>121</v>
      </c>
      <c r="I17" s="31">
        <f ca="1">(H17/$H$14-1)*$D$5</f>
        <v>35566.583953676287</v>
      </c>
      <c r="J17" s="32">
        <f>-1*(A17-$A$14)/360*$D$7*$D$5</f>
        <v>-15157.499999999998</v>
      </c>
      <c r="K17" s="79">
        <f ca="1">VLOOKUP($A17,V$3:W$500,2)</f>
        <v>99.701999999999998</v>
      </c>
      <c r="L17" s="31">
        <f ca="1">(K17-$K$14)/100*$E$5</f>
        <v>91019.999999997628</v>
      </c>
      <c r="M17" s="32">
        <f>(A17-$A$14)/360*$E$6*$E$5-(A17-$A$14)/360*$E$7*$E$5*$K$14/100</f>
        <v>-6860.6803333333337</v>
      </c>
      <c r="N17" s="85">
        <f ca="1">C17+D17-F17-G17-I17-J17+L17+M17</f>
        <v>-100887.14924425186</v>
      </c>
      <c r="P17" s="78">
        <f ca="1"/>
        <v>45911</v>
      </c>
      <c r="Q17" s="55">
        <f ca="1"/>
        <v>92.28</v>
      </c>
      <c r="R17" s="78">
        <f ca="1"/>
        <v>45910</v>
      </c>
      <c r="S17" s="55">
        <f ca="1"/>
        <v>101.128</v>
      </c>
      <c r="T17" s="78">
        <f ca="1"/>
        <v>45911</v>
      </c>
      <c r="U17" s="55">
        <f ca="1"/>
        <v>120.77</v>
      </c>
      <c r="V17" s="78">
        <f ca="1"/>
        <v>45910</v>
      </c>
      <c r="W17" s="55">
        <f ca="1"/>
        <v>99.876999999999995</v>
      </c>
    </row>
    <row r="18" spans="1:23" x14ac:dyDescent="0.3">
      <c r="A18" s="37">
        <v>45941</v>
      </c>
      <c r="B18" s="46"/>
      <c r="C18" s="31"/>
      <c r="D18" s="32"/>
      <c r="E18" s="4"/>
      <c r="F18" s="31"/>
      <c r="G18" s="32"/>
      <c r="H18" s="4"/>
      <c r="I18" s="31"/>
      <c r="J18" s="32"/>
      <c r="K18" s="4"/>
      <c r="L18" s="31"/>
      <c r="M18" s="32"/>
      <c r="N18" s="85"/>
      <c r="P18" s="78">
        <f ca="1"/>
        <v>45912</v>
      </c>
      <c r="Q18" s="55">
        <f ca="1"/>
        <v>92.39</v>
      </c>
      <c r="R18" s="78">
        <f ca="1"/>
        <v>45911</v>
      </c>
      <c r="S18" s="55">
        <f ca="1"/>
        <v>101.033</v>
      </c>
      <c r="T18" s="78">
        <f ca="1"/>
        <v>45912</v>
      </c>
      <c r="U18" s="55">
        <f ca="1"/>
        <v>120.58</v>
      </c>
      <c r="V18" s="78">
        <f ca="1"/>
        <v>45911</v>
      </c>
      <c r="W18" s="55">
        <f ca="1"/>
        <v>99.73</v>
      </c>
    </row>
    <row r="19" spans="1:23" x14ac:dyDescent="0.3">
      <c r="B19" s="46"/>
      <c r="C19" s="31"/>
      <c r="D19" s="32"/>
      <c r="E19" s="4"/>
      <c r="F19" s="31"/>
      <c r="G19" s="32"/>
      <c r="H19" s="4"/>
      <c r="I19" s="31"/>
      <c r="J19" s="32"/>
      <c r="K19" s="4"/>
      <c r="L19" s="31"/>
      <c r="M19" s="32"/>
      <c r="N19" s="85"/>
      <c r="P19" s="78">
        <f ca="1"/>
        <v>45915</v>
      </c>
      <c r="Q19" s="55">
        <f ca="1"/>
        <v>92.42</v>
      </c>
      <c r="R19" s="78">
        <f ca="1"/>
        <v>45912</v>
      </c>
      <c r="S19" s="55">
        <f ca="1"/>
        <v>100.916</v>
      </c>
      <c r="T19" s="78">
        <f ca="1"/>
        <v>45915</v>
      </c>
      <c r="U19" s="55">
        <f ca="1"/>
        <v>120.7</v>
      </c>
      <c r="V19" s="78">
        <f ca="1"/>
        <v>45912</v>
      </c>
      <c r="W19" s="55">
        <f ca="1"/>
        <v>99.486000000000004</v>
      </c>
    </row>
    <row r="20" spans="1:23" x14ac:dyDescent="0.3">
      <c r="B20" s="46"/>
      <c r="C20" s="31"/>
      <c r="D20" s="31"/>
      <c r="E20" s="4"/>
      <c r="F20" s="31"/>
      <c r="G20" s="32"/>
      <c r="H20" s="4"/>
      <c r="I20" s="31"/>
      <c r="J20" s="32"/>
      <c r="K20" s="4"/>
      <c r="L20" s="31"/>
      <c r="M20" s="32"/>
      <c r="N20" s="85"/>
      <c r="P20" s="78">
        <f ca="1"/>
        <v>45916</v>
      </c>
      <c r="Q20" s="55">
        <f ca="1"/>
        <v>92.35</v>
      </c>
      <c r="R20" s="78">
        <f ca="1"/>
        <v>45915</v>
      </c>
      <c r="S20" s="55">
        <f ca="1"/>
        <v>100.931</v>
      </c>
      <c r="T20" s="78">
        <f ca="1"/>
        <v>45916</v>
      </c>
      <c r="U20" s="55">
        <f ca="1"/>
        <v>120.65</v>
      </c>
      <c r="V20" s="78">
        <f ca="1"/>
        <v>45915</v>
      </c>
      <c r="W20" s="55">
        <f ca="1"/>
        <v>99.543000000000006</v>
      </c>
    </row>
    <row r="21" spans="1:23" x14ac:dyDescent="0.3">
      <c r="B21" s="46"/>
      <c r="C21" s="31"/>
      <c r="D21" s="31"/>
      <c r="E21" s="4"/>
      <c r="F21" s="31"/>
      <c r="G21" s="32"/>
      <c r="H21" s="4"/>
      <c r="I21" s="31"/>
      <c r="J21" s="32"/>
      <c r="K21" s="4"/>
      <c r="L21" s="31"/>
      <c r="M21" s="32"/>
      <c r="N21" s="85"/>
      <c r="P21" s="78">
        <f ca="1"/>
        <v>45917</v>
      </c>
      <c r="Q21" s="55">
        <f ca="1"/>
        <v>92.4</v>
      </c>
      <c r="R21" s="78">
        <f ca="1"/>
        <v>45916</v>
      </c>
      <c r="S21" s="55">
        <f ca="1"/>
        <v>100.971</v>
      </c>
      <c r="T21" s="78">
        <f ca="1"/>
        <v>45917</v>
      </c>
      <c r="U21" s="55">
        <f ca="1"/>
        <v>120.7</v>
      </c>
      <c r="V21" s="78">
        <f ca="1"/>
        <v>45916</v>
      </c>
      <c r="W21" s="55">
        <f ca="1"/>
        <v>99.593999999999994</v>
      </c>
    </row>
    <row r="22" spans="1:23" x14ac:dyDescent="0.3">
      <c r="B22" s="46"/>
      <c r="C22" s="31"/>
      <c r="D22" s="31"/>
      <c r="E22" s="4"/>
      <c r="F22" s="31"/>
      <c r="G22" s="32"/>
      <c r="H22" s="4"/>
      <c r="I22" s="31"/>
      <c r="J22" s="32"/>
      <c r="K22" s="4"/>
      <c r="L22" s="31"/>
      <c r="M22" s="32"/>
      <c r="N22" s="85"/>
      <c r="P22" s="78">
        <f ca="1"/>
        <v>45918</v>
      </c>
      <c r="Q22" s="55">
        <f ca="1"/>
        <v>92.61</v>
      </c>
      <c r="R22" s="78">
        <f ca="1"/>
        <v>45917</v>
      </c>
      <c r="S22" s="55">
        <f ca="1"/>
        <v>100.982</v>
      </c>
      <c r="T22" s="78">
        <f ca="1"/>
        <v>45918</v>
      </c>
      <c r="U22" s="55">
        <f ca="1"/>
        <v>120.7</v>
      </c>
      <c r="V22" s="78">
        <f ca="1"/>
        <v>45917</v>
      </c>
      <c r="W22" s="55">
        <f ca="1"/>
        <v>99.626999999999995</v>
      </c>
    </row>
    <row r="23" spans="1:23" x14ac:dyDescent="0.3">
      <c r="A23" s="37"/>
      <c r="B23" s="46"/>
      <c r="C23" s="31"/>
      <c r="D23" s="31"/>
      <c r="E23" s="4"/>
      <c r="F23" s="31"/>
      <c r="G23" s="32"/>
      <c r="H23" s="4"/>
      <c r="I23" s="31"/>
      <c r="J23" s="32"/>
      <c r="K23" s="4"/>
      <c r="L23" s="31"/>
      <c r="M23" s="32"/>
      <c r="N23" s="85"/>
      <c r="P23" s="78">
        <f ca="1"/>
        <v>45919</v>
      </c>
      <c r="Q23" s="55">
        <f ca="1"/>
        <v>92.68</v>
      </c>
      <c r="R23" s="78">
        <f ca="1"/>
        <v>45918</v>
      </c>
      <c r="S23" s="55">
        <f ca="1"/>
        <v>100.943</v>
      </c>
      <c r="T23" s="78">
        <f ca="1"/>
        <v>45919</v>
      </c>
      <c r="U23" s="55">
        <f ca="1"/>
        <v>120.63</v>
      </c>
      <c r="V23" s="78">
        <f ca="1"/>
        <v>45918</v>
      </c>
      <c r="W23" s="55">
        <f ca="1"/>
        <v>99.498999999999995</v>
      </c>
    </row>
    <row r="24" spans="1:23" x14ac:dyDescent="0.3">
      <c r="A24" s="37"/>
      <c r="B24" s="46"/>
      <c r="C24" s="31"/>
      <c r="D24" s="31"/>
      <c r="E24" s="4"/>
      <c r="F24" s="31"/>
      <c r="G24" s="32"/>
      <c r="H24" s="4"/>
      <c r="I24" s="31"/>
      <c r="J24" s="32"/>
      <c r="K24" s="4"/>
      <c r="L24" s="31"/>
      <c r="M24" s="32"/>
      <c r="N24" s="85"/>
      <c r="P24" s="78">
        <f ca="1"/>
        <v>45922</v>
      </c>
      <c r="Q24" s="55">
        <f ca="1"/>
        <v>92.5</v>
      </c>
      <c r="R24" s="78">
        <f ca="1"/>
        <v>45919</v>
      </c>
      <c r="S24" s="55">
        <f ca="1"/>
        <v>100.896</v>
      </c>
      <c r="T24" s="78">
        <f ca="1"/>
        <v>45922</v>
      </c>
      <c r="U24" s="55">
        <f ca="1"/>
        <v>120.64</v>
      </c>
      <c r="V24" s="78">
        <f ca="1"/>
        <v>45919</v>
      </c>
      <c r="W24" s="55">
        <f ca="1"/>
        <v>99.405000000000001</v>
      </c>
    </row>
    <row r="25" spans="1:23" x14ac:dyDescent="0.3">
      <c r="A25" s="37"/>
      <c r="B25" s="46"/>
      <c r="C25" s="31"/>
      <c r="D25" s="31"/>
      <c r="E25" s="4"/>
      <c r="F25" s="31"/>
      <c r="G25" s="32"/>
      <c r="H25" s="4"/>
      <c r="I25" s="31"/>
      <c r="J25" s="32"/>
      <c r="K25" s="4"/>
      <c r="L25" s="31"/>
      <c r="M25" s="32"/>
      <c r="N25" s="85"/>
      <c r="P25" s="78">
        <f ca="1"/>
        <v>45923</v>
      </c>
      <c r="Q25" s="55">
        <f ca="1"/>
        <v>92.62</v>
      </c>
      <c r="R25" s="78">
        <f ca="1"/>
        <v>45922</v>
      </c>
      <c r="S25" s="55">
        <f ca="1"/>
        <v>100.90900000000001</v>
      </c>
      <c r="T25" s="78">
        <f ca="1"/>
        <v>45923</v>
      </c>
      <c r="U25" s="55">
        <f ca="1"/>
        <v>120.59</v>
      </c>
      <c r="V25" s="78">
        <f ca="1"/>
        <v>45922</v>
      </c>
      <c r="W25" s="55">
        <f ca="1"/>
        <v>99.433000000000007</v>
      </c>
    </row>
    <row r="26" spans="1:23" x14ac:dyDescent="0.3">
      <c r="A26" s="37"/>
      <c r="B26" s="46"/>
      <c r="C26" s="31"/>
      <c r="D26" s="31"/>
      <c r="E26" s="4"/>
      <c r="F26" s="31"/>
      <c r="G26" s="32"/>
      <c r="H26" s="4"/>
      <c r="I26" s="31"/>
      <c r="J26" s="32"/>
      <c r="K26" s="4"/>
      <c r="L26" s="31"/>
      <c r="M26" s="32"/>
      <c r="N26" s="85"/>
      <c r="P26" s="78">
        <f ca="1"/>
        <v>45924</v>
      </c>
      <c r="Q26" s="55">
        <f ca="1"/>
        <v>92.58</v>
      </c>
      <c r="R26" s="78">
        <f ca="1"/>
        <v>45923</v>
      </c>
      <c r="S26" s="55">
        <f ca="1"/>
        <v>100.88800000000001</v>
      </c>
      <c r="T26" s="78">
        <f ca="1"/>
        <v>45924</v>
      </c>
      <c r="U26" s="55">
        <f ca="1"/>
        <v>120.63</v>
      </c>
      <c r="V26" s="78">
        <f ca="1"/>
        <v>45923</v>
      </c>
      <c r="W26" s="55">
        <f ca="1"/>
        <v>99.39</v>
      </c>
    </row>
    <row r="27" spans="1:23" x14ac:dyDescent="0.3">
      <c r="A27" s="56"/>
      <c r="B27" s="57"/>
      <c r="C27" s="58"/>
      <c r="D27" s="58"/>
      <c r="E27" s="4"/>
      <c r="F27" s="31"/>
      <c r="G27" s="32"/>
      <c r="H27" s="4"/>
      <c r="I27" s="31"/>
      <c r="J27" s="32"/>
      <c r="K27" s="4"/>
      <c r="L27" s="31"/>
      <c r="M27" s="32"/>
      <c r="N27" s="85"/>
      <c r="P27" s="78">
        <f ca="1"/>
        <v>45925</v>
      </c>
      <c r="Q27" s="55">
        <f ca="1"/>
        <v>92.36</v>
      </c>
      <c r="R27" s="78">
        <f ca="1"/>
        <v>45924</v>
      </c>
      <c r="S27" s="55">
        <f ca="1"/>
        <v>100.88800000000001</v>
      </c>
      <c r="T27" s="78">
        <f ca="1"/>
        <v>45925</v>
      </c>
      <c r="U27" s="55">
        <f ca="1"/>
        <v>120.42</v>
      </c>
      <c r="V27" s="78">
        <f ca="1"/>
        <v>45924</v>
      </c>
      <c r="W27" s="55">
        <f ca="1"/>
        <v>99.397999999999996</v>
      </c>
    </row>
    <row r="28" spans="1:23" x14ac:dyDescent="0.3">
      <c r="A28" s="37"/>
      <c r="B28" s="46"/>
      <c r="C28" s="31"/>
      <c r="D28" s="31"/>
      <c r="E28" s="4"/>
      <c r="F28" s="31"/>
      <c r="G28" s="32"/>
      <c r="H28" s="4"/>
      <c r="I28" s="31"/>
      <c r="J28" s="32"/>
      <c r="K28" s="4"/>
      <c r="L28" s="31"/>
      <c r="M28" s="32"/>
      <c r="N28" s="85"/>
      <c r="P28" s="78">
        <f ca="1"/>
        <v>45926</v>
      </c>
      <c r="Q28" s="55">
        <f ca="1"/>
        <v>92.5</v>
      </c>
      <c r="R28" s="78">
        <f ca="1"/>
        <v>45925</v>
      </c>
      <c r="S28" s="55">
        <f ca="1"/>
        <v>100.815</v>
      </c>
      <c r="T28" s="78">
        <f ca="1"/>
        <v>45926</v>
      </c>
      <c r="U28" s="55">
        <f ca="1"/>
        <v>120.59</v>
      </c>
      <c r="V28" s="78">
        <f ca="1"/>
        <v>45925</v>
      </c>
      <c r="W28" s="55">
        <f ca="1"/>
        <v>99.244</v>
      </c>
    </row>
    <row r="29" spans="1:23" x14ac:dyDescent="0.3">
      <c r="A29" s="37"/>
      <c r="B29" s="46"/>
      <c r="C29" s="31"/>
      <c r="D29" s="31"/>
      <c r="E29" s="4"/>
      <c r="F29" s="31"/>
      <c r="G29" s="32"/>
      <c r="H29" s="4"/>
      <c r="I29" s="31"/>
      <c r="J29" s="32"/>
      <c r="K29" s="4"/>
      <c r="L29" s="31"/>
      <c r="M29" s="32"/>
      <c r="N29" s="85"/>
      <c r="P29" s="78">
        <f ca="1"/>
        <v>45929</v>
      </c>
      <c r="Q29" s="55">
        <f ca="1"/>
        <v>92.56</v>
      </c>
      <c r="R29" s="78">
        <f ca="1"/>
        <v>45926</v>
      </c>
      <c r="S29" s="55">
        <f ca="1"/>
        <v>100.863</v>
      </c>
      <c r="T29" s="78">
        <f ca="1"/>
        <v>45929</v>
      </c>
      <c r="U29" s="55">
        <f ca="1"/>
        <v>120.77</v>
      </c>
      <c r="V29" s="78">
        <f ca="1"/>
        <v>45926</v>
      </c>
      <c r="W29" s="55">
        <f ca="1"/>
        <v>99.363</v>
      </c>
    </row>
    <row r="30" spans="1:23" x14ac:dyDescent="0.3">
      <c r="A30" s="56"/>
      <c r="B30" s="46"/>
      <c r="C30" s="31"/>
      <c r="D30" s="31"/>
      <c r="E30" s="4"/>
      <c r="F30" s="31"/>
      <c r="G30" s="32"/>
      <c r="H30" s="4"/>
      <c r="I30" s="31"/>
      <c r="J30" s="32"/>
      <c r="K30" s="4"/>
      <c r="L30" s="31"/>
      <c r="M30" s="32"/>
      <c r="N30" s="85"/>
      <c r="P30" s="78">
        <f ca="1"/>
        <v>45930</v>
      </c>
      <c r="Q30" s="55">
        <f ca="1"/>
        <v>92.44</v>
      </c>
      <c r="R30" s="78">
        <f ca="1"/>
        <v>45929</v>
      </c>
      <c r="S30" s="55">
        <f ca="1"/>
        <v>100.89100000000001</v>
      </c>
      <c r="T30" s="78">
        <f ca="1"/>
        <v>45930</v>
      </c>
      <c r="U30" s="55">
        <f ca="1"/>
        <v>120.79</v>
      </c>
      <c r="V30" s="78">
        <f ca="1"/>
        <v>45929</v>
      </c>
      <c r="W30" s="55">
        <f ca="1"/>
        <v>99.472999999999999</v>
      </c>
    </row>
    <row r="31" spans="1:23" x14ac:dyDescent="0.3">
      <c r="A31" s="56"/>
      <c r="B31" s="46"/>
      <c r="C31" s="31"/>
      <c r="D31" s="31"/>
      <c r="E31" s="4"/>
      <c r="F31" s="31"/>
      <c r="G31" s="32"/>
      <c r="H31" s="4"/>
      <c r="I31" s="31"/>
      <c r="J31" s="32"/>
      <c r="K31" s="4"/>
      <c r="L31" s="31"/>
      <c r="M31" s="32"/>
      <c r="N31" s="39"/>
      <c r="P31" s="78">
        <f ca="1"/>
        <v>45931</v>
      </c>
      <c r="Q31" s="55">
        <f ca="1"/>
        <v>92.51</v>
      </c>
      <c r="R31" s="78">
        <f ca="1"/>
        <v>45930</v>
      </c>
      <c r="S31" s="55">
        <f ca="1"/>
        <v>100.898</v>
      </c>
      <c r="T31" s="78">
        <f ca="1"/>
        <v>45931</v>
      </c>
      <c r="U31" s="55">
        <f ca="1"/>
        <v>120.81</v>
      </c>
      <c r="V31" s="78">
        <f ca="1"/>
        <v>45930</v>
      </c>
      <c r="W31" s="55">
        <f ca="1"/>
        <v>99.481999999999999</v>
      </c>
    </row>
    <row r="32" spans="1:23" x14ac:dyDescent="0.3">
      <c r="A32" s="15"/>
      <c r="B32" s="46"/>
      <c r="C32" s="31"/>
      <c r="D32" s="31"/>
      <c r="E32" s="4"/>
      <c r="F32" s="31"/>
      <c r="G32" s="32"/>
      <c r="H32" s="4"/>
      <c r="I32" s="31"/>
      <c r="J32" s="32"/>
      <c r="K32" s="4"/>
      <c r="L32" s="31"/>
      <c r="M32" s="32"/>
      <c r="N32" s="39"/>
      <c r="P32" s="78">
        <f ca="1"/>
        <v>45932</v>
      </c>
      <c r="Q32" s="55">
        <f ca="1"/>
        <v>92.7</v>
      </c>
      <c r="R32" s="78">
        <f ca="1"/>
        <v>45931</v>
      </c>
      <c r="S32" s="55">
        <f ca="1"/>
        <v>100.917</v>
      </c>
      <c r="T32" s="78">
        <f ca="1"/>
        <v>45932</v>
      </c>
      <c r="U32" s="55">
        <f ca="1"/>
        <v>121.04</v>
      </c>
      <c r="V32" s="78">
        <f ca="1"/>
        <v>45931</v>
      </c>
      <c r="W32" s="55">
        <f ca="1"/>
        <v>99.522000000000006</v>
      </c>
    </row>
    <row r="33" spans="1:23" x14ac:dyDescent="0.3">
      <c r="A33" s="15"/>
      <c r="B33" s="46"/>
      <c r="C33" s="31"/>
      <c r="D33" s="31"/>
      <c r="E33" s="4"/>
      <c r="F33" s="31"/>
      <c r="G33" s="32"/>
      <c r="H33" s="4"/>
      <c r="I33" s="31"/>
      <c r="J33" s="32"/>
      <c r="K33" s="4"/>
      <c r="L33" s="31"/>
      <c r="M33" s="32"/>
      <c r="N33" s="39"/>
      <c r="P33" s="78">
        <f ca="1"/>
        <v>45933</v>
      </c>
      <c r="Q33" s="55">
        <f ca="1"/>
        <v>92.57</v>
      </c>
      <c r="R33" s="78">
        <f ca="1"/>
        <v>45932</v>
      </c>
      <c r="S33" s="55">
        <f ca="1"/>
        <v>100.92400000000001</v>
      </c>
      <c r="T33" s="78">
        <f ca="1"/>
        <v>45933</v>
      </c>
      <c r="U33" s="55">
        <f ca="1"/>
        <v>121.04</v>
      </c>
      <c r="V33" s="78">
        <f ca="1"/>
        <v>45932</v>
      </c>
      <c r="W33" s="55">
        <f ca="1"/>
        <v>99.543000000000006</v>
      </c>
    </row>
    <row r="34" spans="1:23" x14ac:dyDescent="0.3">
      <c r="A34" s="15"/>
      <c r="B34" s="46"/>
      <c r="C34" s="31"/>
      <c r="D34" s="31"/>
      <c r="E34" s="4"/>
      <c r="F34" s="31"/>
      <c r="G34" s="32"/>
      <c r="H34" s="4"/>
      <c r="I34" s="31"/>
      <c r="J34" s="32"/>
      <c r="K34" s="4"/>
      <c r="L34" s="31"/>
      <c r="M34" s="32"/>
      <c r="N34" s="39"/>
      <c r="P34" s="78">
        <f ca="1"/>
        <v>45936</v>
      </c>
      <c r="Q34" s="55">
        <f ca="1"/>
        <v>92.53</v>
      </c>
      <c r="R34" s="78">
        <f ca="1"/>
        <v>45933</v>
      </c>
      <c r="S34" s="55">
        <f ca="1"/>
        <v>100.9</v>
      </c>
      <c r="T34" s="78">
        <f ca="1"/>
        <v>45936</v>
      </c>
      <c r="U34" s="55">
        <f ca="1"/>
        <v>120.97499999999999</v>
      </c>
      <c r="V34" s="78">
        <f ca="1"/>
        <v>45933</v>
      </c>
      <c r="W34" s="55">
        <f ca="1"/>
        <v>99.516999999999996</v>
      </c>
    </row>
    <row r="35" spans="1:23" x14ac:dyDescent="0.3">
      <c r="A35" s="15"/>
      <c r="B35" s="46"/>
      <c r="C35" s="31"/>
      <c r="D35" s="31"/>
      <c r="E35" s="4"/>
      <c r="F35" s="31"/>
      <c r="G35" s="32"/>
      <c r="H35" s="4"/>
      <c r="I35" s="31"/>
      <c r="J35" s="32"/>
      <c r="K35" s="4"/>
      <c r="L35" s="31"/>
      <c r="M35" s="32"/>
      <c r="N35" s="39"/>
      <c r="P35" s="78">
        <f ca="1"/>
        <v>45937</v>
      </c>
      <c r="Q35" s="55">
        <f ca="1"/>
        <v>92.26</v>
      </c>
      <c r="R35" s="78">
        <f ca="1"/>
        <v>45936</v>
      </c>
      <c r="S35" s="55">
        <f ca="1"/>
        <v>100.917</v>
      </c>
      <c r="T35" s="78">
        <f ca="1"/>
        <v>45937</v>
      </c>
      <c r="U35" s="55">
        <f ca="1"/>
        <v>120.96</v>
      </c>
      <c r="V35" s="78">
        <f ca="1"/>
        <v>45936</v>
      </c>
      <c r="W35" s="55">
        <f ca="1"/>
        <v>99.501000000000005</v>
      </c>
    </row>
    <row r="36" spans="1:23" x14ac:dyDescent="0.3">
      <c r="A36" s="15"/>
      <c r="B36" s="46"/>
      <c r="C36" s="31"/>
      <c r="D36" s="31"/>
      <c r="E36" s="4"/>
      <c r="F36" s="31"/>
      <c r="G36" s="32"/>
      <c r="H36" s="4"/>
      <c r="I36" s="31"/>
      <c r="J36" s="32"/>
      <c r="K36" s="4"/>
      <c r="L36" s="31"/>
      <c r="M36" s="32"/>
      <c r="N36" s="39"/>
      <c r="P36" s="78">
        <f ca="1"/>
        <v>45938</v>
      </c>
      <c r="Q36" s="55">
        <f ca="1"/>
        <v>92.15</v>
      </c>
      <c r="R36" s="78">
        <f ca="1"/>
        <v>45937</v>
      </c>
      <c r="S36" s="55">
        <f ca="1"/>
        <v>100.93</v>
      </c>
      <c r="T36" s="78">
        <f ca="1"/>
        <v>45938</v>
      </c>
      <c r="U36" s="55">
        <f ca="1"/>
        <v>121.1</v>
      </c>
      <c r="V36" s="78">
        <f ca="1"/>
        <v>45937</v>
      </c>
      <c r="W36" s="55">
        <f ca="1"/>
        <v>99.540999999999997</v>
      </c>
    </row>
    <row r="37" spans="1:23" x14ac:dyDescent="0.3">
      <c r="A37" s="15"/>
      <c r="B37" s="46"/>
      <c r="C37" s="31"/>
      <c r="D37" s="31"/>
      <c r="E37" s="4"/>
      <c r="F37" s="31"/>
      <c r="G37" s="32"/>
      <c r="H37" s="4"/>
      <c r="I37" s="31"/>
      <c r="J37" s="32"/>
      <c r="K37" s="4"/>
      <c r="L37" s="31"/>
      <c r="M37" s="32"/>
      <c r="N37" s="39"/>
      <c r="P37" s="78">
        <f ca="1"/>
        <v>45939</v>
      </c>
      <c r="Q37" s="55">
        <f ca="1"/>
        <v>91.93</v>
      </c>
      <c r="R37" s="78">
        <f ca="1"/>
        <v>45938</v>
      </c>
      <c r="S37" s="55">
        <f ca="1"/>
        <v>100.986</v>
      </c>
      <c r="T37" s="78">
        <f ca="1"/>
        <v>45939</v>
      </c>
      <c r="U37" s="55">
        <f ca="1"/>
        <v>120.92</v>
      </c>
      <c r="V37" s="78">
        <f ca="1"/>
        <v>45938</v>
      </c>
      <c r="W37" s="55">
        <f ca="1"/>
        <v>99.665000000000006</v>
      </c>
    </row>
    <row r="38" spans="1:23" x14ac:dyDescent="0.3">
      <c r="A38" s="15"/>
      <c r="B38" s="46"/>
      <c r="C38" s="31"/>
      <c r="D38" s="31"/>
      <c r="E38" s="4"/>
      <c r="F38" s="31"/>
      <c r="G38" s="32"/>
      <c r="H38" s="4"/>
      <c r="I38" s="31"/>
      <c r="J38" s="32"/>
      <c r="K38" s="4"/>
      <c r="L38" s="31"/>
      <c r="M38" s="32"/>
      <c r="N38" s="39"/>
      <c r="P38" s="78">
        <f ca="1"/>
        <v>45940</v>
      </c>
      <c r="Q38" s="55">
        <f ca="1"/>
        <v>91.85</v>
      </c>
      <c r="R38" s="78">
        <f ca="1"/>
        <v>45939</v>
      </c>
      <c r="S38" s="55">
        <f ca="1"/>
        <v>100.932</v>
      </c>
      <c r="T38" s="78">
        <f ca="1"/>
        <v>45940</v>
      </c>
      <c r="U38" s="55">
        <f ca="1"/>
        <v>121</v>
      </c>
      <c r="V38" s="78">
        <f ca="1"/>
        <v>45939</v>
      </c>
      <c r="W38" s="55">
        <f ca="1"/>
        <v>99.552000000000007</v>
      </c>
    </row>
    <row r="39" spans="1:23" x14ac:dyDescent="0.3">
      <c r="A39" s="15"/>
      <c r="B39" s="46"/>
      <c r="C39" s="31"/>
      <c r="D39" s="31"/>
      <c r="E39" s="4"/>
      <c r="F39" s="31"/>
      <c r="G39" s="32"/>
      <c r="H39" s="4"/>
      <c r="I39" s="31"/>
      <c r="J39" s="32"/>
      <c r="K39" s="4"/>
      <c r="L39" s="31"/>
      <c r="M39" s="32"/>
      <c r="N39" s="39"/>
      <c r="R39" s="78">
        <f ca="1"/>
        <v>45940</v>
      </c>
      <c r="S39" s="55">
        <f ca="1"/>
        <v>100.991</v>
      </c>
      <c r="V39" s="78">
        <f ca="1"/>
        <v>45940</v>
      </c>
      <c r="W39" s="55">
        <f ca="1"/>
        <v>99.701999999999998</v>
      </c>
    </row>
    <row r="40" spans="1:23" x14ac:dyDescent="0.3">
      <c r="A40" s="15"/>
      <c r="B40" s="46"/>
      <c r="C40" s="31"/>
      <c r="D40" s="31"/>
      <c r="E40" s="4"/>
      <c r="F40" s="31"/>
      <c r="G40" s="32"/>
      <c r="H40" s="4"/>
      <c r="I40" s="31"/>
      <c r="J40" s="32"/>
      <c r="K40" s="4"/>
      <c r="L40" s="31"/>
      <c r="M40" s="32"/>
      <c r="N40" s="39"/>
    </row>
    <row r="41" spans="1:23" ht="15" thickBot="1" x14ac:dyDescent="0.35">
      <c r="A41" s="16"/>
      <c r="B41" s="49"/>
      <c r="C41" s="50"/>
      <c r="D41" s="50"/>
      <c r="E41" s="11"/>
      <c r="F41" s="50"/>
      <c r="G41" s="51"/>
      <c r="H41" s="11"/>
      <c r="I41" s="50"/>
      <c r="J41" s="51"/>
      <c r="K41" s="11"/>
      <c r="L41" s="50"/>
      <c r="M41" s="51"/>
      <c r="N41" s="52"/>
    </row>
    <row r="42" spans="1:23" x14ac:dyDescent="0.3">
      <c r="B42" s="60"/>
      <c r="C42" s="60"/>
      <c r="D42" s="60"/>
      <c r="F42" s="58"/>
      <c r="G42" s="58"/>
      <c r="I42" s="58"/>
      <c r="J42" s="58"/>
      <c r="L42" s="58"/>
      <c r="M42" s="58"/>
      <c r="N42" s="58"/>
    </row>
    <row r="43" spans="1:23" x14ac:dyDescent="0.3">
      <c r="B43" s="60"/>
      <c r="C43" s="60"/>
      <c r="D43" s="60"/>
      <c r="I43" s="58"/>
      <c r="J43" s="58"/>
      <c r="L43" s="58"/>
      <c r="M43" s="58"/>
      <c r="N43" s="58"/>
    </row>
    <row r="44" spans="1:23" x14ac:dyDescent="0.3">
      <c r="B44" s="60"/>
      <c r="C44" s="60"/>
      <c r="D44" s="60"/>
      <c r="I44" s="58"/>
      <c r="J44" s="58"/>
      <c r="L44" s="58"/>
      <c r="M44" s="58"/>
      <c r="N44" s="58"/>
    </row>
    <row r="45" spans="1:23" x14ac:dyDescent="0.3">
      <c r="B45" s="60"/>
      <c r="C45" s="60"/>
      <c r="D45" s="60"/>
      <c r="I45" s="58"/>
      <c r="J45" s="58"/>
      <c r="L45" s="58"/>
      <c r="M45" s="58"/>
      <c r="N45" s="58"/>
    </row>
    <row r="46" spans="1:23" x14ac:dyDescent="0.3">
      <c r="B46" s="60"/>
      <c r="C46" s="60"/>
      <c r="D46" s="60"/>
    </row>
    <row r="47" spans="1:23" x14ac:dyDescent="0.3">
      <c r="B47" s="60"/>
      <c r="C47" s="60"/>
      <c r="D47" s="60"/>
    </row>
    <row r="48" spans="1:23" x14ac:dyDescent="0.3">
      <c r="B48" s="60"/>
      <c r="C48" s="60"/>
      <c r="D48" s="60"/>
    </row>
    <row r="49" spans="2:4" x14ac:dyDescent="0.3">
      <c r="B49" s="60"/>
      <c r="C49" s="60"/>
      <c r="D49" s="60"/>
    </row>
    <row r="50" spans="2:4" x14ac:dyDescent="0.3">
      <c r="B50" s="60"/>
      <c r="C50" s="60"/>
      <c r="D50" s="60"/>
    </row>
    <row r="51" spans="2:4" x14ac:dyDescent="0.3">
      <c r="B51" s="60"/>
      <c r="C51" s="60"/>
      <c r="D51" s="60"/>
    </row>
    <row r="52" spans="2:4" x14ac:dyDescent="0.3">
      <c r="B52" s="60"/>
      <c r="C52" s="60"/>
      <c r="D52" s="60"/>
    </row>
    <row r="53" spans="2:4" x14ac:dyDescent="0.3">
      <c r="B53" s="60"/>
      <c r="C53" s="60"/>
      <c r="D53" s="60"/>
    </row>
  </sheetData>
  <mergeCells count="4">
    <mergeCell ref="B12:D12"/>
    <mergeCell ref="E12:G12"/>
    <mergeCell ref="H12:J12"/>
    <mergeCell ref="K12:M12"/>
  </mergeCells>
  <conditionalFormatting sqref="N13:N30">
    <cfRule type="cellIs" dxfId="3" priority="1" operator="lessThan">
      <formula>0</formula>
    </cfRule>
  </conditionalFormatting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FC2E2-30FB-4041-93E7-EF55E3F5C380}">
  <dimension ref="A1:AG76"/>
  <sheetViews>
    <sheetView topLeftCell="E1" zoomScale="70" zoomScaleNormal="70" workbookViewId="0">
      <selection activeCell="T12" activeCellId="1" sqref="A12:A44 T12:T44"/>
    </sheetView>
  </sheetViews>
  <sheetFormatPr defaultRowHeight="14.4" x14ac:dyDescent="0.3"/>
  <cols>
    <col min="1" max="1" width="15.44140625" style="55" bestFit="1" customWidth="1"/>
    <col min="2" max="7" width="12.44140625" style="55" customWidth="1"/>
    <col min="8" max="16" width="10.77734375" style="55" customWidth="1"/>
    <col min="17" max="17" width="13.88671875" style="55" bestFit="1" customWidth="1"/>
    <col min="18" max="18" width="11.5546875" style="55" bestFit="1" customWidth="1"/>
    <col min="19" max="20" width="13.33203125" style="55" bestFit="1" customWidth="1"/>
    <col min="22" max="22" width="10.5546875" style="78" hidden="1" customWidth="1"/>
    <col min="23" max="23" width="0" style="55" hidden="1" customWidth="1"/>
    <col min="24" max="24" width="10.5546875" style="78" hidden="1" customWidth="1"/>
    <col min="25" max="25" width="0" style="55" hidden="1" customWidth="1"/>
    <col min="26" max="26" width="10.5546875" style="78" hidden="1" customWidth="1"/>
    <col min="27" max="27" width="0" style="55" hidden="1" customWidth="1"/>
    <col min="28" max="28" width="10.5546875" style="78" hidden="1" customWidth="1"/>
    <col min="29" max="29" width="0" style="55" hidden="1" customWidth="1"/>
    <col min="30" max="30" width="10.5546875" style="78" hidden="1" customWidth="1"/>
    <col min="31" max="31" width="0" style="55" hidden="1" customWidth="1"/>
    <col min="32" max="32" width="10.5546875" style="78" hidden="1" customWidth="1"/>
    <col min="33" max="33" width="0" style="55" hidden="1" customWidth="1"/>
    <col min="34" max="16384" width="8.88671875" style="55"/>
  </cols>
  <sheetData>
    <row r="1" spans="1:33" ht="15" thickBot="1" x14ac:dyDescent="0.35">
      <c r="A1" s="1"/>
      <c r="B1" s="1"/>
      <c r="C1" s="1"/>
      <c r="D1" s="1"/>
      <c r="E1" s="1"/>
      <c r="F1" s="1"/>
      <c r="G1" s="1"/>
      <c r="I1" s="54">
        <f ca="1">TODAY()-5</f>
        <v>45935</v>
      </c>
      <c r="J1" s="1"/>
      <c r="K1" s="1"/>
      <c r="L1" s="1"/>
      <c r="M1" s="1"/>
      <c r="N1" s="1"/>
      <c r="O1" s="1"/>
      <c r="P1" s="1"/>
      <c r="Q1" s="1"/>
      <c r="R1" s="1"/>
      <c r="S1" s="1"/>
      <c r="V1" s="54">
        <f ca="1">TODAY()-100</f>
        <v>45840</v>
      </c>
      <c r="W1" s="1"/>
      <c r="X1" s="54"/>
      <c r="Y1" s="1"/>
      <c r="Z1" s="54"/>
      <c r="AA1" s="1"/>
      <c r="AB1" s="54"/>
      <c r="AC1" s="1"/>
      <c r="AD1" s="54"/>
      <c r="AE1" s="1"/>
      <c r="AF1" s="54"/>
    </row>
    <row r="2" spans="1:33" ht="15" thickBot="1" x14ac:dyDescent="0.35">
      <c r="A2" s="30"/>
      <c r="B2" s="41" t="s">
        <v>0</v>
      </c>
      <c r="C2" s="45" t="s">
        <v>1</v>
      </c>
      <c r="D2" s="74" t="s">
        <v>1</v>
      </c>
      <c r="E2" s="80" t="s">
        <v>0</v>
      </c>
      <c r="F2" s="74" t="s">
        <v>0</v>
      </c>
      <c r="G2" s="75" t="s">
        <v>0</v>
      </c>
      <c r="I2" s="27" t="s">
        <v>0</v>
      </c>
      <c r="J2" s="1"/>
      <c r="K2" s="45" t="s">
        <v>1</v>
      </c>
      <c r="L2" s="2"/>
      <c r="M2" s="28" t="s">
        <v>1</v>
      </c>
      <c r="N2" s="1"/>
      <c r="O2" s="80" t="s">
        <v>0</v>
      </c>
      <c r="Q2" s="74" t="s">
        <v>0</v>
      </c>
      <c r="S2" s="75" t="s">
        <v>0</v>
      </c>
      <c r="V2" s="105" t="s">
        <v>0</v>
      </c>
      <c r="W2" s="1"/>
      <c r="X2" s="106" t="s">
        <v>1</v>
      </c>
      <c r="Y2" s="2"/>
      <c r="Z2" s="107" t="s">
        <v>1</v>
      </c>
      <c r="AA2" s="1"/>
      <c r="AB2" s="108" t="s">
        <v>0</v>
      </c>
      <c r="AD2" s="109" t="s">
        <v>0</v>
      </c>
      <c r="AF2" s="104" t="s">
        <v>0</v>
      </c>
    </row>
    <row r="3" spans="1:33" x14ac:dyDescent="0.3">
      <c r="A3" s="15" t="s">
        <v>33</v>
      </c>
      <c r="B3" s="66" t="s">
        <v>65</v>
      </c>
      <c r="C3" s="76" t="s">
        <v>67</v>
      </c>
      <c r="D3" s="76" t="s">
        <v>68</v>
      </c>
      <c r="E3" s="76" t="s">
        <v>67</v>
      </c>
      <c r="F3" s="76" t="s">
        <v>69</v>
      </c>
      <c r="G3" s="67" t="s">
        <v>70</v>
      </c>
      <c r="I3" s="53" cm="1">
        <f t="array" aca="1" ref="I3:J7" ca="1">_xll.BDH($B$4, "PX_LAST, ", $I$1, "")</f>
        <v>45936</v>
      </c>
      <c r="J3" s="1">
        <f ca="1"/>
        <v>80.86</v>
      </c>
      <c r="K3" s="53" cm="1">
        <f t="array" aca="1" ref="K3:L7" ca="1">_xll.BDH($C$4, "PX_LAST, ", $I$1, "")</f>
        <v>45936</v>
      </c>
      <c r="L3" s="47">
        <f ca="1"/>
        <v>99.5078125</v>
      </c>
      <c r="M3" s="53" cm="1">
        <f t="array" aca="1" ref="M3:N7" ca="1">_xll.BDH($D$4, "PX_LAST, ", $I$1, "")</f>
        <v>45936</v>
      </c>
      <c r="N3" s="1">
        <f ca="1"/>
        <v>111.19</v>
      </c>
      <c r="O3" s="53" cm="1">
        <f t="array" aca="1" ref="O3:P7" ca="1">_xll.BDH($E$4, "PX_LAST, ", $I$1, "")</f>
        <v>45936</v>
      </c>
      <c r="P3" s="55">
        <f ca="1"/>
        <v>99.5078125</v>
      </c>
      <c r="Q3" s="53" cm="1">
        <f t="array" aca="1" ref="Q3:R7" ca="1">_xll.BDH($F$4, "PX_LAST, ", $I$1, "")</f>
        <v>45936</v>
      </c>
      <c r="R3" s="55">
        <f ca="1"/>
        <v>100.765625</v>
      </c>
      <c r="S3" s="53" cm="1">
        <f t="array" aca="1" ref="S3:T7" ca="1">_xll.BDH($G$4, "PX_LAST, ", $I$1, "")</f>
        <v>45936</v>
      </c>
      <c r="T3" s="55">
        <f ca="1"/>
        <v>100.015625</v>
      </c>
      <c r="V3" s="53" cm="1">
        <f t="array" aca="1" ref="V3:W73" ca="1">_xll.BDH($B$4, "PX_LAST, ", V$1, "")</f>
        <v>45840</v>
      </c>
      <c r="W3" s="1">
        <f ca="1"/>
        <v>80.319999999999993</v>
      </c>
      <c r="X3" s="53" cm="1">
        <f t="array" aca="1" ref="X3:Y35" ca="1">_xll.BDH($C$4, "PX_LAST, ", V$1, "")</f>
        <v>45896</v>
      </c>
      <c r="Y3" s="47">
        <f ca="1"/>
        <v>99.66796875</v>
      </c>
      <c r="Z3" s="53" cm="1">
        <f t="array" aca="1" ref="Z3:AA73" ca="1">_xll.BDH($D$4, "PX_LAST, ", V$1, "")</f>
        <v>45840</v>
      </c>
      <c r="AA3" s="1">
        <f ca="1"/>
        <v>109.32</v>
      </c>
      <c r="AB3" s="53" cm="1">
        <f t="array" aca="1" ref="AB3:AC35" ca="1">_xll.BDH($E$4, "PX_LAST, ", V$1, "")</f>
        <v>45896</v>
      </c>
      <c r="AC3" s="55">
        <f ca="1"/>
        <v>99.66796875</v>
      </c>
      <c r="AD3" s="53" cm="1">
        <f t="array" aca="1" ref="AD3:AE50" ca="1">_xll.BDH($F$4, "PX_LAST, ", V$1, "")</f>
        <v>45875</v>
      </c>
      <c r="AE3" s="55">
        <f ca="1"/>
        <v>100.0703125</v>
      </c>
      <c r="AF3" s="53" cm="1">
        <f t="array" aca="1" ref="AF3:AG49" ca="1">_xll.BDH($G$4, "PX_LAST, ", V$1, "")</f>
        <v>45876</v>
      </c>
      <c r="AG3" s="55">
        <f ca="1"/>
        <v>98.8359375</v>
      </c>
    </row>
    <row r="4" spans="1:33" ht="32.25" customHeight="1" x14ac:dyDescent="0.3">
      <c r="A4" s="15" t="s">
        <v>34</v>
      </c>
      <c r="B4" s="68" t="s">
        <v>66</v>
      </c>
      <c r="C4" s="42" t="s">
        <v>74</v>
      </c>
      <c r="D4" s="42" t="s">
        <v>71</v>
      </c>
      <c r="E4" s="42" t="s">
        <v>74</v>
      </c>
      <c r="F4" s="42" t="s">
        <v>73</v>
      </c>
      <c r="G4" s="43" t="s">
        <v>72</v>
      </c>
      <c r="I4" s="78">
        <f ca="1"/>
        <v>45937</v>
      </c>
      <c r="J4" s="1">
        <f ca="1"/>
        <v>80.77</v>
      </c>
      <c r="K4" s="54">
        <f ca="1"/>
        <v>45937</v>
      </c>
      <c r="L4" s="1">
        <f ca="1"/>
        <v>99.65625</v>
      </c>
      <c r="M4" s="54">
        <f ca="1"/>
        <v>45937</v>
      </c>
      <c r="N4" s="1">
        <f ca="1"/>
        <v>111.4</v>
      </c>
      <c r="O4" s="78">
        <f ca="1"/>
        <v>45937</v>
      </c>
      <c r="P4" s="55">
        <f ca="1"/>
        <v>99.65625</v>
      </c>
      <c r="Q4" s="78">
        <f ca="1"/>
        <v>45937</v>
      </c>
      <c r="R4" s="55">
        <f ca="1"/>
        <v>101.0078125</v>
      </c>
      <c r="S4" s="54">
        <f ca="1"/>
        <v>45937</v>
      </c>
      <c r="T4" s="55">
        <f ca="1"/>
        <v>100.40625</v>
      </c>
      <c r="V4" s="78">
        <f ca="1"/>
        <v>45841</v>
      </c>
      <c r="W4" s="55">
        <f ca="1"/>
        <v>80.37</v>
      </c>
      <c r="X4" s="78">
        <f ca="1"/>
        <v>45897</v>
      </c>
      <c r="Y4" s="55">
        <f ca="1"/>
        <v>99.69921875</v>
      </c>
      <c r="Z4" s="78">
        <f ca="1"/>
        <v>45841</v>
      </c>
      <c r="AA4" s="55">
        <f ca="1"/>
        <v>109.06</v>
      </c>
      <c r="AB4" s="78">
        <f ca="1"/>
        <v>45897</v>
      </c>
      <c r="AC4" s="55">
        <f ca="1"/>
        <v>99.69921875</v>
      </c>
      <c r="AD4" s="78">
        <f ca="1"/>
        <v>45876</v>
      </c>
      <c r="AE4" s="55">
        <f ca="1"/>
        <v>99.9921875</v>
      </c>
      <c r="AF4" s="78">
        <f ca="1"/>
        <v>45877</v>
      </c>
      <c r="AG4" s="55">
        <f ca="1"/>
        <v>98.421875</v>
      </c>
    </row>
    <row r="5" spans="1:33" x14ac:dyDescent="0.3">
      <c r="A5" s="15" t="s">
        <v>8</v>
      </c>
      <c r="B5" s="69">
        <f>35*10^6</f>
        <v>35000000</v>
      </c>
      <c r="C5" s="7">
        <f>19.5*10^6</f>
        <v>19500000</v>
      </c>
      <c r="D5" s="7">
        <f>36*10^6</f>
        <v>36000000</v>
      </c>
      <c r="E5" s="7">
        <f>17*10^6</f>
        <v>17000000</v>
      </c>
      <c r="F5" s="7">
        <f>7.5*10^6</f>
        <v>7500000</v>
      </c>
      <c r="G5" s="8">
        <f>10.5*10^6</f>
        <v>10500000</v>
      </c>
      <c r="I5" s="78">
        <f ca="1"/>
        <v>45938</v>
      </c>
      <c r="J5" s="1">
        <f ca="1"/>
        <v>80.650000000000006</v>
      </c>
      <c r="K5" s="54">
        <f ca="1"/>
        <v>45938</v>
      </c>
      <c r="L5" s="1">
        <f ca="1"/>
        <v>99.6015625</v>
      </c>
      <c r="M5" s="54">
        <f ca="1"/>
        <v>45938</v>
      </c>
      <c r="N5" s="1">
        <f ca="1"/>
        <v>111.26</v>
      </c>
      <c r="O5" s="78">
        <f ca="1"/>
        <v>45938</v>
      </c>
      <c r="P5" s="55">
        <f ca="1"/>
        <v>99.6015625</v>
      </c>
      <c r="Q5" s="78">
        <f ca="1"/>
        <v>45938</v>
      </c>
      <c r="R5" s="55">
        <f ca="1"/>
        <v>101.046875</v>
      </c>
      <c r="S5" s="54">
        <f ca="1"/>
        <v>45938</v>
      </c>
      <c r="T5" s="55">
        <f ca="1"/>
        <v>100.6484375</v>
      </c>
      <c r="V5" s="78">
        <f ca="1"/>
        <v>45845</v>
      </c>
      <c r="W5" s="55">
        <f ca="1"/>
        <v>80.099999999999994</v>
      </c>
      <c r="X5" s="78">
        <f ca="1"/>
        <v>45898</v>
      </c>
      <c r="Y5" s="55">
        <f ca="1"/>
        <v>99.67578125</v>
      </c>
      <c r="Z5" s="78">
        <f ca="1"/>
        <v>45845</v>
      </c>
      <c r="AA5" s="55">
        <f ca="1"/>
        <v>108.41</v>
      </c>
      <c r="AB5" s="78">
        <f ca="1"/>
        <v>45898</v>
      </c>
      <c r="AC5" s="55">
        <f ca="1"/>
        <v>99.67578125</v>
      </c>
      <c r="AD5" s="78">
        <f ca="1"/>
        <v>45877</v>
      </c>
      <c r="AE5" s="55">
        <f ca="1"/>
        <v>99.7265625</v>
      </c>
      <c r="AF5" s="78">
        <f ca="1"/>
        <v>45880</v>
      </c>
      <c r="AG5" s="55">
        <f ca="1"/>
        <v>98.375</v>
      </c>
    </row>
    <row r="6" spans="1:33" x14ac:dyDescent="0.3">
      <c r="A6" s="15" t="s">
        <v>10</v>
      </c>
      <c r="B6" s="71">
        <v>0</v>
      </c>
      <c r="C6" s="77">
        <f>(3+5/8)*0.01</f>
        <v>3.6249999999999998E-2</v>
      </c>
      <c r="D6" s="77">
        <v>0</v>
      </c>
      <c r="E6" s="77">
        <f>(3+5/8)*0.01</f>
        <v>3.6249999999999998E-2</v>
      </c>
      <c r="F6" s="77">
        <v>4.2500000000000003E-2</v>
      </c>
      <c r="G6" s="10">
        <v>4.7500000000000001E-2</v>
      </c>
      <c r="I6" s="78">
        <f ca="1"/>
        <v>45939</v>
      </c>
      <c r="J6" s="1">
        <f ca="1"/>
        <v>80.42</v>
      </c>
      <c r="K6" s="54">
        <f ca="1"/>
        <v>45939</v>
      </c>
      <c r="L6" s="1">
        <f ca="1"/>
        <v>99.50390625</v>
      </c>
      <c r="M6" s="54">
        <f ca="1"/>
        <v>45939</v>
      </c>
      <c r="N6" s="1">
        <f ca="1"/>
        <v>111.04</v>
      </c>
      <c r="O6" s="78">
        <f ca="1"/>
        <v>45939</v>
      </c>
      <c r="P6" s="55">
        <f ca="1"/>
        <v>99.50390625</v>
      </c>
      <c r="Q6" s="78">
        <f ca="1"/>
        <v>45939</v>
      </c>
      <c r="R6" s="55">
        <f ca="1"/>
        <v>100.8828125</v>
      </c>
      <c r="S6" s="54">
        <f ca="1"/>
        <v>45939</v>
      </c>
      <c r="T6" s="55">
        <f ca="1"/>
        <v>100.4375</v>
      </c>
      <c r="V6" s="78">
        <f ca="1"/>
        <v>45846</v>
      </c>
      <c r="W6" s="55">
        <f ca="1"/>
        <v>79.989999999999995</v>
      </c>
      <c r="X6" s="78">
        <f ca="1"/>
        <v>45901</v>
      </c>
      <c r="Y6" s="55">
        <f ca="1"/>
        <v>99.67578125</v>
      </c>
      <c r="Z6" s="78">
        <f ca="1"/>
        <v>45846</v>
      </c>
      <c r="AA6" s="55">
        <f ca="1"/>
        <v>108.1</v>
      </c>
      <c r="AB6" s="78">
        <f ca="1"/>
        <v>45901</v>
      </c>
      <c r="AC6" s="55">
        <f ca="1"/>
        <v>99.67578125</v>
      </c>
      <c r="AD6" s="78">
        <f ca="1"/>
        <v>45880</v>
      </c>
      <c r="AE6" s="55">
        <f ca="1"/>
        <v>99.703125</v>
      </c>
      <c r="AF6" s="78">
        <f ca="1"/>
        <v>45881</v>
      </c>
      <c r="AG6" s="55">
        <f ca="1"/>
        <v>97.96875</v>
      </c>
    </row>
    <row r="7" spans="1:33" ht="15" thickBot="1" x14ac:dyDescent="0.35">
      <c r="A7" s="15" t="s">
        <v>12</v>
      </c>
      <c r="B7" s="71">
        <v>4.2299999999999997E-2</v>
      </c>
      <c r="C7" s="77">
        <v>4.2299999999999997E-2</v>
      </c>
      <c r="D7" s="77">
        <v>4.2299999999999997E-2</v>
      </c>
      <c r="E7" s="77">
        <v>4.2299999999999997E-2</v>
      </c>
      <c r="F7" s="77">
        <v>4.2299999999999997E-2</v>
      </c>
      <c r="G7" s="10">
        <v>4.2299999999999997E-2</v>
      </c>
      <c r="I7" s="54">
        <f ca="1"/>
        <v>45940</v>
      </c>
      <c r="J7" s="1">
        <f ca="1"/>
        <v>80.34</v>
      </c>
      <c r="K7" s="54">
        <f ca="1"/>
        <v>45940</v>
      </c>
      <c r="L7" s="1">
        <f ca="1"/>
        <v>99.625</v>
      </c>
      <c r="M7" s="54">
        <f ca="1"/>
        <v>45940</v>
      </c>
      <c r="N7" s="1">
        <f ca="1"/>
        <v>111.315</v>
      </c>
      <c r="O7" s="54">
        <f ca="1"/>
        <v>45940</v>
      </c>
      <c r="P7" s="1">
        <f ca="1"/>
        <v>99.625</v>
      </c>
      <c r="Q7" s="54">
        <f ca="1"/>
        <v>45940</v>
      </c>
      <c r="R7" s="1">
        <f ca="1"/>
        <v>101.1640625</v>
      </c>
      <c r="S7" s="54">
        <f ca="1"/>
        <v>45940</v>
      </c>
      <c r="T7" s="1">
        <f ca="1"/>
        <v>101.1484375</v>
      </c>
      <c r="V7" s="78">
        <f ca="1"/>
        <v>45847</v>
      </c>
      <c r="W7" s="55">
        <f ca="1"/>
        <v>80.209999999999994</v>
      </c>
      <c r="X7" s="78">
        <f ca="1"/>
        <v>45902</v>
      </c>
      <c r="Y7" s="55">
        <f ca="1"/>
        <v>99.55859375</v>
      </c>
      <c r="Z7" s="78">
        <f ca="1"/>
        <v>45847</v>
      </c>
      <c r="AA7" s="55">
        <f ca="1"/>
        <v>108.72</v>
      </c>
      <c r="AB7" s="78">
        <f ca="1"/>
        <v>45902</v>
      </c>
      <c r="AC7" s="55">
        <f ca="1"/>
        <v>99.55859375</v>
      </c>
      <c r="AD7" s="78">
        <f ca="1"/>
        <v>45881</v>
      </c>
      <c r="AE7" s="55">
        <f ca="1"/>
        <v>99.671875</v>
      </c>
      <c r="AF7" s="78">
        <f ca="1"/>
        <v>45882</v>
      </c>
      <c r="AG7" s="55">
        <f ca="1"/>
        <v>98.796875</v>
      </c>
    </row>
    <row r="8" spans="1:33" ht="15" thickBot="1" x14ac:dyDescent="0.35">
      <c r="A8" s="15" t="s">
        <v>14</v>
      </c>
      <c r="B8" s="4" t="s">
        <v>24</v>
      </c>
      <c r="C8" s="1" t="s">
        <v>24</v>
      </c>
      <c r="D8" s="1" t="s">
        <v>24</v>
      </c>
      <c r="E8" s="1" t="s">
        <v>24</v>
      </c>
      <c r="F8" s="1" t="s">
        <v>24</v>
      </c>
      <c r="G8" s="5" t="s">
        <v>24</v>
      </c>
      <c r="I8" s="97" t="s">
        <v>81</v>
      </c>
      <c r="J8" s="89" t="s">
        <v>65</v>
      </c>
      <c r="K8" s="90" t="s">
        <v>68</v>
      </c>
      <c r="L8" s="1"/>
      <c r="M8" s="98" t="s">
        <v>80</v>
      </c>
      <c r="N8" s="76" t="s">
        <v>65</v>
      </c>
      <c r="O8" s="94" t="s">
        <v>68</v>
      </c>
      <c r="P8" s="1"/>
      <c r="Q8" s="99" t="s">
        <v>82</v>
      </c>
      <c r="R8" s="96">
        <f>J9*N9-K9*O9</f>
        <v>34276.718721329118</v>
      </c>
      <c r="S8" s="54"/>
      <c r="T8" s="1"/>
      <c r="V8" s="78">
        <f ca="1"/>
        <v>45848</v>
      </c>
      <c r="W8" s="55">
        <f ca="1"/>
        <v>80.13</v>
      </c>
      <c r="X8" s="78">
        <f ca="1"/>
        <v>45903</v>
      </c>
      <c r="Y8" s="55">
        <f ca="1"/>
        <v>99.69140625</v>
      </c>
      <c r="Z8" s="78">
        <f ca="1"/>
        <v>45848</v>
      </c>
      <c r="AA8" s="55">
        <f ca="1"/>
        <v>108.74</v>
      </c>
      <c r="AB8" s="78">
        <f ca="1"/>
        <v>45903</v>
      </c>
      <c r="AC8" s="55">
        <f ca="1"/>
        <v>99.69140625</v>
      </c>
      <c r="AD8" s="78">
        <f ca="1"/>
        <v>45882</v>
      </c>
      <c r="AE8" s="55">
        <f ca="1"/>
        <v>100.125</v>
      </c>
      <c r="AF8" s="78">
        <f ca="1"/>
        <v>45883</v>
      </c>
      <c r="AG8" s="55">
        <f ca="1"/>
        <v>98.0625</v>
      </c>
    </row>
    <row r="9" spans="1:33" ht="15" thickBot="1" x14ac:dyDescent="0.35">
      <c r="A9" s="15" t="s">
        <v>15</v>
      </c>
      <c r="B9" s="4" t="s">
        <v>24</v>
      </c>
      <c r="C9" s="1" t="s">
        <v>24</v>
      </c>
      <c r="D9" s="1"/>
      <c r="E9" s="1"/>
      <c r="F9" s="1"/>
      <c r="G9" s="5" t="s">
        <v>24</v>
      </c>
      <c r="I9" s="91"/>
      <c r="J9" s="92">
        <f>B5/B14</f>
        <v>431220.35360068991</v>
      </c>
      <c r="K9" s="93">
        <f>D5/H14</f>
        <v>320241.96059244761</v>
      </c>
      <c r="L9" s="1"/>
      <c r="M9" s="82"/>
      <c r="N9" s="21">
        <v>0.38100000000000001</v>
      </c>
      <c r="O9" s="95">
        <v>0.40600000000000003</v>
      </c>
      <c r="P9" s="1"/>
      <c r="Q9" s="54"/>
      <c r="R9" s="1"/>
      <c r="S9" s="54"/>
      <c r="T9" s="1"/>
      <c r="V9" s="78">
        <f ca="1"/>
        <v>45849</v>
      </c>
      <c r="W9" s="55">
        <f ca="1"/>
        <v>80.03</v>
      </c>
      <c r="X9" s="78">
        <f ca="1"/>
        <v>45904</v>
      </c>
      <c r="Y9" s="55">
        <f ca="1"/>
        <v>99.90234375</v>
      </c>
      <c r="Z9" s="78">
        <f ca="1"/>
        <v>45849</v>
      </c>
      <c r="AA9" s="55">
        <f ca="1"/>
        <v>108.08</v>
      </c>
      <c r="AB9" s="78">
        <f ca="1"/>
        <v>45904</v>
      </c>
      <c r="AC9" s="55">
        <f ca="1"/>
        <v>99.90234375</v>
      </c>
      <c r="AD9" s="78">
        <f ca="1"/>
        <v>45883</v>
      </c>
      <c r="AE9" s="55">
        <f ca="1"/>
        <v>99.7109375</v>
      </c>
      <c r="AF9" s="78">
        <f ca="1"/>
        <v>45884</v>
      </c>
      <c r="AG9" s="55">
        <f ca="1"/>
        <v>97.3515625</v>
      </c>
    </row>
    <row r="10" spans="1:33" ht="15" thickBot="1" x14ac:dyDescent="0.35">
      <c r="A10" s="16" t="s">
        <v>29</v>
      </c>
      <c r="B10" s="11" cm="1">
        <f t="array" ref="B10">_xll.BDP(B4,"px_last")</f>
        <v>80.34</v>
      </c>
      <c r="C10" s="21" cm="1">
        <f t="array" ref="C10">_xll.BDP(C4,"px_last")</f>
        <v>99.6328125</v>
      </c>
      <c r="D10" s="21" cm="1">
        <f t="array" ref="D10">_xll.BDP(D4,"px_last")</f>
        <v>111.315</v>
      </c>
      <c r="E10" s="21" cm="1">
        <f t="array" ref="E10">_xll.BDP(E4,"px_last")</f>
        <v>99.6328125</v>
      </c>
      <c r="F10" s="21" cm="1">
        <f t="array" ref="F10">_xll.BDP(F4,"px_last")</f>
        <v>101.171875</v>
      </c>
      <c r="G10" s="22" cm="1">
        <f t="array" ref="G10">_xll.BDP(G4,"px_last")</f>
        <v>101.15625</v>
      </c>
      <c r="H10" s="1"/>
      <c r="I10" s="54"/>
      <c r="J10" s="1"/>
      <c r="K10" s="54"/>
      <c r="L10" s="1"/>
      <c r="M10" s="54"/>
      <c r="N10" s="1"/>
      <c r="O10" s="54"/>
      <c r="P10" s="1"/>
      <c r="Q10" s="54"/>
      <c r="R10" s="1"/>
      <c r="S10" s="54"/>
      <c r="T10" s="1"/>
      <c r="V10" s="78">
        <f ca="1"/>
        <v>45852</v>
      </c>
      <c r="W10" s="55">
        <f ca="1"/>
        <v>80.09</v>
      </c>
      <c r="X10" s="78">
        <f ca="1"/>
        <v>45905</v>
      </c>
      <c r="Y10" s="55">
        <f ca="1"/>
        <v>100.19140625</v>
      </c>
      <c r="Z10" s="78">
        <f ca="1"/>
        <v>45852</v>
      </c>
      <c r="AA10" s="55">
        <f ca="1"/>
        <v>108.05</v>
      </c>
      <c r="AB10" s="78">
        <f ca="1"/>
        <v>45905</v>
      </c>
      <c r="AC10" s="55">
        <f ca="1"/>
        <v>100.19140625</v>
      </c>
      <c r="AD10" s="78">
        <f ca="1"/>
        <v>45884</v>
      </c>
      <c r="AE10" s="55">
        <f ca="1"/>
        <v>99.4453125</v>
      </c>
      <c r="AF10" s="78">
        <f ca="1"/>
        <v>45887</v>
      </c>
      <c r="AG10" s="55">
        <f ca="1"/>
        <v>97.125</v>
      </c>
    </row>
    <row r="11" spans="1:33" ht="15" thickBot="1" x14ac:dyDescent="0.35">
      <c r="C11" s="1"/>
      <c r="D11" s="1"/>
      <c r="E11" s="1"/>
      <c r="F11" s="1"/>
      <c r="G11" s="1"/>
      <c r="H11" s="1"/>
      <c r="I11" s="54"/>
      <c r="J11" s="1"/>
      <c r="K11" s="54"/>
      <c r="L11" s="1"/>
      <c r="M11" s="54"/>
      <c r="N11" s="1"/>
      <c r="O11" s="54"/>
      <c r="P11" s="1"/>
      <c r="Q11" s="54"/>
      <c r="R11" s="1"/>
      <c r="S11" s="54"/>
      <c r="T11" s="1"/>
      <c r="V11" s="78">
        <f ca="1"/>
        <v>45853</v>
      </c>
      <c r="W11" s="55">
        <f ca="1"/>
        <v>79.849999999999994</v>
      </c>
      <c r="X11" s="78">
        <f ca="1"/>
        <v>45908</v>
      </c>
      <c r="Y11" s="55">
        <f ca="1"/>
        <v>100.28515625</v>
      </c>
      <c r="Z11" s="78">
        <f ca="1"/>
        <v>45853</v>
      </c>
      <c r="AA11" s="55">
        <f ca="1"/>
        <v>107.66</v>
      </c>
      <c r="AB11" s="78">
        <f ca="1"/>
        <v>45908</v>
      </c>
      <c r="AC11" s="55">
        <f ca="1"/>
        <v>100.28515625</v>
      </c>
      <c r="AD11" s="78">
        <f ca="1"/>
        <v>45887</v>
      </c>
      <c r="AE11" s="55">
        <f ca="1"/>
        <v>99.3203125</v>
      </c>
      <c r="AF11" s="78">
        <f ca="1"/>
        <v>45888</v>
      </c>
      <c r="AG11" s="55">
        <f ca="1"/>
        <v>97.515625</v>
      </c>
    </row>
    <row r="12" spans="1:33" ht="15" thickBot="1" x14ac:dyDescent="0.35">
      <c r="A12" s="40" t="s">
        <v>23</v>
      </c>
      <c r="B12" s="113" t="s">
        <v>0</v>
      </c>
      <c r="C12" s="114"/>
      <c r="D12" s="114"/>
      <c r="E12" s="119" t="s">
        <v>1</v>
      </c>
      <c r="F12" s="120"/>
      <c r="G12" s="121"/>
      <c r="H12" s="116" t="s">
        <v>1</v>
      </c>
      <c r="I12" s="127"/>
      <c r="J12" s="118"/>
      <c r="K12" s="128" t="s">
        <v>0</v>
      </c>
      <c r="L12" s="129"/>
      <c r="M12" s="130"/>
      <c r="N12" s="116" t="s">
        <v>0</v>
      </c>
      <c r="O12" s="127"/>
      <c r="P12" s="118"/>
      <c r="Q12" s="125" t="s">
        <v>0</v>
      </c>
      <c r="R12" s="123"/>
      <c r="S12" s="126"/>
      <c r="T12" s="40" t="s">
        <v>16</v>
      </c>
      <c r="V12" s="78">
        <f ca="1"/>
        <v>45854</v>
      </c>
      <c r="W12" s="55">
        <f ca="1"/>
        <v>80.06</v>
      </c>
      <c r="X12" s="78">
        <f ca="1"/>
        <v>45909</v>
      </c>
      <c r="Y12" s="55">
        <f ca="1"/>
        <v>100.03515625</v>
      </c>
      <c r="Z12" s="78">
        <f ca="1"/>
        <v>45854</v>
      </c>
      <c r="AA12" s="55">
        <f ca="1"/>
        <v>107.83</v>
      </c>
      <c r="AB12" s="78">
        <f ca="1"/>
        <v>45909</v>
      </c>
      <c r="AC12" s="55">
        <f ca="1"/>
        <v>100.03515625</v>
      </c>
      <c r="AD12" s="78">
        <f ca="1"/>
        <v>45888</v>
      </c>
      <c r="AE12" s="55">
        <f ca="1"/>
        <v>99.5390625</v>
      </c>
      <c r="AF12" s="78">
        <f ca="1"/>
        <v>45889</v>
      </c>
      <c r="AG12" s="55">
        <f ca="1"/>
        <v>97.71875</v>
      </c>
    </row>
    <row r="13" spans="1:33" ht="15" thickBot="1" x14ac:dyDescent="0.35">
      <c r="A13" s="16"/>
      <c r="B13" s="11" t="s">
        <v>17</v>
      </c>
      <c r="C13" s="21" t="s">
        <v>21</v>
      </c>
      <c r="D13" s="21" t="s">
        <v>20</v>
      </c>
      <c r="E13" s="11" t="s">
        <v>17</v>
      </c>
      <c r="F13" s="21" t="s">
        <v>21</v>
      </c>
      <c r="G13" s="22" t="s">
        <v>20</v>
      </c>
      <c r="H13" s="11" t="s">
        <v>17</v>
      </c>
      <c r="I13" s="81" t="s">
        <v>21</v>
      </c>
      <c r="J13" s="22" t="s">
        <v>20</v>
      </c>
      <c r="K13" s="82" t="s">
        <v>17</v>
      </c>
      <c r="L13" s="21" t="s">
        <v>21</v>
      </c>
      <c r="M13" s="83" t="s">
        <v>20</v>
      </c>
      <c r="N13" s="11" t="s">
        <v>17</v>
      </c>
      <c r="O13" s="81" t="s">
        <v>21</v>
      </c>
      <c r="P13" s="22" t="s">
        <v>20</v>
      </c>
      <c r="Q13" s="82" t="s">
        <v>17</v>
      </c>
      <c r="R13" s="21" t="s">
        <v>21</v>
      </c>
      <c r="S13" s="83" t="s">
        <v>20</v>
      </c>
      <c r="T13" s="102"/>
      <c r="V13" s="78">
        <f ca="1"/>
        <v>45855</v>
      </c>
      <c r="W13" s="55">
        <f ca="1"/>
        <v>80.14</v>
      </c>
      <c r="X13" s="78">
        <f ca="1"/>
        <v>45910</v>
      </c>
      <c r="Y13" s="55">
        <f ca="1"/>
        <v>100.125</v>
      </c>
      <c r="Z13" s="78">
        <f ca="1"/>
        <v>45855</v>
      </c>
      <c r="AA13" s="55">
        <f ca="1"/>
        <v>108.09</v>
      </c>
      <c r="AB13" s="78">
        <f ca="1"/>
        <v>45910</v>
      </c>
      <c r="AC13" s="55">
        <f ca="1"/>
        <v>100.125</v>
      </c>
      <c r="AD13" s="78">
        <f ca="1"/>
        <v>45889</v>
      </c>
      <c r="AE13" s="55">
        <f ca="1"/>
        <v>99.6640625</v>
      </c>
      <c r="AF13" s="78">
        <f ca="1"/>
        <v>45890</v>
      </c>
      <c r="AG13" s="55">
        <f ca="1"/>
        <v>97.375</v>
      </c>
    </row>
    <row r="14" spans="1:33" x14ac:dyDescent="0.3">
      <c r="A14" s="37">
        <v>45915</v>
      </c>
      <c r="B14" s="46">
        <v>81.165000000000006</v>
      </c>
      <c r="C14" s="47"/>
      <c r="D14" s="47"/>
      <c r="E14" s="46">
        <f>100+3/32+3/4*1/32</f>
        <v>100.1171875</v>
      </c>
      <c r="F14" s="47"/>
      <c r="G14" s="48"/>
      <c r="H14" s="46">
        <v>112.41500000000001</v>
      </c>
      <c r="I14" s="47"/>
      <c r="J14" s="48"/>
      <c r="K14" s="46">
        <f>100+3/32+3/4*1/32</f>
        <v>100.1171875</v>
      </c>
      <c r="L14" s="47"/>
      <c r="M14" s="48"/>
      <c r="N14" s="46">
        <f>101+24/32+3/4*1/32</f>
        <v>101.7734375</v>
      </c>
      <c r="O14" s="47"/>
      <c r="P14" s="48"/>
      <c r="Q14" s="46">
        <f>101+20/32+3/4*1/32</f>
        <v>101.6484375</v>
      </c>
      <c r="R14" s="47"/>
      <c r="S14" s="48"/>
      <c r="T14" s="85"/>
      <c r="V14" s="78">
        <f ca="1"/>
        <v>45856</v>
      </c>
      <c r="W14" s="55">
        <f ca="1"/>
        <v>80.25</v>
      </c>
      <c r="X14" s="78">
        <f ca="1"/>
        <v>45911</v>
      </c>
      <c r="Y14" s="55">
        <f ca="1"/>
        <v>100.12890625</v>
      </c>
      <c r="Z14" s="78">
        <f ca="1"/>
        <v>45856</v>
      </c>
      <c r="AA14" s="55">
        <f ca="1"/>
        <v>108.29</v>
      </c>
      <c r="AB14" s="78">
        <f ca="1"/>
        <v>45911</v>
      </c>
      <c r="AC14" s="55">
        <f ca="1"/>
        <v>100.12890625</v>
      </c>
      <c r="AD14" s="78">
        <f ca="1"/>
        <v>45890</v>
      </c>
      <c r="AE14" s="55">
        <f ca="1"/>
        <v>99.3671875</v>
      </c>
      <c r="AF14" s="78">
        <f ca="1"/>
        <v>45891</v>
      </c>
      <c r="AG14" s="55">
        <f ca="1"/>
        <v>98.015625</v>
      </c>
    </row>
    <row r="15" spans="1:33" x14ac:dyDescent="0.3">
      <c r="A15" s="37">
        <v>45916</v>
      </c>
      <c r="B15" s="46">
        <v>81.13</v>
      </c>
      <c r="C15" s="47">
        <f>(B15/$B$14-1)*$B$5</f>
        <v>-15092.712376026941</v>
      </c>
      <c r="D15" s="47">
        <f>-1*(A15-$A$14)/360*$B$7*$B$5</f>
        <v>-4112.5</v>
      </c>
      <c r="E15" s="46">
        <v>100.17578125</v>
      </c>
      <c r="F15" s="47">
        <f>(E15-$E$14)/100*$C$5</f>
        <v>11425.78125</v>
      </c>
      <c r="G15" s="48">
        <f>(A15-$A$14)/360*$C$6*$C$5-(A15-$A$14)/360*$C$7*$C$5*$E$14/100</f>
        <v>-330.39339192708326</v>
      </c>
      <c r="H15" s="46">
        <v>112.26</v>
      </c>
      <c r="I15" s="47">
        <f>(H15/$H$14-1)*$D$5</f>
        <v>-49637.503891829307</v>
      </c>
      <c r="J15" s="48">
        <f>-1*(A15-$A$14)/360*$D$7*$D$5</f>
        <v>-4230</v>
      </c>
      <c r="K15" s="46">
        <v>100.17578125</v>
      </c>
      <c r="L15" s="47">
        <f>(K15-$K$14)/100*$E$5</f>
        <v>9960.9375</v>
      </c>
      <c r="M15" s="48">
        <f>(A15-$A$14)/360*$E$6*$E$5-(A15-$A$14)/360*$E$7*$E$5*$N$14/100</f>
        <v>-321.11885850694443</v>
      </c>
      <c r="N15" s="46">
        <v>101.7890625</v>
      </c>
      <c r="O15" s="47">
        <f>(N15-$N$14)/100*$F$5</f>
        <v>1171.875</v>
      </c>
      <c r="P15" s="48">
        <f>(A15-$A$14)/360*$F$6*$F$5-(A15-$A$14)/360*$F$7*$F$5*$N$14/100</f>
        <v>-11.461751302083258</v>
      </c>
      <c r="Q15" s="46">
        <v>101.6171875</v>
      </c>
      <c r="R15" s="47">
        <f>(Q15-$Q$14)/100*$G$5</f>
        <v>-3281.25</v>
      </c>
      <c r="S15" s="48">
        <f>(A15-$A$14)/360*$G$6*$G$5-(A15-$A$14)/360*$G$7*$G$5*$Q$14/100</f>
        <v>131.32906901041679</v>
      </c>
      <c r="T15" s="85">
        <f>C15+D15-F15-G15-I15-J15+L15+M15+O15+P15+R15+S15</f>
        <v>31217.214616930833</v>
      </c>
      <c r="V15" s="78">
        <f ca="1"/>
        <v>45859</v>
      </c>
      <c r="W15" s="55">
        <f ca="1"/>
        <v>80.36</v>
      </c>
      <c r="X15" s="78">
        <f ca="1"/>
        <v>45912</v>
      </c>
      <c r="Y15" s="55">
        <f ca="1"/>
        <v>99.95703125</v>
      </c>
      <c r="Z15" s="78">
        <f ca="1"/>
        <v>45859</v>
      </c>
      <c r="AA15" s="55">
        <f ca="1"/>
        <v>108.71</v>
      </c>
      <c r="AB15" s="78">
        <f ca="1"/>
        <v>45912</v>
      </c>
      <c r="AC15" s="55">
        <f ca="1"/>
        <v>99.95703125</v>
      </c>
      <c r="AD15" s="78">
        <f ca="1"/>
        <v>45891</v>
      </c>
      <c r="AE15" s="55">
        <f ca="1"/>
        <v>99.9609375</v>
      </c>
      <c r="AF15" s="78">
        <f ca="1"/>
        <v>45894</v>
      </c>
      <c r="AG15" s="55">
        <f ca="1"/>
        <v>97.8046875</v>
      </c>
    </row>
    <row r="16" spans="1:33" x14ac:dyDescent="0.3">
      <c r="A16" s="37">
        <v>45917</v>
      </c>
      <c r="B16" s="46">
        <v>81.05</v>
      </c>
      <c r="C16" s="47">
        <f t="shared" ref="C16:C31" si="0">(B16/$B$14-1)*$B$5</f>
        <v>-49590.340664082411</v>
      </c>
      <c r="D16" s="47">
        <f t="shared" ref="D16:D31" si="1">-1*(A16-$A$14)/360*$B$7*$B$5</f>
        <v>-8225</v>
      </c>
      <c r="E16" s="46">
        <v>99.86328125</v>
      </c>
      <c r="F16" s="47">
        <f t="shared" ref="F16:F31" si="2">(E16-$E$14)/100*$C$5</f>
        <v>-49511.71875</v>
      </c>
      <c r="G16" s="48">
        <f t="shared" ref="G16:G31" si="3">(A16-$A$14)/360*$C$6*$C$5-(A16-$A$14)/360*$C$7*$C$5*$E$14/100</f>
        <v>-660.78678385416652</v>
      </c>
      <c r="H16" s="46">
        <v>112.06</v>
      </c>
      <c r="I16" s="47">
        <f t="shared" ref="I16:I31" si="4">(H16/$H$14-1)*$D$5</f>
        <v>-113685.8960103213</v>
      </c>
      <c r="J16" s="48">
        <f t="shared" ref="J16:J31" si="5">-1*(A16-$A$14)/360*$D$7*$D$5</f>
        <v>-8460</v>
      </c>
      <c r="K16" s="46">
        <v>99.86328125</v>
      </c>
      <c r="L16" s="47">
        <f t="shared" ref="L16:L31" si="6">(K16-$K$14)/100*$E$5</f>
        <v>-43164.0625</v>
      </c>
      <c r="M16" s="48">
        <f t="shared" ref="M16:M31" si="7">(A16-$A$14)/360*$E$6*$E$5-(A16-$A$14)/360*$E$7*$E$5*$N$14/100</f>
        <v>-642.23771701388887</v>
      </c>
      <c r="N16" s="46">
        <v>101.296875</v>
      </c>
      <c r="O16" s="47">
        <f t="shared" ref="O16:O31" si="8">(N16-$N$14)/100*$F$5</f>
        <v>-35742.1875</v>
      </c>
      <c r="P16" s="48">
        <f t="shared" ref="P16:P31" si="9">(A16-$A$14)/360*$F$6*$F$5-(A16-$A$14)/360*$F$7*$F$5*$N$14/100</f>
        <v>-22.923502604166515</v>
      </c>
      <c r="Q16" s="46">
        <v>100.9296875</v>
      </c>
      <c r="R16" s="47">
        <f t="shared" ref="R16:R31" si="10">(Q16-$Q$14)/100*$G$5</f>
        <v>-75468.75</v>
      </c>
      <c r="S16" s="48">
        <f t="shared" ref="S16:S31" si="11">(A16-$A$14)/360*$G$6*$G$5-(A16-$A$14)/360*$G$7*$G$5*$Q$14/100</f>
        <v>262.65813802083358</v>
      </c>
      <c r="T16" s="85">
        <f t="shared" ref="T16:T25" si="12">C16+D16-F16-G16-I16-J16+L16+M16+O16+P16+R16+S16</f>
        <v>-40274.442201504164</v>
      </c>
      <c r="V16" s="78">
        <f ca="1"/>
        <v>45860</v>
      </c>
      <c r="W16" s="55">
        <f ca="1"/>
        <v>80.5</v>
      </c>
      <c r="X16" s="78">
        <f ca="1"/>
        <v>45915</v>
      </c>
      <c r="Y16" s="55">
        <f ca="1"/>
        <v>100.08203125</v>
      </c>
      <c r="Z16" s="78">
        <f ca="1"/>
        <v>45860</v>
      </c>
      <c r="AA16" s="55">
        <f ca="1"/>
        <v>108.97</v>
      </c>
      <c r="AB16" s="78">
        <f ca="1"/>
        <v>45915</v>
      </c>
      <c r="AC16" s="55">
        <f ca="1"/>
        <v>100.08203125</v>
      </c>
      <c r="AD16" s="78">
        <f ca="1"/>
        <v>45894</v>
      </c>
      <c r="AE16" s="55">
        <f ca="1"/>
        <v>99.7890625</v>
      </c>
      <c r="AF16" s="78">
        <f ca="1"/>
        <v>45895</v>
      </c>
      <c r="AG16" s="55">
        <f ca="1"/>
        <v>97.34375</v>
      </c>
    </row>
    <row r="17" spans="1:33" x14ac:dyDescent="0.3">
      <c r="A17" s="37">
        <v>45918</v>
      </c>
      <c r="B17" s="46">
        <v>81.23</v>
      </c>
      <c r="C17" s="47">
        <f t="shared" si="0"/>
        <v>28029.322984043371</v>
      </c>
      <c r="D17" s="47">
        <f t="shared" si="1"/>
        <v>-12337.499999999998</v>
      </c>
      <c r="E17" s="46">
        <v>99.82421875</v>
      </c>
      <c r="F17" s="47">
        <f t="shared" si="2"/>
        <v>-57128.90625</v>
      </c>
      <c r="G17" s="48">
        <f t="shared" si="3"/>
        <v>-991.18017578125</v>
      </c>
      <c r="H17" s="46">
        <v>111.83</v>
      </c>
      <c r="I17" s="47">
        <f t="shared" si="4"/>
        <v>-187341.54694658311</v>
      </c>
      <c r="J17" s="48">
        <f t="shared" si="5"/>
        <v>-12689.999999999998</v>
      </c>
      <c r="K17" s="46">
        <v>99.82421875</v>
      </c>
      <c r="L17" s="47">
        <f t="shared" si="6"/>
        <v>-49804.6875</v>
      </c>
      <c r="M17" s="48">
        <f t="shared" si="7"/>
        <v>-963.35657552083285</v>
      </c>
      <c r="N17" s="46">
        <v>101.15625</v>
      </c>
      <c r="O17" s="47">
        <f t="shared" si="8"/>
        <v>-46289.0625</v>
      </c>
      <c r="P17" s="48">
        <f t="shared" si="9"/>
        <v>-34.385253906249545</v>
      </c>
      <c r="Q17" s="46">
        <v>100.390625</v>
      </c>
      <c r="R17" s="47">
        <f t="shared" si="10"/>
        <v>-132070.3125</v>
      </c>
      <c r="S17" s="48">
        <f t="shared" si="11"/>
        <v>393.98720703125036</v>
      </c>
      <c r="T17" s="85">
        <f t="shared" si="12"/>
        <v>45075.639234011898</v>
      </c>
      <c r="V17" s="78">
        <f ca="1"/>
        <v>45861</v>
      </c>
      <c r="W17" s="55">
        <f ca="1"/>
        <v>80.540000000000006</v>
      </c>
      <c r="X17" s="78">
        <f ca="1"/>
        <v>45916</v>
      </c>
      <c r="Y17" s="55">
        <f ca="1"/>
        <v>100.17578125</v>
      </c>
      <c r="Z17" s="78">
        <f ca="1"/>
        <v>45861</v>
      </c>
      <c r="AA17" s="55">
        <f ca="1"/>
        <v>108.8</v>
      </c>
      <c r="AB17" s="78">
        <f ca="1"/>
        <v>45916</v>
      </c>
      <c r="AC17" s="55">
        <f ca="1"/>
        <v>100.17578125</v>
      </c>
      <c r="AD17" s="78">
        <f ca="1"/>
        <v>45895</v>
      </c>
      <c r="AE17" s="55">
        <f ca="1"/>
        <v>99.8984375</v>
      </c>
      <c r="AF17" s="78">
        <f ca="1"/>
        <v>45896</v>
      </c>
      <c r="AG17" s="55">
        <f ca="1"/>
        <v>97.3203125</v>
      </c>
    </row>
    <row r="18" spans="1:33" x14ac:dyDescent="0.3">
      <c r="A18" s="37">
        <v>45919</v>
      </c>
      <c r="B18" s="46">
        <v>81.260000000000005</v>
      </c>
      <c r="C18" s="47">
        <f t="shared" si="0"/>
        <v>40965.933592067573</v>
      </c>
      <c r="D18" s="47">
        <f t="shared" si="1"/>
        <v>-16450</v>
      </c>
      <c r="E18" s="46">
        <v>99.7578125</v>
      </c>
      <c r="F18" s="47">
        <f t="shared" si="2"/>
        <v>-70078.125</v>
      </c>
      <c r="G18" s="48">
        <f t="shared" si="3"/>
        <v>-1321.573567708333</v>
      </c>
      <c r="H18" s="46">
        <v>111.74</v>
      </c>
      <c r="I18" s="47">
        <f t="shared" si="4"/>
        <v>-216163.3233999045</v>
      </c>
      <c r="J18" s="48">
        <f t="shared" si="5"/>
        <v>-16920</v>
      </c>
      <c r="K18" s="46">
        <v>99.7578125</v>
      </c>
      <c r="L18" s="47">
        <f t="shared" si="6"/>
        <v>-61093.75</v>
      </c>
      <c r="M18" s="48">
        <f t="shared" si="7"/>
        <v>-1284.4754340277777</v>
      </c>
      <c r="N18" s="46">
        <v>100.9765625</v>
      </c>
      <c r="O18" s="47">
        <f t="shared" si="8"/>
        <v>-59765.625</v>
      </c>
      <c r="P18" s="48">
        <f t="shared" si="9"/>
        <v>-45.84700520833303</v>
      </c>
      <c r="Q18" s="46">
        <v>100.078125</v>
      </c>
      <c r="R18" s="47">
        <f t="shared" si="10"/>
        <v>-164882.81249999997</v>
      </c>
      <c r="S18" s="48">
        <f t="shared" si="11"/>
        <v>525.31627604166715</v>
      </c>
      <c r="T18" s="85">
        <f t="shared" si="12"/>
        <v>42451.761896485979</v>
      </c>
      <c r="V18" s="78">
        <f ca="1"/>
        <v>45862</v>
      </c>
      <c r="W18" s="55">
        <f ca="1"/>
        <v>80.44</v>
      </c>
      <c r="X18" s="78">
        <f ca="1"/>
        <v>45917</v>
      </c>
      <c r="Y18" s="55">
        <f ca="1"/>
        <v>99.86328125</v>
      </c>
      <c r="Z18" s="78">
        <f ca="1"/>
        <v>45862</v>
      </c>
      <c r="AA18" s="55">
        <f ca="1"/>
        <v>108.64</v>
      </c>
      <c r="AB18" s="78">
        <f ca="1"/>
        <v>45917</v>
      </c>
      <c r="AC18" s="55">
        <f ca="1"/>
        <v>99.86328125</v>
      </c>
      <c r="AD18" s="78">
        <f ca="1"/>
        <v>45896</v>
      </c>
      <c r="AE18" s="55">
        <f ca="1"/>
        <v>100.1171875</v>
      </c>
      <c r="AF18" s="78">
        <f ca="1"/>
        <v>45897</v>
      </c>
      <c r="AG18" s="55">
        <f ca="1"/>
        <v>98.015625</v>
      </c>
    </row>
    <row r="19" spans="1:33" x14ac:dyDescent="0.3">
      <c r="A19" s="37">
        <v>45922</v>
      </c>
      <c r="B19" s="46">
        <v>81.319999999999993</v>
      </c>
      <c r="C19" s="47">
        <f t="shared" si="0"/>
        <v>66839.154808100429</v>
      </c>
      <c r="D19" s="47">
        <f t="shared" si="1"/>
        <v>-28787.5</v>
      </c>
      <c r="E19" s="46">
        <v>99.65234375</v>
      </c>
      <c r="F19" s="47">
        <f t="shared" si="2"/>
        <v>-90644.53125</v>
      </c>
      <c r="G19" s="48">
        <f t="shared" si="3"/>
        <v>-2312.7537434895839</v>
      </c>
      <c r="H19" s="46">
        <v>111.49</v>
      </c>
      <c r="I19" s="47">
        <f t="shared" si="4"/>
        <v>-296223.81354801951</v>
      </c>
      <c r="J19" s="48">
        <f t="shared" si="5"/>
        <v>-29610</v>
      </c>
      <c r="K19" s="46">
        <v>99.65234375</v>
      </c>
      <c r="L19" s="47">
        <f t="shared" si="6"/>
        <v>-79023.4375</v>
      </c>
      <c r="M19" s="48">
        <f t="shared" si="7"/>
        <v>-2247.8320095486106</v>
      </c>
      <c r="N19" s="46">
        <v>100.8203125</v>
      </c>
      <c r="O19" s="47">
        <f t="shared" si="8"/>
        <v>-71484.375</v>
      </c>
      <c r="P19" s="48">
        <f t="shared" si="9"/>
        <v>-80.23225911458303</v>
      </c>
      <c r="Q19" s="46">
        <v>99.78125</v>
      </c>
      <c r="R19" s="47">
        <f t="shared" si="10"/>
        <v>-196054.6875</v>
      </c>
      <c r="S19" s="48">
        <f t="shared" si="11"/>
        <v>919.30348307291752</v>
      </c>
      <c r="T19" s="85">
        <f t="shared" si="12"/>
        <v>108871.49256401924</v>
      </c>
      <c r="V19" s="78">
        <f ca="1"/>
        <v>45863</v>
      </c>
      <c r="W19" s="55">
        <f ca="1"/>
        <v>80.489999999999995</v>
      </c>
      <c r="X19" s="78">
        <f ca="1"/>
        <v>45918</v>
      </c>
      <c r="Y19" s="55">
        <f ca="1"/>
        <v>99.82421875</v>
      </c>
      <c r="Z19" s="78">
        <f ca="1"/>
        <v>45863</v>
      </c>
      <c r="AA19" s="55">
        <f ca="1"/>
        <v>108.99</v>
      </c>
      <c r="AB19" s="78">
        <f ca="1"/>
        <v>45918</v>
      </c>
      <c r="AC19" s="55">
        <f ca="1"/>
        <v>99.82421875</v>
      </c>
      <c r="AD19" s="78">
        <f ca="1"/>
        <v>45897</v>
      </c>
      <c r="AE19" s="55">
        <f ca="1"/>
        <v>100.359375</v>
      </c>
      <c r="AF19" s="78">
        <f ca="1"/>
        <v>45898</v>
      </c>
      <c r="AG19" s="55">
        <f ca="1"/>
        <v>97.21875</v>
      </c>
    </row>
    <row r="20" spans="1:33" x14ac:dyDescent="0.3">
      <c r="A20" s="37">
        <v>45923</v>
      </c>
      <c r="B20" s="46">
        <v>81.260000000000005</v>
      </c>
      <c r="C20" s="47">
        <f t="shared" si="0"/>
        <v>40965.933592067573</v>
      </c>
      <c r="D20" s="47">
        <f t="shared" si="1"/>
        <v>-32900</v>
      </c>
      <c r="E20" s="46">
        <v>99.80078125</v>
      </c>
      <c r="F20" s="47">
        <f t="shared" si="2"/>
        <v>-61699.218750000007</v>
      </c>
      <c r="G20" s="48">
        <f t="shared" si="3"/>
        <v>-2643.1471354166661</v>
      </c>
      <c r="H20" s="46">
        <v>111.71</v>
      </c>
      <c r="I20" s="47">
        <f t="shared" si="4"/>
        <v>-225770.58221767831</v>
      </c>
      <c r="J20" s="48">
        <f t="shared" si="5"/>
        <v>-33840</v>
      </c>
      <c r="K20" s="46">
        <v>99.80078125</v>
      </c>
      <c r="L20" s="47">
        <f t="shared" si="6"/>
        <v>-53789.0625</v>
      </c>
      <c r="M20" s="48">
        <f t="shared" si="7"/>
        <v>-2568.9508680555555</v>
      </c>
      <c r="N20" s="46">
        <v>101.1484375</v>
      </c>
      <c r="O20" s="47">
        <f t="shared" si="8"/>
        <v>-46875</v>
      </c>
      <c r="P20" s="48">
        <f t="shared" si="9"/>
        <v>-91.69401041666606</v>
      </c>
      <c r="Q20" s="46">
        <v>100.4765625</v>
      </c>
      <c r="R20" s="47">
        <f t="shared" si="10"/>
        <v>-123046.875</v>
      </c>
      <c r="S20" s="48">
        <f t="shared" si="11"/>
        <v>1050.6325520833343</v>
      </c>
      <c r="T20" s="85">
        <f t="shared" si="12"/>
        <v>106697.93186877367</v>
      </c>
      <c r="V20" s="78">
        <f ca="1"/>
        <v>45866</v>
      </c>
      <c r="W20" s="55">
        <f ca="1"/>
        <v>80.45</v>
      </c>
      <c r="X20" s="78">
        <f ca="1"/>
        <v>45919</v>
      </c>
      <c r="Y20" s="55">
        <f ca="1"/>
        <v>99.7578125</v>
      </c>
      <c r="Z20" s="78">
        <f ca="1"/>
        <v>45866</v>
      </c>
      <c r="AA20" s="55">
        <f ca="1"/>
        <v>108.77</v>
      </c>
      <c r="AB20" s="78">
        <f ca="1"/>
        <v>45919</v>
      </c>
      <c r="AC20" s="55">
        <f ca="1"/>
        <v>99.7578125</v>
      </c>
      <c r="AD20" s="78">
        <f ca="1"/>
        <v>45898</v>
      </c>
      <c r="AE20" s="55">
        <f ca="1"/>
        <v>100.15625</v>
      </c>
      <c r="AF20" s="78">
        <f ca="1"/>
        <v>45901</v>
      </c>
      <c r="AG20" s="55">
        <f ca="1"/>
        <v>97.21875</v>
      </c>
    </row>
    <row r="21" spans="1:33" x14ac:dyDescent="0.3">
      <c r="A21" s="37">
        <v>45924</v>
      </c>
      <c r="B21" s="46">
        <v>81.150000000000006</v>
      </c>
      <c r="C21" s="47">
        <f t="shared" si="0"/>
        <v>-6468.3053040121004</v>
      </c>
      <c r="D21" s="47">
        <f t="shared" si="1"/>
        <v>-37012.5</v>
      </c>
      <c r="E21" s="46">
        <v>99.58203125</v>
      </c>
      <c r="F21" s="47">
        <f t="shared" si="2"/>
        <v>-104355.46875000001</v>
      </c>
      <c r="G21" s="48">
        <f t="shared" si="3"/>
        <v>-2973.54052734375</v>
      </c>
      <c r="H21" s="46">
        <v>111.26</v>
      </c>
      <c r="I21" s="47">
        <f t="shared" si="4"/>
        <v>-369879.46448427736</v>
      </c>
      <c r="J21" s="48">
        <f t="shared" si="5"/>
        <v>-38070</v>
      </c>
      <c r="K21" s="46">
        <v>99.58203125</v>
      </c>
      <c r="L21" s="47">
        <f t="shared" si="6"/>
        <v>-90976.5625</v>
      </c>
      <c r="M21" s="48">
        <f t="shared" si="7"/>
        <v>-2890.0697265625004</v>
      </c>
      <c r="N21" s="46">
        <v>100.8203125</v>
      </c>
      <c r="O21" s="47">
        <f t="shared" si="8"/>
        <v>-71484.375</v>
      </c>
      <c r="P21" s="48">
        <f t="shared" si="9"/>
        <v>-103.15576171875</v>
      </c>
      <c r="Q21" s="46">
        <v>99.9765625</v>
      </c>
      <c r="R21" s="47">
        <f t="shared" si="10"/>
        <v>-175546.875</v>
      </c>
      <c r="S21" s="48">
        <f t="shared" si="11"/>
        <v>1181.9616210937511</v>
      </c>
      <c r="T21" s="85">
        <f t="shared" si="12"/>
        <v>131978.59209042153</v>
      </c>
      <c r="V21" s="78">
        <f ca="1"/>
        <v>45867</v>
      </c>
      <c r="W21" s="55">
        <f ca="1"/>
        <v>80.5</v>
      </c>
      <c r="X21" s="78">
        <f ca="1"/>
        <v>45922</v>
      </c>
      <c r="Y21" s="55">
        <f ca="1"/>
        <v>99.65234375</v>
      </c>
      <c r="Z21" s="78">
        <f ca="1"/>
        <v>45867</v>
      </c>
      <c r="AA21" s="55">
        <f ca="1"/>
        <v>109.49</v>
      </c>
      <c r="AB21" s="78">
        <f ca="1"/>
        <v>45922</v>
      </c>
      <c r="AC21" s="55">
        <f ca="1"/>
        <v>99.65234375</v>
      </c>
      <c r="AD21" s="78">
        <f ca="1"/>
        <v>45901</v>
      </c>
      <c r="AE21" s="55">
        <f ca="1"/>
        <v>100.15625</v>
      </c>
      <c r="AF21" s="78">
        <f ca="1"/>
        <v>45902</v>
      </c>
      <c r="AG21" s="55">
        <f ca="1"/>
        <v>96.703125</v>
      </c>
    </row>
    <row r="22" spans="1:33" x14ac:dyDescent="0.3">
      <c r="A22" s="37">
        <v>45925</v>
      </c>
      <c r="B22" s="46">
        <v>80.92</v>
      </c>
      <c r="C22" s="47">
        <f t="shared" si="0"/>
        <v>-105648.98663216915</v>
      </c>
      <c r="D22" s="47">
        <f t="shared" si="1"/>
        <v>-41124.999999999993</v>
      </c>
      <c r="E22" s="46">
        <v>99.40234375</v>
      </c>
      <c r="F22" s="47">
        <f t="shared" si="2"/>
        <v>-139394.53125</v>
      </c>
      <c r="G22" s="48">
        <f t="shared" si="3"/>
        <v>-3303.9339192708285</v>
      </c>
      <c r="H22" s="46">
        <v>111.06</v>
      </c>
      <c r="I22" s="47">
        <f t="shared" si="4"/>
        <v>-433927.85660276935</v>
      </c>
      <c r="J22" s="48">
        <f t="shared" si="5"/>
        <v>-42299.999999999993</v>
      </c>
      <c r="K22" s="46">
        <v>99.40234375</v>
      </c>
      <c r="L22" s="47">
        <f t="shared" si="6"/>
        <v>-121523.4375</v>
      </c>
      <c r="M22" s="48">
        <f t="shared" si="7"/>
        <v>-3211.1885850694416</v>
      </c>
      <c r="N22" s="46">
        <v>100.6328125</v>
      </c>
      <c r="O22" s="47">
        <f t="shared" si="8"/>
        <v>-85546.875</v>
      </c>
      <c r="P22" s="48">
        <f t="shared" si="9"/>
        <v>-114.61751302083212</v>
      </c>
      <c r="Q22" s="46">
        <v>100.0234375</v>
      </c>
      <c r="R22" s="47">
        <f t="shared" si="10"/>
        <v>-170625</v>
      </c>
      <c r="S22" s="48">
        <f t="shared" si="11"/>
        <v>1313.2906901041697</v>
      </c>
      <c r="T22" s="85">
        <f t="shared" si="12"/>
        <v>92444.507231884942</v>
      </c>
      <c r="V22" s="78">
        <f ca="1"/>
        <v>45868</v>
      </c>
      <c r="W22" s="55">
        <f ca="1"/>
        <v>80.33</v>
      </c>
      <c r="X22" s="78">
        <f ca="1"/>
        <v>45923</v>
      </c>
      <c r="Y22" s="55">
        <f ca="1"/>
        <v>99.80078125</v>
      </c>
      <c r="Z22" s="78">
        <f ca="1"/>
        <v>45868</v>
      </c>
      <c r="AA22" s="55">
        <f ca="1"/>
        <v>109.08</v>
      </c>
      <c r="AB22" s="78">
        <f ca="1"/>
        <v>45923</v>
      </c>
      <c r="AC22" s="55">
        <f ca="1"/>
        <v>99.80078125</v>
      </c>
      <c r="AD22" s="78">
        <f ca="1"/>
        <v>45902</v>
      </c>
      <c r="AE22" s="55">
        <f ca="1"/>
        <v>99.8984375</v>
      </c>
      <c r="AF22" s="78">
        <f ca="1"/>
        <v>45903</v>
      </c>
      <c r="AG22" s="55">
        <f ca="1"/>
        <v>97.6875</v>
      </c>
    </row>
    <row r="23" spans="1:33" x14ac:dyDescent="0.3">
      <c r="A23" s="37">
        <v>45926</v>
      </c>
      <c r="B23" s="46">
        <v>81.08</v>
      </c>
      <c r="C23" s="47">
        <f t="shared" si="0"/>
        <v>-36653.730056062093</v>
      </c>
      <c r="D23" s="47">
        <f t="shared" si="1"/>
        <v>-45237.499999999993</v>
      </c>
      <c r="E23" s="46">
        <v>99.37890625</v>
      </c>
      <c r="F23" s="47">
        <f t="shared" si="2"/>
        <v>-143964.84375</v>
      </c>
      <c r="G23" s="48">
        <f t="shared" si="3"/>
        <v>-3634.3273111979179</v>
      </c>
      <c r="H23" s="46">
        <v>111.21</v>
      </c>
      <c r="I23" s="47">
        <f t="shared" si="4"/>
        <v>-385891.56251390436</v>
      </c>
      <c r="J23" s="48">
        <f t="shared" si="5"/>
        <v>-46529.999999999993</v>
      </c>
      <c r="K23" s="46">
        <v>99.37890625</v>
      </c>
      <c r="L23" s="47">
        <f t="shared" si="6"/>
        <v>-125507.8125</v>
      </c>
      <c r="M23" s="48">
        <f t="shared" si="7"/>
        <v>-3532.3074435763847</v>
      </c>
      <c r="N23" s="46">
        <v>100.5859375</v>
      </c>
      <c r="O23" s="47">
        <f t="shared" si="8"/>
        <v>-89062.5</v>
      </c>
      <c r="P23" s="48">
        <f t="shared" si="9"/>
        <v>-126.07926432291606</v>
      </c>
      <c r="Q23" s="46">
        <v>100</v>
      </c>
      <c r="R23" s="47">
        <f t="shared" si="10"/>
        <v>-173085.9375</v>
      </c>
      <c r="S23" s="48">
        <f t="shared" si="11"/>
        <v>1444.6197591145847</v>
      </c>
      <c r="T23" s="85">
        <f t="shared" si="12"/>
        <v>108259.48657025544</v>
      </c>
      <c r="V23" s="78">
        <f ca="1"/>
        <v>45869</v>
      </c>
      <c r="W23" s="55">
        <f ca="1"/>
        <v>80.38</v>
      </c>
      <c r="X23" s="78">
        <f ca="1"/>
        <v>45924</v>
      </c>
      <c r="Y23" s="55">
        <f ca="1"/>
        <v>99.58203125</v>
      </c>
      <c r="Z23" s="78">
        <f ca="1"/>
        <v>45869</v>
      </c>
      <c r="AA23" s="55">
        <f ca="1"/>
        <v>109.11</v>
      </c>
      <c r="AB23" s="78">
        <f ca="1"/>
        <v>45924</v>
      </c>
      <c r="AC23" s="55">
        <f ca="1"/>
        <v>99.58203125</v>
      </c>
      <c r="AD23" s="78">
        <f ca="1"/>
        <v>45903</v>
      </c>
      <c r="AE23" s="55">
        <f ca="1"/>
        <v>100.2578125</v>
      </c>
      <c r="AF23" s="78">
        <f ca="1"/>
        <v>45904</v>
      </c>
      <c r="AG23" s="55">
        <f ca="1"/>
        <v>98.3671875</v>
      </c>
    </row>
    <row r="24" spans="1:33" x14ac:dyDescent="0.3">
      <c r="A24" s="37">
        <v>45929</v>
      </c>
      <c r="B24" s="46">
        <v>81.22</v>
      </c>
      <c r="C24" s="47">
        <f t="shared" si="0"/>
        <v>23717.119448037894</v>
      </c>
      <c r="D24" s="47">
        <f t="shared" si="1"/>
        <v>-57575</v>
      </c>
      <c r="E24" s="46">
        <v>99.5078125</v>
      </c>
      <c r="F24" s="47">
        <f t="shared" si="2"/>
        <v>-118828.125</v>
      </c>
      <c r="G24" s="48">
        <f t="shared" si="3"/>
        <v>-4625.5074869791679</v>
      </c>
      <c r="H24" s="46">
        <v>111.58</v>
      </c>
      <c r="I24" s="47">
        <f t="shared" si="4"/>
        <v>-267402.03709469811</v>
      </c>
      <c r="J24" s="48">
        <f t="shared" si="5"/>
        <v>-59220</v>
      </c>
      <c r="K24" s="46">
        <v>99.5078125</v>
      </c>
      <c r="L24" s="47">
        <f t="shared" si="6"/>
        <v>-103593.75</v>
      </c>
      <c r="M24" s="48">
        <f t="shared" si="7"/>
        <v>-4495.6640190972212</v>
      </c>
      <c r="N24" s="46">
        <v>100.8828125</v>
      </c>
      <c r="O24" s="47">
        <f t="shared" si="8"/>
        <v>-66796.875</v>
      </c>
      <c r="P24" s="48">
        <f t="shared" si="9"/>
        <v>-160.46451822916606</v>
      </c>
      <c r="Q24" s="46">
        <v>100.71875</v>
      </c>
      <c r="R24" s="47">
        <f t="shared" si="10"/>
        <v>-97617.1875</v>
      </c>
      <c r="S24" s="48">
        <f t="shared" si="11"/>
        <v>1838.606966145835</v>
      </c>
      <c r="T24" s="85">
        <f t="shared" si="12"/>
        <v>145392.45495853462</v>
      </c>
      <c r="V24" s="78">
        <f ca="1"/>
        <v>45870</v>
      </c>
      <c r="W24" s="55">
        <f ca="1"/>
        <v>79.98</v>
      </c>
      <c r="X24" s="78">
        <f ca="1"/>
        <v>45925</v>
      </c>
      <c r="Y24" s="55">
        <f ca="1"/>
        <v>99.40234375</v>
      </c>
      <c r="Z24" s="78">
        <f ca="1"/>
        <v>45870</v>
      </c>
      <c r="AA24" s="55">
        <f ca="1"/>
        <v>109.63</v>
      </c>
      <c r="AB24" s="78">
        <f ca="1"/>
        <v>45925</v>
      </c>
      <c r="AC24" s="55">
        <f ca="1"/>
        <v>99.40234375</v>
      </c>
      <c r="AD24" s="78">
        <f ca="1"/>
        <v>45904</v>
      </c>
      <c r="AE24" s="55">
        <f ca="1"/>
        <v>100.7109375</v>
      </c>
      <c r="AF24" s="78">
        <f ca="1"/>
        <v>45905</v>
      </c>
      <c r="AG24" s="55">
        <f ca="1"/>
        <v>99.8359375</v>
      </c>
    </row>
    <row r="25" spans="1:33" x14ac:dyDescent="0.3">
      <c r="A25" s="37">
        <v>45930</v>
      </c>
      <c r="B25" s="46">
        <v>81.19</v>
      </c>
      <c r="C25" s="47">
        <f t="shared" si="0"/>
        <v>10780.508840013692</v>
      </c>
      <c r="D25" s="47">
        <f t="shared" si="1"/>
        <v>-61687.499999999993</v>
      </c>
      <c r="E25" s="46">
        <v>99.48046875</v>
      </c>
      <c r="F25" s="47">
        <f t="shared" si="2"/>
        <v>-124160.15624999999</v>
      </c>
      <c r="G25" s="48">
        <f t="shared" si="3"/>
        <v>-4955.9008789062464</v>
      </c>
      <c r="H25" s="46">
        <v>111.47</v>
      </c>
      <c r="I25" s="47">
        <f t="shared" si="4"/>
        <v>-302628.65275986475</v>
      </c>
      <c r="J25" s="48">
        <f t="shared" si="5"/>
        <v>-63449.999999999993</v>
      </c>
      <c r="K25" s="46">
        <v>99.48046875</v>
      </c>
      <c r="L25" s="47">
        <f t="shared" si="6"/>
        <v>-108242.1875</v>
      </c>
      <c r="M25" s="48">
        <f t="shared" si="7"/>
        <v>-4816.7828776041679</v>
      </c>
      <c r="N25" s="46">
        <v>100.7890625</v>
      </c>
      <c r="O25" s="47">
        <f t="shared" si="8"/>
        <v>-73828.125</v>
      </c>
      <c r="P25" s="48">
        <f t="shared" si="9"/>
        <v>-171.92626953124636</v>
      </c>
      <c r="Q25" s="46">
        <v>100.28125</v>
      </c>
      <c r="R25" s="47">
        <f t="shared" si="10"/>
        <v>-143554.6875</v>
      </c>
      <c r="S25" s="48">
        <f t="shared" si="11"/>
        <v>1969.93603515625</v>
      </c>
      <c r="T25" s="85">
        <f t="shared" si="12"/>
        <v>115643.94561680552</v>
      </c>
      <c r="V25" s="78">
        <f ca="1"/>
        <v>45873</v>
      </c>
      <c r="W25" s="55">
        <f ca="1"/>
        <v>80.25</v>
      </c>
      <c r="X25" s="78">
        <f ca="1"/>
        <v>45926</v>
      </c>
      <c r="Y25" s="55">
        <f ca="1"/>
        <v>99.37890625</v>
      </c>
      <c r="Z25" s="78">
        <f ca="1"/>
        <v>45873</v>
      </c>
      <c r="AA25" s="55">
        <f ca="1"/>
        <v>109.82</v>
      </c>
      <c r="AB25" s="78">
        <f ca="1"/>
        <v>45926</v>
      </c>
      <c r="AC25" s="55">
        <f ca="1"/>
        <v>99.37890625</v>
      </c>
      <c r="AD25" s="78">
        <f ca="1"/>
        <v>45905</v>
      </c>
      <c r="AE25" s="55">
        <f ca="1"/>
        <v>101.40625</v>
      </c>
      <c r="AF25" s="78">
        <f ca="1"/>
        <v>45908</v>
      </c>
      <c r="AG25" s="55">
        <f ca="1"/>
        <v>100.90625</v>
      </c>
    </row>
    <row r="26" spans="1:33" x14ac:dyDescent="0.3">
      <c r="A26" s="37">
        <v>45931</v>
      </c>
      <c r="B26" s="46">
        <v>80.959999999999994</v>
      </c>
      <c r="C26" s="47">
        <f t="shared" si="0"/>
        <v>-88400.172488147247</v>
      </c>
      <c r="D26" s="47">
        <f t="shared" si="1"/>
        <v>-65800</v>
      </c>
      <c r="E26" s="46">
        <v>99.78515625</v>
      </c>
      <c r="F26" s="47">
        <f t="shared" si="2"/>
        <v>-64746.09375</v>
      </c>
      <c r="G26" s="48">
        <f t="shared" si="3"/>
        <v>-5286.2942708333321</v>
      </c>
      <c r="H26" s="46">
        <v>111.51</v>
      </c>
      <c r="I26" s="47">
        <f t="shared" si="4"/>
        <v>-289818.97433616634</v>
      </c>
      <c r="J26" s="48">
        <f t="shared" si="5"/>
        <v>-67680</v>
      </c>
      <c r="K26" s="46">
        <v>99.78515625</v>
      </c>
      <c r="L26" s="47">
        <f t="shared" si="6"/>
        <v>-56445.3125</v>
      </c>
      <c r="M26" s="48">
        <f t="shared" si="7"/>
        <v>-5137.9017361111109</v>
      </c>
      <c r="N26" s="46">
        <v>101.2109375</v>
      </c>
      <c r="O26" s="47">
        <f t="shared" si="8"/>
        <v>-42187.5</v>
      </c>
      <c r="P26" s="48">
        <f t="shared" si="9"/>
        <v>-183.38802083333212</v>
      </c>
      <c r="Q26" s="46">
        <v>100.6328125</v>
      </c>
      <c r="R26" s="47">
        <f t="shared" si="10"/>
        <v>-106640.625</v>
      </c>
      <c r="S26" s="48">
        <f t="shared" si="11"/>
        <v>2101.2651041666686</v>
      </c>
      <c r="T26" s="85">
        <f>C26+D26-F26-G26-I26-J26+L26+M26+O26+P26+R26+S26+$R$8</f>
        <v>99114.446437403763</v>
      </c>
      <c r="V26" s="78">
        <f ca="1"/>
        <v>45874</v>
      </c>
      <c r="W26" s="55">
        <f ca="1"/>
        <v>80.209999999999994</v>
      </c>
      <c r="X26" s="78">
        <f ca="1"/>
        <v>45929</v>
      </c>
      <c r="Y26" s="55">
        <f ca="1"/>
        <v>99.5078125</v>
      </c>
      <c r="Z26" s="78">
        <f ca="1"/>
        <v>45874</v>
      </c>
      <c r="AA26" s="55">
        <f ca="1"/>
        <v>109.9</v>
      </c>
      <c r="AB26" s="78">
        <f ca="1"/>
        <v>45929</v>
      </c>
      <c r="AC26" s="55">
        <f ca="1"/>
        <v>99.5078125</v>
      </c>
      <c r="AD26" s="78">
        <f ca="1"/>
        <v>45908</v>
      </c>
      <c r="AE26" s="55">
        <f ca="1"/>
        <v>101.6953125</v>
      </c>
      <c r="AF26" s="78">
        <f ca="1"/>
        <v>45909</v>
      </c>
      <c r="AG26" s="55">
        <f ca="1"/>
        <v>100.28125</v>
      </c>
    </row>
    <row r="27" spans="1:33" x14ac:dyDescent="0.3">
      <c r="A27" s="37">
        <v>45932</v>
      </c>
      <c r="B27" s="57">
        <v>80.930000000000007</v>
      </c>
      <c r="C27" s="47">
        <f t="shared" si="0"/>
        <v>-101336.78309616368</v>
      </c>
      <c r="D27" s="47">
        <f t="shared" si="1"/>
        <v>-69912.499999999985</v>
      </c>
      <c r="E27" s="46">
        <v>99.79296875</v>
      </c>
      <c r="F27" s="47">
        <f t="shared" si="2"/>
        <v>-63222.65625</v>
      </c>
      <c r="G27" s="48">
        <f t="shared" si="3"/>
        <v>-5616.6876627604142</v>
      </c>
      <c r="H27" s="46">
        <v>111.69</v>
      </c>
      <c r="I27" s="47">
        <f t="shared" si="4"/>
        <v>-232175.42142952752</v>
      </c>
      <c r="J27" s="48">
        <f t="shared" si="5"/>
        <v>-71909.999999999985</v>
      </c>
      <c r="K27" s="46">
        <v>99.79296875</v>
      </c>
      <c r="L27" s="47">
        <f t="shared" si="6"/>
        <v>-55117.1875</v>
      </c>
      <c r="M27" s="48">
        <f t="shared" si="7"/>
        <v>-5459.0205946180467</v>
      </c>
      <c r="N27" s="46">
        <v>101.3359375</v>
      </c>
      <c r="O27" s="47">
        <f t="shared" si="8"/>
        <v>-32812.5</v>
      </c>
      <c r="P27" s="48">
        <f t="shared" si="9"/>
        <v>-194.84977213541424</v>
      </c>
      <c r="Q27" s="46">
        <v>100.96875</v>
      </c>
      <c r="R27" s="47">
        <f t="shared" si="10"/>
        <v>-71367.1875</v>
      </c>
      <c r="S27" s="48">
        <f t="shared" si="11"/>
        <v>2232.5941731770872</v>
      </c>
      <c r="T27" s="85">
        <f t="shared" ref="T27:T31" si="13">C27+D27-F27-G27-I27-J27+L27+M27+O27+P27+R27+S27+$R$8</f>
        <v>73234.049773876992</v>
      </c>
      <c r="V27" s="78">
        <f ca="1"/>
        <v>45875</v>
      </c>
      <c r="W27" s="55">
        <f ca="1"/>
        <v>80.290000000000006</v>
      </c>
      <c r="X27" s="78">
        <f ca="1"/>
        <v>45930</v>
      </c>
      <c r="Y27" s="55">
        <f ca="1"/>
        <v>99.48046875</v>
      </c>
      <c r="Z27" s="78">
        <f ca="1"/>
        <v>45875</v>
      </c>
      <c r="AA27" s="55">
        <f ca="1"/>
        <v>109.87</v>
      </c>
      <c r="AB27" s="78">
        <f ca="1"/>
        <v>45930</v>
      </c>
      <c r="AC27" s="55">
        <f ca="1"/>
        <v>99.48046875</v>
      </c>
      <c r="AD27" s="78">
        <f ca="1"/>
        <v>45909</v>
      </c>
      <c r="AE27" s="55">
        <f ca="1"/>
        <v>101.3046875</v>
      </c>
      <c r="AF27" s="78">
        <f ca="1"/>
        <v>45910</v>
      </c>
      <c r="AG27" s="55">
        <f ca="1"/>
        <v>100.84375</v>
      </c>
    </row>
    <row r="28" spans="1:33" x14ac:dyDescent="0.3">
      <c r="A28" s="37">
        <v>45933</v>
      </c>
      <c r="B28" s="46">
        <v>80.84</v>
      </c>
      <c r="C28" s="47">
        <f t="shared" si="0"/>
        <v>-140146.61492022462</v>
      </c>
      <c r="D28" s="47">
        <f t="shared" si="1"/>
        <v>-74025</v>
      </c>
      <c r="E28" s="46">
        <v>99.58984375</v>
      </c>
      <c r="F28" s="47">
        <f t="shared" si="2"/>
        <v>-102832.03125</v>
      </c>
      <c r="G28" s="48">
        <f t="shared" si="3"/>
        <v>-5947.0810546875</v>
      </c>
      <c r="H28" s="46">
        <v>111.55</v>
      </c>
      <c r="I28" s="47">
        <f t="shared" si="4"/>
        <v>-277009.29591247195</v>
      </c>
      <c r="J28" s="48">
        <f t="shared" si="5"/>
        <v>-76140</v>
      </c>
      <c r="K28" s="46">
        <v>99.58984375</v>
      </c>
      <c r="L28" s="47">
        <f t="shared" si="6"/>
        <v>-89648.4375</v>
      </c>
      <c r="M28" s="48">
        <f t="shared" si="7"/>
        <v>-5780.1394531250007</v>
      </c>
      <c r="N28" s="46">
        <v>101.0390625</v>
      </c>
      <c r="O28" s="47">
        <f t="shared" si="8"/>
        <v>-55078.125</v>
      </c>
      <c r="P28" s="48">
        <f t="shared" si="9"/>
        <v>-206.3115234375</v>
      </c>
      <c r="Q28" s="46">
        <v>100.59375</v>
      </c>
      <c r="R28" s="47">
        <f t="shared" si="10"/>
        <v>-110742.18750000001</v>
      </c>
      <c r="S28" s="48">
        <f t="shared" si="11"/>
        <v>2363.9232421875022</v>
      </c>
      <c r="T28" s="85">
        <f t="shared" si="13"/>
        <v>22942.234283888927</v>
      </c>
      <c r="V28" s="78">
        <f ca="1"/>
        <v>45876</v>
      </c>
      <c r="W28" s="55">
        <f ca="1"/>
        <v>80.209999999999994</v>
      </c>
      <c r="X28" s="78">
        <f ca="1"/>
        <v>45931</v>
      </c>
      <c r="Y28" s="55">
        <f ca="1"/>
        <v>99.78515625</v>
      </c>
      <c r="Z28" s="78">
        <f ca="1"/>
        <v>45876</v>
      </c>
      <c r="AA28" s="55">
        <f ca="1"/>
        <v>109.76</v>
      </c>
      <c r="AB28" s="78">
        <f ca="1"/>
        <v>45931</v>
      </c>
      <c r="AC28" s="55">
        <f ca="1"/>
        <v>99.78515625</v>
      </c>
      <c r="AD28" s="78">
        <f ca="1"/>
        <v>45910</v>
      </c>
      <c r="AE28" s="55">
        <f ca="1"/>
        <v>101.640625</v>
      </c>
      <c r="AF28" s="78">
        <f ca="1"/>
        <v>45911</v>
      </c>
      <c r="AG28" s="55">
        <f ca="1"/>
        <v>101.53125</v>
      </c>
    </row>
    <row r="29" spans="1:33" x14ac:dyDescent="0.3">
      <c r="A29" s="37">
        <v>45936</v>
      </c>
      <c r="B29" s="46">
        <v>80.86</v>
      </c>
      <c r="C29" s="47">
        <f t="shared" si="0"/>
        <v>-131522.20784821367</v>
      </c>
      <c r="D29" s="47">
        <f t="shared" si="1"/>
        <v>-86362.5</v>
      </c>
      <c r="E29" s="46">
        <v>99.5078125</v>
      </c>
      <c r="F29" s="47">
        <f t="shared" si="2"/>
        <v>-118828.125</v>
      </c>
      <c r="G29" s="48">
        <f t="shared" si="3"/>
        <v>-6938.26123046875</v>
      </c>
      <c r="H29" s="46">
        <v>111.19</v>
      </c>
      <c r="I29" s="47">
        <f t="shared" si="4"/>
        <v>-392296.40172574954</v>
      </c>
      <c r="J29" s="48">
        <f t="shared" si="5"/>
        <v>-88830</v>
      </c>
      <c r="K29" s="46">
        <v>99.5078125</v>
      </c>
      <c r="L29" s="47">
        <f t="shared" si="6"/>
        <v>-103593.75</v>
      </c>
      <c r="M29" s="48">
        <f t="shared" si="7"/>
        <v>-6743.4960286458372</v>
      </c>
      <c r="N29" s="46">
        <v>100.765625</v>
      </c>
      <c r="O29" s="47">
        <f t="shared" si="8"/>
        <v>-75585.9375</v>
      </c>
      <c r="P29" s="48">
        <f t="shared" si="9"/>
        <v>-240.69677734375</v>
      </c>
      <c r="Q29" s="46">
        <v>100.015625</v>
      </c>
      <c r="R29" s="47">
        <f t="shared" si="10"/>
        <v>-171445.3125</v>
      </c>
      <c r="S29" s="48">
        <f t="shared" si="11"/>
        <v>2757.9104492187507</v>
      </c>
      <c r="T29" s="85">
        <f t="shared" si="13"/>
        <v>68433.5164725629</v>
      </c>
      <c r="V29" s="78">
        <f ca="1"/>
        <v>45877</v>
      </c>
      <c r="W29" s="55">
        <f ca="1"/>
        <v>80.22</v>
      </c>
      <c r="X29" s="78">
        <f ca="1"/>
        <v>45932</v>
      </c>
      <c r="Y29" s="55">
        <f ca="1"/>
        <v>99.79296875</v>
      </c>
      <c r="Z29" s="78">
        <f ca="1"/>
        <v>45877</v>
      </c>
      <c r="AA29" s="55">
        <f ca="1"/>
        <v>109.41</v>
      </c>
      <c r="AB29" s="78">
        <f ca="1"/>
        <v>45932</v>
      </c>
      <c r="AC29" s="55">
        <f ca="1"/>
        <v>99.79296875</v>
      </c>
      <c r="AD29" s="78">
        <f ca="1"/>
        <v>45911</v>
      </c>
      <c r="AE29" s="55">
        <f ca="1"/>
        <v>101.84375</v>
      </c>
      <c r="AF29" s="78">
        <f ca="1"/>
        <v>45912</v>
      </c>
      <c r="AG29" s="55">
        <f ca="1"/>
        <v>101.078125</v>
      </c>
    </row>
    <row r="30" spans="1:33" x14ac:dyDescent="0.3">
      <c r="A30" s="37">
        <v>45937</v>
      </c>
      <c r="B30" s="46">
        <v>80.77</v>
      </c>
      <c r="C30" s="47">
        <f t="shared" si="0"/>
        <v>-170332.03967227851</v>
      </c>
      <c r="D30" s="47">
        <f t="shared" si="1"/>
        <v>-90474.999999999985</v>
      </c>
      <c r="E30" s="46">
        <v>99.65625</v>
      </c>
      <c r="F30" s="47">
        <f t="shared" si="2"/>
        <v>-89882.8125</v>
      </c>
      <c r="G30" s="48">
        <f t="shared" si="3"/>
        <v>-7268.6546223958358</v>
      </c>
      <c r="H30" s="46">
        <v>111.4</v>
      </c>
      <c r="I30" s="47">
        <f t="shared" si="4"/>
        <v>-325045.59000133292</v>
      </c>
      <c r="J30" s="48">
        <f t="shared" si="5"/>
        <v>-93059.999999999985</v>
      </c>
      <c r="K30" s="46">
        <v>99.65625</v>
      </c>
      <c r="L30" s="47">
        <f t="shared" si="6"/>
        <v>-78359.375</v>
      </c>
      <c r="M30" s="48">
        <f t="shared" si="7"/>
        <v>-7064.6148871527694</v>
      </c>
      <c r="N30" s="46">
        <v>101.0078125</v>
      </c>
      <c r="O30" s="47">
        <f t="shared" si="8"/>
        <v>-57421.875</v>
      </c>
      <c r="P30" s="48">
        <f t="shared" si="9"/>
        <v>-252.15852864583212</v>
      </c>
      <c r="Q30" s="46">
        <v>100.40625</v>
      </c>
      <c r="R30" s="47">
        <f t="shared" si="10"/>
        <v>-130429.6875</v>
      </c>
      <c r="S30" s="48">
        <f t="shared" si="11"/>
        <v>2889.2395182291693</v>
      </c>
      <c r="T30" s="85">
        <f t="shared" si="13"/>
        <v>18088.264775209918</v>
      </c>
      <c r="V30" s="78">
        <f ca="1"/>
        <v>45880</v>
      </c>
      <c r="W30" s="55">
        <f ca="1"/>
        <v>80.22</v>
      </c>
      <c r="X30" s="78">
        <f ca="1"/>
        <v>45933</v>
      </c>
      <c r="Y30" s="55">
        <f ca="1"/>
        <v>99.58984375</v>
      </c>
      <c r="Z30" s="78">
        <f ca="1"/>
        <v>45880</v>
      </c>
      <c r="AA30" s="55">
        <f ca="1"/>
        <v>109.58</v>
      </c>
      <c r="AB30" s="78">
        <f ca="1"/>
        <v>45933</v>
      </c>
      <c r="AC30" s="55">
        <f ca="1"/>
        <v>99.58984375</v>
      </c>
      <c r="AD30" s="78">
        <f ca="1"/>
        <v>45912</v>
      </c>
      <c r="AE30" s="55">
        <f ca="1"/>
        <v>101.4765625</v>
      </c>
      <c r="AF30" s="78">
        <f ca="1"/>
        <v>45915</v>
      </c>
      <c r="AG30" s="55">
        <f ca="1"/>
        <v>101.4296875</v>
      </c>
    </row>
    <row r="31" spans="1:33" x14ac:dyDescent="0.3">
      <c r="A31" s="37">
        <v>45938</v>
      </c>
      <c r="B31" s="46">
        <v>80.650000000000006</v>
      </c>
      <c r="C31" s="47">
        <f t="shared" si="0"/>
        <v>-222078.48210435588</v>
      </c>
      <c r="D31" s="47">
        <f t="shared" si="1"/>
        <v>-94587.499999999985</v>
      </c>
      <c r="E31" s="46">
        <v>99.6015625</v>
      </c>
      <c r="F31" s="47">
        <f t="shared" si="2"/>
        <v>-100546.875</v>
      </c>
      <c r="G31" s="48">
        <f t="shared" si="3"/>
        <v>-7599.0480143229142</v>
      </c>
      <c r="H31" s="46">
        <v>111.26</v>
      </c>
      <c r="I31" s="47">
        <f t="shared" si="4"/>
        <v>-369879.46448427736</v>
      </c>
      <c r="J31" s="48">
        <f t="shared" si="5"/>
        <v>-97289.999999999985</v>
      </c>
      <c r="K31" s="46">
        <v>99.6015625</v>
      </c>
      <c r="L31" s="47">
        <f t="shared" si="6"/>
        <v>-87656.25</v>
      </c>
      <c r="M31" s="48">
        <f t="shared" si="7"/>
        <v>-7385.7337456597161</v>
      </c>
      <c r="N31" s="46">
        <v>101.046875</v>
      </c>
      <c r="O31" s="47">
        <f t="shared" si="8"/>
        <v>-54492.1875</v>
      </c>
      <c r="P31" s="48">
        <f t="shared" si="9"/>
        <v>-263.62027994791424</v>
      </c>
      <c r="Q31" s="46">
        <v>100.6484375</v>
      </c>
      <c r="R31" s="47">
        <f t="shared" si="10"/>
        <v>-105000</v>
      </c>
      <c r="S31" s="48">
        <f t="shared" si="11"/>
        <v>3020.5685872395879</v>
      </c>
      <c r="T31" s="85">
        <f t="shared" si="13"/>
        <v>41148.901177205451</v>
      </c>
      <c r="V31" s="78">
        <f ca="1"/>
        <v>45881</v>
      </c>
      <c r="W31" s="55">
        <f ca="1"/>
        <v>80.400000000000006</v>
      </c>
      <c r="X31" s="78">
        <f ca="1"/>
        <v>45936</v>
      </c>
      <c r="Y31" s="55">
        <f ca="1"/>
        <v>99.5078125</v>
      </c>
      <c r="Z31" s="78">
        <f ca="1"/>
        <v>45881</v>
      </c>
      <c r="AA31" s="55">
        <f ca="1"/>
        <v>109.68</v>
      </c>
      <c r="AB31" s="78">
        <f ca="1"/>
        <v>45936</v>
      </c>
      <c r="AC31" s="55">
        <f ca="1"/>
        <v>99.5078125</v>
      </c>
      <c r="AD31" s="78">
        <f ca="1"/>
        <v>45915</v>
      </c>
      <c r="AE31" s="55">
        <f ca="1"/>
        <v>101.703125</v>
      </c>
      <c r="AF31" s="78">
        <f ca="1"/>
        <v>45916</v>
      </c>
      <c r="AG31" s="55">
        <f ca="1"/>
        <v>101.6171875</v>
      </c>
    </row>
    <row r="32" spans="1:33" x14ac:dyDescent="0.3">
      <c r="A32" s="37">
        <v>45939</v>
      </c>
      <c r="B32" s="1">
        <v>80.42</v>
      </c>
      <c r="C32" s="47">
        <f t="shared" ref="C32" si="14">(B32/$B$14-1)*$B$5</f>
        <v>-321259.1634325168</v>
      </c>
      <c r="D32" s="47">
        <f t="shared" ref="D32" si="15">-1*(A32-$A$14)/360*$B$7*$B$5</f>
        <v>-98699.999999999985</v>
      </c>
      <c r="E32" s="46">
        <v>99.50390625</v>
      </c>
      <c r="F32" s="47">
        <f t="shared" ref="F32" si="16">(E32-$E$14)/100*$C$5</f>
        <v>-119589.84375</v>
      </c>
      <c r="G32" s="48">
        <f t="shared" ref="G32" si="17">(A32-$A$14)/360*$C$6*$C$5-(A32-$A$14)/360*$C$7*$C$5*$E$14/100</f>
        <v>-7929.44140625</v>
      </c>
      <c r="H32" s="46">
        <v>111.04</v>
      </c>
      <c r="I32" s="47">
        <f t="shared" ref="I32" si="18">(H32/$H$14-1)*$D$5</f>
        <v>-440332.69581461453</v>
      </c>
      <c r="J32" s="48">
        <f t="shared" ref="J32" si="19">-1*(A32-$A$14)/360*$D$7*$D$5</f>
        <v>-101519.99999999999</v>
      </c>
      <c r="K32" s="46">
        <v>99.50390625</v>
      </c>
      <c r="L32" s="47">
        <f t="shared" ref="L32" si="20">(K32-$K$14)/100*$E$5</f>
        <v>-104257.8125</v>
      </c>
      <c r="M32" s="48">
        <f t="shared" ref="M32" si="21">(A32-$A$14)/360*$E$6*$E$5-(A32-$A$14)/360*$E$7*$E$5*$N$14/100</f>
        <v>-7706.8526041666628</v>
      </c>
      <c r="N32" s="46">
        <v>100.8828125</v>
      </c>
      <c r="O32" s="47">
        <f t="shared" ref="O32" si="22">(N32-$N$14)/100*$F$5</f>
        <v>-66796.875</v>
      </c>
      <c r="P32" s="48">
        <f t="shared" ref="P32" si="23">(A32-$A$14)/360*$F$6*$F$5-(A32-$A$14)/360*$F$7*$F$5*$N$14/100</f>
        <v>-275.08203124999636</v>
      </c>
      <c r="Q32" s="46">
        <v>100.4375</v>
      </c>
      <c r="R32" s="47">
        <f t="shared" ref="R32" si="24">(Q32-$Q$14)/100*$G$5</f>
        <v>-127148.4375</v>
      </c>
      <c r="S32" s="48">
        <f t="shared" ref="S32" si="25">(A32-$A$14)/360*$G$6*$G$5-(A32-$A$14)/360*$G$7*$G$5*$Q$14/100</f>
        <v>3151.8976562500029</v>
      </c>
      <c r="T32" s="85">
        <f t="shared" ref="T32" si="26">C32+D32-F32-G32-I32-J32+L32+M32+O32+P32+R32+S32+$R$8</f>
        <v>-19343.625719489806</v>
      </c>
      <c r="V32" s="78">
        <f ca="1"/>
        <v>45882</v>
      </c>
      <c r="W32" s="55">
        <f ca="1"/>
        <v>80.61</v>
      </c>
      <c r="X32" s="78">
        <f ca="1"/>
        <v>45937</v>
      </c>
      <c r="Y32" s="55">
        <f ca="1"/>
        <v>99.65625</v>
      </c>
      <c r="Z32" s="78">
        <f ca="1"/>
        <v>45882</v>
      </c>
      <c r="AA32" s="55">
        <f ca="1"/>
        <v>110.26</v>
      </c>
      <c r="AB32" s="78">
        <f ca="1"/>
        <v>45937</v>
      </c>
      <c r="AC32" s="55">
        <f ca="1"/>
        <v>99.65625</v>
      </c>
      <c r="AD32" s="78">
        <f ca="1"/>
        <v>45916</v>
      </c>
      <c r="AE32" s="55">
        <f ca="1"/>
        <v>101.7890625</v>
      </c>
      <c r="AF32" s="78">
        <f ca="1"/>
        <v>45917</v>
      </c>
      <c r="AG32" s="55">
        <f ca="1"/>
        <v>100.9296875</v>
      </c>
    </row>
    <row r="33" spans="1:33" x14ac:dyDescent="0.3">
      <c r="A33" s="37">
        <v>45940</v>
      </c>
      <c r="B33" s="46">
        <f ca="1">VLOOKUP($A33,V$3:W$100,2)</f>
        <v>80.34</v>
      </c>
      <c r="C33" s="47">
        <f t="shared" ref="C33" ca="1" si="27">(B33/$B$14-1)*$B$5</f>
        <v>-355756.79172057228</v>
      </c>
      <c r="D33" s="47">
        <f t="shared" ref="D33" si="28">-1*(A33-$A$14)/360*$B$7*$B$5</f>
        <v>-102812.5</v>
      </c>
      <c r="E33" s="46">
        <f ca="1">VLOOKUP($A33,X$3:Y$100,2)</f>
        <v>99.625</v>
      </c>
      <c r="F33" s="47">
        <f t="shared" ref="F33" ca="1" si="29">(E33-$E$14)/100*$C$5</f>
        <v>-95976.5625</v>
      </c>
      <c r="G33" s="48">
        <f t="shared" ref="G33" si="30">(A33-$A$14)/360*$C$6*$C$5-(A33-$A$14)/360*$C$7*$C$5*$E$14/100</f>
        <v>-8259.8347981770858</v>
      </c>
      <c r="H33" s="46">
        <f ca="1">VLOOKUP($A33,Z$3:AA$100,2)</f>
        <v>111.315</v>
      </c>
      <c r="I33" s="47">
        <f t="shared" ref="I33" ca="1" si="31">(H33/$H$14-1)*$D$5</f>
        <v>-352266.15665169404</v>
      </c>
      <c r="J33" s="48">
        <f t="shared" ref="J33" si="32">-1*(A33-$A$14)/360*$D$7*$D$5</f>
        <v>-105750</v>
      </c>
      <c r="K33" s="46">
        <f ca="1">VLOOKUP($A33,AB$3:AC$100,2)</f>
        <v>99.625</v>
      </c>
      <c r="L33" s="47">
        <f t="shared" ref="L33" ca="1" si="33">(K33-$K$14)/100*$E$5</f>
        <v>-83671.875</v>
      </c>
      <c r="M33" s="48">
        <f t="shared" ref="M33" si="34">(A33-$A$14)/360*$E$6*$E$5-(A33-$A$14)/360*$E$7*$E$5*$N$14/100</f>
        <v>-8027.9714626736168</v>
      </c>
      <c r="N33" s="46">
        <f ca="1">VLOOKUP($A33,AD$3:AE$100,2)</f>
        <v>101.1640625</v>
      </c>
      <c r="O33" s="47">
        <f t="shared" ref="O33" ca="1" si="35">(N33-$N$14)/100*$F$5</f>
        <v>-45703.125</v>
      </c>
      <c r="P33" s="48">
        <f t="shared" ref="P33" si="36">(A33-$A$14)/360*$F$6*$F$5-(A33-$A$14)/360*$F$7*$F$5*$N$14/100</f>
        <v>-286.54378255208212</v>
      </c>
      <c r="Q33" s="46">
        <f ca="1">VLOOKUP($A33,AF$3:AG$100,2)</f>
        <v>101.1484375</v>
      </c>
      <c r="R33" s="47">
        <f t="shared" ref="R33" ca="1" si="37">(Q33-$Q$14)/100*$G$5</f>
        <v>-52500</v>
      </c>
      <c r="S33" s="48">
        <f t="shared" ref="S33" si="38">(A33-$A$14)/360*$G$6*$G$5-(A33-$A$14)/360*$G$7*$G$5*$Q$14/100</f>
        <v>3283.2267252604142</v>
      </c>
      <c r="T33" s="85">
        <f t="shared" ref="T33" ca="1" si="39">C33+D33-F33-G33-I33-J33+L33+M33+O33+P33+R33+S33+$R$8</f>
        <v>-48946.307569337339</v>
      </c>
      <c r="V33" s="78">
        <f ca="1"/>
        <v>45883</v>
      </c>
      <c r="W33" s="55">
        <f ca="1"/>
        <v>80.400000000000006</v>
      </c>
      <c r="X33" s="78">
        <f ca="1"/>
        <v>45938</v>
      </c>
      <c r="Y33" s="55">
        <f ca="1"/>
        <v>99.6015625</v>
      </c>
      <c r="Z33" s="78">
        <f ca="1"/>
        <v>45883</v>
      </c>
      <c r="AA33" s="55">
        <f ca="1"/>
        <v>109.88</v>
      </c>
      <c r="AB33" s="78">
        <f ca="1"/>
        <v>45938</v>
      </c>
      <c r="AC33" s="55">
        <f ca="1"/>
        <v>99.6015625</v>
      </c>
      <c r="AD33" s="78">
        <f ca="1"/>
        <v>45917</v>
      </c>
      <c r="AE33" s="55">
        <f ca="1"/>
        <v>101.296875</v>
      </c>
      <c r="AF33" s="78">
        <f ca="1"/>
        <v>45918</v>
      </c>
      <c r="AG33" s="55">
        <f ca="1"/>
        <v>100.390625</v>
      </c>
    </row>
    <row r="34" spans="1:33" x14ac:dyDescent="0.3">
      <c r="A34" s="37">
        <v>45941</v>
      </c>
      <c r="B34" s="46"/>
      <c r="C34" s="31"/>
      <c r="D34" s="31"/>
      <c r="E34" s="4"/>
      <c r="F34" s="31"/>
      <c r="G34" s="32"/>
      <c r="H34" s="4"/>
      <c r="I34" s="31"/>
      <c r="J34" s="32"/>
      <c r="K34" s="4"/>
      <c r="L34" s="31"/>
      <c r="M34" s="32"/>
      <c r="N34" s="4"/>
      <c r="O34" s="31"/>
      <c r="P34" s="32"/>
      <c r="Q34" s="4"/>
      <c r="R34" s="31"/>
      <c r="S34" s="32"/>
      <c r="T34" s="85"/>
      <c r="V34" s="78">
        <f ca="1"/>
        <v>45884</v>
      </c>
      <c r="W34" s="55">
        <f ca="1"/>
        <v>80.459999999999994</v>
      </c>
      <c r="X34" s="78">
        <f ca="1"/>
        <v>45939</v>
      </c>
      <c r="Y34" s="55">
        <f ca="1"/>
        <v>99.50390625</v>
      </c>
      <c r="Z34" s="78">
        <f ca="1"/>
        <v>45884</v>
      </c>
      <c r="AA34" s="55">
        <f ca="1"/>
        <v>109.74</v>
      </c>
      <c r="AB34" s="78">
        <f ca="1"/>
        <v>45939</v>
      </c>
      <c r="AC34" s="55">
        <f ca="1"/>
        <v>99.50390625</v>
      </c>
      <c r="AD34" s="78">
        <f ca="1"/>
        <v>45918</v>
      </c>
      <c r="AE34" s="55">
        <f ca="1"/>
        <v>101.15625</v>
      </c>
      <c r="AF34" s="78">
        <f ca="1"/>
        <v>45919</v>
      </c>
      <c r="AG34" s="55">
        <f ca="1"/>
        <v>100.078125</v>
      </c>
    </row>
    <row r="35" spans="1:33" x14ac:dyDescent="0.3">
      <c r="A35" s="37">
        <v>45942</v>
      </c>
      <c r="B35" s="46"/>
      <c r="C35" s="31"/>
      <c r="D35" s="31"/>
      <c r="E35" s="4"/>
      <c r="F35" s="31"/>
      <c r="G35" s="32"/>
      <c r="H35" s="4"/>
      <c r="I35" s="31"/>
      <c r="J35" s="32"/>
      <c r="K35" s="4"/>
      <c r="L35" s="31"/>
      <c r="M35" s="32"/>
      <c r="N35" s="4"/>
      <c r="O35" s="31"/>
      <c r="P35" s="32"/>
      <c r="Q35" s="4"/>
      <c r="R35" s="31"/>
      <c r="S35" s="32"/>
      <c r="T35" s="85"/>
      <c r="V35" s="78">
        <f ca="1"/>
        <v>45887</v>
      </c>
      <c r="W35" s="55">
        <f ca="1"/>
        <v>80.400000000000006</v>
      </c>
      <c r="X35" s="78">
        <f ca="1"/>
        <v>45940</v>
      </c>
      <c r="Y35" s="55">
        <f ca="1"/>
        <v>99.625</v>
      </c>
      <c r="Z35" s="78">
        <f ca="1"/>
        <v>45887</v>
      </c>
      <c r="AA35" s="55">
        <f ca="1"/>
        <v>109.54</v>
      </c>
      <c r="AB35" s="78">
        <f ca="1"/>
        <v>45940</v>
      </c>
      <c r="AC35" s="55">
        <f ca="1"/>
        <v>99.625</v>
      </c>
      <c r="AD35" s="78">
        <f ca="1"/>
        <v>45919</v>
      </c>
      <c r="AE35" s="55">
        <f ca="1"/>
        <v>100.9765625</v>
      </c>
      <c r="AF35" s="78">
        <f ca="1"/>
        <v>45922</v>
      </c>
      <c r="AG35" s="55">
        <f ca="1"/>
        <v>99.78125</v>
      </c>
    </row>
    <row r="36" spans="1:33" x14ac:dyDescent="0.3">
      <c r="A36" s="37"/>
      <c r="B36" s="46"/>
      <c r="C36" s="31"/>
      <c r="D36" s="31"/>
      <c r="E36" s="4"/>
      <c r="F36" s="31"/>
      <c r="G36" s="32"/>
      <c r="H36" s="4"/>
      <c r="I36" s="31"/>
      <c r="J36" s="32"/>
      <c r="K36" s="4"/>
      <c r="L36" s="31"/>
      <c r="M36" s="32"/>
      <c r="N36" s="4"/>
      <c r="O36" s="31"/>
      <c r="P36" s="32"/>
      <c r="Q36" s="4"/>
      <c r="R36" s="31"/>
      <c r="S36" s="32"/>
      <c r="T36" s="39"/>
      <c r="V36" s="78">
        <f ca="1"/>
        <v>45888</v>
      </c>
      <c r="W36" s="55">
        <f ca="1"/>
        <v>80.38</v>
      </c>
      <c r="Z36" s="78">
        <f ca="1"/>
        <v>45888</v>
      </c>
      <c r="AA36" s="55">
        <f ca="1"/>
        <v>109.71</v>
      </c>
      <c r="AD36" s="78">
        <f ca="1"/>
        <v>45922</v>
      </c>
      <c r="AE36" s="55">
        <f ca="1"/>
        <v>100.8203125</v>
      </c>
      <c r="AF36" s="78">
        <f ca="1"/>
        <v>45923</v>
      </c>
      <c r="AG36" s="55">
        <f ca="1"/>
        <v>100.4765625</v>
      </c>
    </row>
    <row r="37" spans="1:33" x14ac:dyDescent="0.3">
      <c r="A37" s="37"/>
      <c r="B37" s="46"/>
      <c r="C37" s="31"/>
      <c r="D37" s="31"/>
      <c r="E37" s="4"/>
      <c r="F37" s="31"/>
      <c r="G37" s="32"/>
      <c r="H37" s="4"/>
      <c r="I37" s="31"/>
      <c r="J37" s="32"/>
      <c r="K37" s="4"/>
      <c r="L37" s="31"/>
      <c r="M37" s="32"/>
      <c r="N37" s="4"/>
      <c r="O37" s="31"/>
      <c r="P37" s="32"/>
      <c r="Q37" s="4"/>
      <c r="R37" s="31"/>
      <c r="S37" s="32"/>
      <c r="T37" s="39"/>
      <c r="V37" s="78">
        <f ca="1"/>
        <v>45889</v>
      </c>
      <c r="W37" s="55">
        <f ca="1"/>
        <v>80.349999999999994</v>
      </c>
      <c r="Z37" s="78">
        <f ca="1"/>
        <v>45889</v>
      </c>
      <c r="AA37" s="55">
        <f ca="1"/>
        <v>109.76</v>
      </c>
      <c r="AD37" s="78">
        <f ca="1"/>
        <v>45923</v>
      </c>
      <c r="AE37" s="55">
        <f ca="1"/>
        <v>101.1484375</v>
      </c>
      <c r="AF37" s="78">
        <f ca="1"/>
        <v>45924</v>
      </c>
      <c r="AG37" s="55">
        <f ca="1"/>
        <v>99.9765625</v>
      </c>
    </row>
    <row r="38" spans="1:33" x14ac:dyDescent="0.3">
      <c r="A38" s="37"/>
      <c r="B38" s="46"/>
      <c r="C38" s="31"/>
      <c r="D38" s="31"/>
      <c r="E38" s="4"/>
      <c r="F38" s="31"/>
      <c r="G38" s="32"/>
      <c r="H38" s="4"/>
      <c r="I38" s="31"/>
      <c r="J38" s="32"/>
      <c r="K38" s="4"/>
      <c r="L38" s="31"/>
      <c r="M38" s="32"/>
      <c r="N38" s="4"/>
      <c r="O38" s="31"/>
      <c r="P38" s="32"/>
      <c r="Q38" s="4"/>
      <c r="R38" s="31"/>
      <c r="S38" s="32"/>
      <c r="T38" s="39"/>
      <c r="V38" s="78">
        <f ca="1"/>
        <v>45890</v>
      </c>
      <c r="W38" s="55">
        <f ca="1"/>
        <v>80.2</v>
      </c>
      <c r="Z38" s="78">
        <f ca="1"/>
        <v>45890</v>
      </c>
      <c r="AA38" s="55">
        <f ca="1"/>
        <v>109.34</v>
      </c>
      <c r="AD38" s="78">
        <f ca="1"/>
        <v>45924</v>
      </c>
      <c r="AE38" s="55">
        <f ca="1"/>
        <v>100.8203125</v>
      </c>
      <c r="AF38" s="78">
        <f ca="1"/>
        <v>45925</v>
      </c>
      <c r="AG38" s="55">
        <f ca="1"/>
        <v>100.0234375</v>
      </c>
    </row>
    <row r="39" spans="1:33" x14ac:dyDescent="0.3">
      <c r="A39" s="37"/>
      <c r="B39" s="46"/>
      <c r="C39" s="31"/>
      <c r="D39" s="31"/>
      <c r="E39" s="4"/>
      <c r="F39" s="31"/>
      <c r="G39" s="32"/>
      <c r="H39" s="4"/>
      <c r="I39" s="31"/>
      <c r="J39" s="32"/>
      <c r="K39" s="4"/>
      <c r="L39" s="31"/>
      <c r="M39" s="32"/>
      <c r="N39" s="4"/>
      <c r="O39" s="31"/>
      <c r="P39" s="32"/>
      <c r="Q39" s="4"/>
      <c r="R39" s="31"/>
      <c r="S39" s="32"/>
      <c r="T39" s="39"/>
      <c r="V39" s="78">
        <f ca="1"/>
        <v>45891</v>
      </c>
      <c r="W39" s="55">
        <f ca="1"/>
        <v>80.849999999999994</v>
      </c>
      <c r="Z39" s="78">
        <f ca="1"/>
        <v>45891</v>
      </c>
      <c r="AA39" s="55">
        <f ca="1"/>
        <v>110.2</v>
      </c>
      <c r="AD39" s="78">
        <f ca="1"/>
        <v>45925</v>
      </c>
      <c r="AE39" s="55">
        <f ca="1"/>
        <v>100.6328125</v>
      </c>
      <c r="AF39" s="78">
        <f ca="1"/>
        <v>45926</v>
      </c>
      <c r="AG39" s="55">
        <f ca="1"/>
        <v>100</v>
      </c>
    </row>
    <row r="40" spans="1:33" x14ac:dyDescent="0.3">
      <c r="A40" s="37"/>
      <c r="B40" s="46"/>
      <c r="C40" s="31"/>
      <c r="D40" s="31"/>
      <c r="E40" s="4"/>
      <c r="F40" s="31"/>
      <c r="G40" s="32"/>
      <c r="H40" s="4"/>
      <c r="I40" s="31"/>
      <c r="J40" s="32"/>
      <c r="K40" s="4"/>
      <c r="L40" s="31"/>
      <c r="M40" s="32"/>
      <c r="N40" s="4"/>
      <c r="O40" s="31"/>
      <c r="P40" s="32"/>
      <c r="Q40" s="4"/>
      <c r="R40" s="31"/>
      <c r="S40" s="32"/>
      <c r="T40" s="39"/>
      <c r="V40" s="78">
        <f ca="1"/>
        <v>45894</v>
      </c>
      <c r="W40" s="55">
        <f ca="1"/>
        <v>80.69</v>
      </c>
      <c r="Z40" s="78">
        <f ca="1"/>
        <v>45894</v>
      </c>
      <c r="AA40" s="55">
        <f ca="1"/>
        <v>109.91</v>
      </c>
      <c r="AD40" s="78">
        <f ca="1"/>
        <v>45926</v>
      </c>
      <c r="AE40" s="55">
        <f ca="1"/>
        <v>100.5859375</v>
      </c>
      <c r="AF40" s="78">
        <f ca="1"/>
        <v>45929</v>
      </c>
      <c r="AG40" s="55">
        <f ca="1"/>
        <v>100.71875</v>
      </c>
    </row>
    <row r="41" spans="1:33" x14ac:dyDescent="0.3">
      <c r="A41" s="37"/>
      <c r="B41" s="46"/>
      <c r="C41" s="31"/>
      <c r="D41" s="31"/>
      <c r="E41" s="4"/>
      <c r="F41" s="31"/>
      <c r="G41" s="32"/>
      <c r="H41" s="4"/>
      <c r="I41" s="31"/>
      <c r="J41" s="32"/>
      <c r="K41" s="4"/>
      <c r="L41" s="31"/>
      <c r="M41" s="32"/>
      <c r="N41" s="4"/>
      <c r="O41" s="31"/>
      <c r="P41" s="32"/>
      <c r="Q41" s="4"/>
      <c r="R41" s="31"/>
      <c r="S41" s="32"/>
      <c r="T41" s="39"/>
      <c r="V41" s="78">
        <f ca="1"/>
        <v>45895</v>
      </c>
      <c r="W41" s="55">
        <f ca="1"/>
        <v>80.87</v>
      </c>
      <c r="Z41" s="78">
        <f ca="1"/>
        <v>45895</v>
      </c>
      <c r="AA41" s="55">
        <f ca="1"/>
        <v>109.99</v>
      </c>
      <c r="AD41" s="78">
        <f ca="1"/>
        <v>45929</v>
      </c>
      <c r="AE41" s="55">
        <f ca="1"/>
        <v>100.8828125</v>
      </c>
      <c r="AF41" s="78">
        <f ca="1"/>
        <v>45930</v>
      </c>
      <c r="AG41" s="55">
        <f ca="1"/>
        <v>100.28125</v>
      </c>
    </row>
    <row r="42" spans="1:33" x14ac:dyDescent="0.3">
      <c r="A42" s="15"/>
      <c r="B42" s="46"/>
      <c r="C42" s="31"/>
      <c r="D42" s="31"/>
      <c r="E42" s="4"/>
      <c r="F42" s="31"/>
      <c r="G42" s="32"/>
      <c r="H42" s="4"/>
      <c r="I42" s="31"/>
      <c r="J42" s="32"/>
      <c r="K42" s="4"/>
      <c r="L42" s="31"/>
      <c r="M42" s="32"/>
      <c r="N42" s="4"/>
      <c r="O42" s="31"/>
      <c r="P42" s="32"/>
      <c r="Q42" s="4"/>
      <c r="R42" s="31"/>
      <c r="S42" s="32"/>
      <c r="T42" s="39"/>
      <c r="V42" s="78">
        <f ca="1"/>
        <v>45896</v>
      </c>
      <c r="W42" s="55">
        <f ca="1"/>
        <v>80.97</v>
      </c>
      <c r="Z42" s="78">
        <f ca="1"/>
        <v>45896</v>
      </c>
      <c r="AA42" s="55">
        <f ca="1"/>
        <v>110.03</v>
      </c>
      <c r="AD42" s="78">
        <f ca="1"/>
        <v>45930</v>
      </c>
      <c r="AE42" s="55">
        <f ca="1"/>
        <v>100.7890625</v>
      </c>
      <c r="AF42" s="78">
        <f ca="1"/>
        <v>45931</v>
      </c>
      <c r="AG42" s="55">
        <f ca="1"/>
        <v>100.6328125</v>
      </c>
    </row>
    <row r="43" spans="1:33" x14ac:dyDescent="0.3">
      <c r="A43" s="15"/>
      <c r="B43" s="46"/>
      <c r="C43" s="31"/>
      <c r="D43" s="31"/>
      <c r="E43" s="4"/>
      <c r="F43" s="31"/>
      <c r="G43" s="32"/>
      <c r="H43" s="4"/>
      <c r="I43" s="31"/>
      <c r="J43" s="32"/>
      <c r="K43" s="4"/>
      <c r="L43" s="31"/>
      <c r="M43" s="32"/>
      <c r="N43" s="4"/>
      <c r="O43" s="31"/>
      <c r="P43" s="32"/>
      <c r="Q43" s="4"/>
      <c r="R43" s="31"/>
      <c r="S43" s="32"/>
      <c r="T43" s="39"/>
      <c r="V43" s="78">
        <f ca="1"/>
        <v>45897</v>
      </c>
      <c r="W43" s="55">
        <f ca="1"/>
        <v>81.010000000000005</v>
      </c>
      <c r="Z43" s="78">
        <f ca="1"/>
        <v>45897</v>
      </c>
      <c r="AA43" s="55">
        <f ca="1"/>
        <v>110.2</v>
      </c>
      <c r="AD43" s="78">
        <f ca="1"/>
        <v>45931</v>
      </c>
      <c r="AE43" s="55">
        <f ca="1"/>
        <v>101.2109375</v>
      </c>
      <c r="AF43" s="78">
        <f ca="1"/>
        <v>45932</v>
      </c>
      <c r="AG43" s="55">
        <f ca="1"/>
        <v>100.96875</v>
      </c>
    </row>
    <row r="44" spans="1:33" ht="15" thickBot="1" x14ac:dyDescent="0.35">
      <c r="A44" s="16"/>
      <c r="B44" s="49"/>
      <c r="C44" s="50"/>
      <c r="D44" s="50"/>
      <c r="E44" s="11"/>
      <c r="F44" s="50"/>
      <c r="G44" s="51"/>
      <c r="H44" s="11"/>
      <c r="I44" s="50"/>
      <c r="J44" s="51"/>
      <c r="K44" s="11"/>
      <c r="L44" s="50"/>
      <c r="M44" s="51"/>
      <c r="N44" s="11"/>
      <c r="O44" s="50"/>
      <c r="P44" s="51"/>
      <c r="Q44" s="11"/>
      <c r="R44" s="50"/>
      <c r="S44" s="51"/>
      <c r="T44" s="52"/>
      <c r="V44" s="78">
        <f ca="1"/>
        <v>45898</v>
      </c>
      <c r="W44" s="55">
        <f ca="1"/>
        <v>80.86</v>
      </c>
      <c r="Z44" s="78">
        <f ca="1"/>
        <v>45898</v>
      </c>
      <c r="AA44" s="55">
        <f ca="1"/>
        <v>109.8</v>
      </c>
      <c r="AD44" s="78">
        <f ca="1"/>
        <v>45932</v>
      </c>
      <c r="AE44" s="55">
        <f ca="1"/>
        <v>101.3359375</v>
      </c>
      <c r="AF44" s="78">
        <f ca="1"/>
        <v>45933</v>
      </c>
      <c r="AG44" s="55">
        <f ca="1"/>
        <v>100.59375</v>
      </c>
    </row>
    <row r="45" spans="1:33" x14ac:dyDescent="0.3">
      <c r="B45" s="60"/>
      <c r="C45" s="60"/>
      <c r="D45" s="60"/>
      <c r="E45" s="60"/>
      <c r="F45" s="60"/>
      <c r="H45" s="58"/>
      <c r="I45" s="58"/>
      <c r="K45" s="60"/>
      <c r="L45" s="60"/>
      <c r="N45" s="58"/>
      <c r="O45" s="58"/>
      <c r="R45" s="58"/>
      <c r="S45" s="58"/>
      <c r="T45" s="58"/>
      <c r="V45" s="78">
        <f ca="1"/>
        <v>45902</v>
      </c>
      <c r="W45" s="55">
        <f ca="1"/>
        <v>80.39</v>
      </c>
      <c r="Z45" s="78">
        <f ca="1"/>
        <v>45902</v>
      </c>
      <c r="AA45" s="55">
        <f ca="1"/>
        <v>109.05</v>
      </c>
      <c r="AD45" s="78">
        <f ca="1"/>
        <v>45933</v>
      </c>
      <c r="AE45" s="55">
        <f ca="1"/>
        <v>101.0390625</v>
      </c>
      <c r="AF45" s="78">
        <f ca="1"/>
        <v>45936</v>
      </c>
      <c r="AG45" s="55">
        <f ca="1"/>
        <v>100.015625</v>
      </c>
    </row>
    <row r="46" spans="1:33" ht="15" thickBot="1" x14ac:dyDescent="0.35">
      <c r="B46" s="54">
        <f ca="1">TODAY()-22</f>
        <v>45918</v>
      </c>
      <c r="C46" s="1"/>
      <c r="D46" s="1"/>
      <c r="E46" s="1"/>
      <c r="F46" s="1"/>
      <c r="G46" s="1"/>
      <c r="H46" s="1"/>
      <c r="I46" s="1"/>
      <c r="J46" s="1"/>
      <c r="K46" s="1"/>
      <c r="L46" s="1"/>
      <c r="R46" s="58"/>
      <c r="S46" s="58"/>
      <c r="T46" s="58"/>
      <c r="V46" s="78">
        <f ca="1"/>
        <v>45903</v>
      </c>
      <c r="W46" s="55">
        <f ca="1"/>
        <v>80.61</v>
      </c>
      <c r="Z46" s="78">
        <f ca="1"/>
        <v>45903</v>
      </c>
      <c r="AA46" s="55">
        <f ca="1"/>
        <v>109.7</v>
      </c>
      <c r="AD46" s="78">
        <f ca="1"/>
        <v>45936</v>
      </c>
      <c r="AE46" s="55">
        <f ca="1"/>
        <v>100.765625</v>
      </c>
      <c r="AF46" s="78">
        <f ca="1"/>
        <v>45937</v>
      </c>
      <c r="AG46" s="55">
        <f ca="1"/>
        <v>100.40625</v>
      </c>
    </row>
    <row r="47" spans="1:33" ht="15" thickBot="1" x14ac:dyDescent="0.35">
      <c r="B47" s="27" t="s">
        <v>0</v>
      </c>
      <c r="C47" s="1"/>
      <c r="D47" s="45" t="s">
        <v>1</v>
      </c>
      <c r="E47" s="2"/>
      <c r="F47" s="28" t="s">
        <v>1</v>
      </c>
      <c r="G47" s="1"/>
      <c r="H47" s="80" t="s">
        <v>0</v>
      </c>
      <c r="J47" s="74" t="s">
        <v>0</v>
      </c>
      <c r="L47" s="75" t="s">
        <v>0</v>
      </c>
      <c r="R47" s="58"/>
      <c r="S47" s="58"/>
      <c r="T47" s="58"/>
      <c r="V47" s="78">
        <f ca="1"/>
        <v>45904</v>
      </c>
      <c r="W47" s="55">
        <f ca="1"/>
        <v>80.83</v>
      </c>
      <c r="Z47" s="78">
        <f ca="1"/>
        <v>45904</v>
      </c>
      <c r="AA47" s="55">
        <f ca="1"/>
        <v>110.45</v>
      </c>
      <c r="AD47" s="78">
        <f ca="1"/>
        <v>45937</v>
      </c>
      <c r="AE47" s="55">
        <f ca="1"/>
        <v>101.0078125</v>
      </c>
      <c r="AF47" s="78">
        <f ca="1"/>
        <v>45938</v>
      </c>
      <c r="AG47" s="55">
        <f ca="1"/>
        <v>100.6484375</v>
      </c>
    </row>
    <row r="48" spans="1:33" x14ac:dyDescent="0.3">
      <c r="B48" s="53" cm="1">
        <f t="array" aca="1" ref="B48:C64" ca="1">_xll.BDH($B$4, "PX_LAST, ", B46, "")</f>
        <v>45918</v>
      </c>
      <c r="C48" s="1">
        <f ca="1"/>
        <v>81.23</v>
      </c>
      <c r="D48" s="53" cm="1">
        <f t="array" aca="1" ref="D48:E64" ca="1">_xll.BDH($C$4, "PX_LAST, ", B46, "")</f>
        <v>45918</v>
      </c>
      <c r="E48" s="47">
        <f ca="1"/>
        <v>99.82421875</v>
      </c>
      <c r="F48" s="53" cm="1">
        <f t="array" aca="1" ref="F48:G64" ca="1">_xll.BDH($D$4, "PX_LAST, ", B46, "")</f>
        <v>45918</v>
      </c>
      <c r="G48" s="1">
        <f ca="1"/>
        <v>111.83</v>
      </c>
      <c r="H48" s="53" cm="1">
        <f t="array" aca="1" ref="H48:I64" ca="1">_xll.BDH($E$4, "PX_LAST, ", B46, "")</f>
        <v>45918</v>
      </c>
      <c r="I48" s="55">
        <f ca="1"/>
        <v>99.82421875</v>
      </c>
      <c r="J48" s="53" cm="1">
        <f t="array" aca="1" ref="J48:K64" ca="1">_xll.BDH($F$4, "PX_LAST, ", B46, "")</f>
        <v>45918</v>
      </c>
      <c r="K48" s="55">
        <f ca="1"/>
        <v>101.15625</v>
      </c>
      <c r="L48" s="53" cm="1">
        <f t="array" aca="1" ref="L48:M64" ca="1">_xll.BDH($G$4, "PX_LAST, ", B46, "")</f>
        <v>45918</v>
      </c>
      <c r="M48" s="55">
        <f ca="1"/>
        <v>100.390625</v>
      </c>
      <c r="R48" s="58"/>
      <c r="S48" s="58"/>
      <c r="T48" s="58"/>
      <c r="V48" s="78">
        <f ca="1"/>
        <v>45905</v>
      </c>
      <c r="W48" s="55">
        <f ca="1"/>
        <v>80.87</v>
      </c>
      <c r="Z48" s="78">
        <f ca="1"/>
        <v>45905</v>
      </c>
      <c r="AA48" s="55">
        <f ca="1"/>
        <v>111.17</v>
      </c>
      <c r="AD48" s="78">
        <f ca="1"/>
        <v>45938</v>
      </c>
      <c r="AE48" s="55">
        <f ca="1"/>
        <v>101.046875</v>
      </c>
      <c r="AF48" s="78">
        <f ca="1"/>
        <v>45939</v>
      </c>
      <c r="AG48" s="55">
        <f ca="1"/>
        <v>100.4375</v>
      </c>
    </row>
    <row r="49" spans="2:33" x14ac:dyDescent="0.3">
      <c r="B49" s="78">
        <f ca="1"/>
        <v>45919</v>
      </c>
      <c r="C49" s="60">
        <f ca="1"/>
        <v>81.260000000000005</v>
      </c>
      <c r="D49" s="78">
        <f ca="1"/>
        <v>45919</v>
      </c>
      <c r="E49" s="60">
        <f ca="1"/>
        <v>99.7578125</v>
      </c>
      <c r="F49" s="78">
        <f ca="1"/>
        <v>45919</v>
      </c>
      <c r="G49" s="55">
        <f ca="1"/>
        <v>111.74</v>
      </c>
      <c r="H49" s="78">
        <f ca="1"/>
        <v>45919</v>
      </c>
      <c r="I49" s="55">
        <f ca="1"/>
        <v>99.7578125</v>
      </c>
      <c r="J49" s="78">
        <f ca="1"/>
        <v>45919</v>
      </c>
      <c r="K49" s="60">
        <f ca="1"/>
        <v>100.9765625</v>
      </c>
      <c r="L49" s="78">
        <f ca="1"/>
        <v>45919</v>
      </c>
      <c r="M49" s="55">
        <f ca="1"/>
        <v>100.078125</v>
      </c>
      <c r="V49" s="78">
        <f ca="1"/>
        <v>45908</v>
      </c>
      <c r="W49" s="55">
        <f ca="1"/>
        <v>80.87</v>
      </c>
      <c r="Z49" s="78">
        <f ca="1"/>
        <v>45908</v>
      </c>
      <c r="AA49" s="55">
        <f ca="1"/>
        <v>111.56</v>
      </c>
      <c r="AD49" s="78">
        <f ca="1"/>
        <v>45939</v>
      </c>
      <c r="AE49" s="55">
        <f ca="1"/>
        <v>100.8828125</v>
      </c>
      <c r="AF49" s="78">
        <f ca="1"/>
        <v>45940</v>
      </c>
      <c r="AG49" s="55">
        <f ca="1"/>
        <v>101.1484375</v>
      </c>
    </row>
    <row r="50" spans="2:33" x14ac:dyDescent="0.3">
      <c r="B50" s="78">
        <f ca="1"/>
        <v>45922</v>
      </c>
      <c r="C50" s="60">
        <f ca="1"/>
        <v>81.319999999999993</v>
      </c>
      <c r="D50" s="78">
        <f ca="1"/>
        <v>45922</v>
      </c>
      <c r="E50" s="60">
        <f ca="1"/>
        <v>99.65234375</v>
      </c>
      <c r="F50" s="78">
        <f ca="1"/>
        <v>45922</v>
      </c>
      <c r="G50" s="55">
        <f ca="1"/>
        <v>111.49</v>
      </c>
      <c r="H50" s="78">
        <f ca="1"/>
        <v>45922</v>
      </c>
      <c r="I50" s="55">
        <f ca="1"/>
        <v>99.65234375</v>
      </c>
      <c r="J50" s="78">
        <f ca="1"/>
        <v>45922</v>
      </c>
      <c r="K50" s="60">
        <f ca="1"/>
        <v>100.8203125</v>
      </c>
      <c r="L50" s="78">
        <f ca="1"/>
        <v>45922</v>
      </c>
      <c r="M50" s="55">
        <f ca="1"/>
        <v>99.78125</v>
      </c>
      <c r="V50" s="78">
        <f ca="1"/>
        <v>45909</v>
      </c>
      <c r="W50" s="55">
        <f ca="1"/>
        <v>80.78</v>
      </c>
      <c r="Z50" s="78">
        <f ca="1"/>
        <v>45909</v>
      </c>
      <c r="AA50" s="55">
        <f ca="1"/>
        <v>111.36</v>
      </c>
      <c r="AD50" s="78">
        <f ca="1"/>
        <v>45940</v>
      </c>
      <c r="AE50" s="55">
        <f ca="1"/>
        <v>101.1640625</v>
      </c>
    </row>
    <row r="51" spans="2:33" x14ac:dyDescent="0.3">
      <c r="B51" s="78">
        <f ca="1"/>
        <v>45923</v>
      </c>
      <c r="C51" s="60">
        <f ca="1"/>
        <v>81.260000000000005</v>
      </c>
      <c r="D51" s="78">
        <f ca="1"/>
        <v>45923</v>
      </c>
      <c r="E51" s="60">
        <f ca="1"/>
        <v>99.80078125</v>
      </c>
      <c r="F51" s="78">
        <f ca="1"/>
        <v>45923</v>
      </c>
      <c r="G51" s="55">
        <f ca="1"/>
        <v>111.71</v>
      </c>
      <c r="H51" s="78">
        <f ca="1"/>
        <v>45923</v>
      </c>
      <c r="I51" s="55">
        <f ca="1"/>
        <v>99.80078125</v>
      </c>
      <c r="J51" s="78">
        <f ca="1"/>
        <v>45923</v>
      </c>
      <c r="K51" s="60">
        <f ca="1"/>
        <v>101.1484375</v>
      </c>
      <c r="L51" s="78">
        <f ca="1"/>
        <v>45923</v>
      </c>
      <c r="M51" s="55">
        <f ca="1"/>
        <v>100.4765625</v>
      </c>
      <c r="V51" s="78">
        <f ca="1"/>
        <v>45910</v>
      </c>
      <c r="W51" s="55">
        <f ca="1"/>
        <v>80.84</v>
      </c>
      <c r="Z51" s="78">
        <f ca="1"/>
        <v>45910</v>
      </c>
      <c r="AA51" s="55">
        <f ca="1"/>
        <v>111.69</v>
      </c>
    </row>
    <row r="52" spans="2:33" x14ac:dyDescent="0.3">
      <c r="B52" s="78">
        <f ca="1"/>
        <v>45924</v>
      </c>
      <c r="C52" s="60">
        <f ca="1"/>
        <v>81.150000000000006</v>
      </c>
      <c r="D52" s="78">
        <f ca="1"/>
        <v>45924</v>
      </c>
      <c r="E52" s="60">
        <f ca="1"/>
        <v>99.58203125</v>
      </c>
      <c r="F52" s="78">
        <f ca="1"/>
        <v>45924</v>
      </c>
      <c r="G52" s="55">
        <f ca="1"/>
        <v>111.26</v>
      </c>
      <c r="H52" s="78">
        <f ca="1"/>
        <v>45924</v>
      </c>
      <c r="I52" s="55">
        <f ca="1"/>
        <v>99.58203125</v>
      </c>
      <c r="J52" s="78">
        <f ca="1"/>
        <v>45924</v>
      </c>
      <c r="K52" s="60">
        <f ca="1"/>
        <v>100.8203125</v>
      </c>
      <c r="L52" s="78">
        <f ca="1"/>
        <v>45924</v>
      </c>
      <c r="M52" s="55">
        <f ca="1"/>
        <v>99.9765625</v>
      </c>
      <c r="V52" s="78">
        <f ca="1"/>
        <v>45911</v>
      </c>
      <c r="W52" s="55">
        <f ca="1"/>
        <v>81.040000000000006</v>
      </c>
      <c r="Z52" s="78">
        <f ca="1"/>
        <v>45911</v>
      </c>
      <c r="AA52" s="55">
        <f ca="1"/>
        <v>112.21</v>
      </c>
    </row>
    <row r="53" spans="2:33" x14ac:dyDescent="0.3">
      <c r="B53" s="78">
        <f ca="1"/>
        <v>45925</v>
      </c>
      <c r="C53" s="60">
        <f ca="1"/>
        <v>80.92</v>
      </c>
      <c r="D53" s="78">
        <f ca="1"/>
        <v>45925</v>
      </c>
      <c r="E53" s="60">
        <f ca="1"/>
        <v>99.40234375</v>
      </c>
      <c r="F53" s="78">
        <f ca="1"/>
        <v>45925</v>
      </c>
      <c r="G53" s="55">
        <f ca="1"/>
        <v>111.06</v>
      </c>
      <c r="H53" s="78">
        <f ca="1"/>
        <v>45925</v>
      </c>
      <c r="I53" s="55">
        <f ca="1"/>
        <v>99.40234375</v>
      </c>
      <c r="J53" s="78">
        <f ca="1"/>
        <v>45925</v>
      </c>
      <c r="K53" s="60">
        <f ca="1"/>
        <v>100.6328125</v>
      </c>
      <c r="L53" s="78">
        <f ca="1"/>
        <v>45925</v>
      </c>
      <c r="M53" s="55">
        <f ca="1"/>
        <v>100.0234375</v>
      </c>
      <c r="V53" s="78">
        <f ca="1"/>
        <v>45912</v>
      </c>
      <c r="W53" s="55">
        <f ca="1"/>
        <v>80.959999999999994</v>
      </c>
      <c r="Z53" s="78">
        <f ca="1"/>
        <v>45912</v>
      </c>
      <c r="AA53" s="55">
        <f ca="1"/>
        <v>112.01</v>
      </c>
    </row>
    <row r="54" spans="2:33" x14ac:dyDescent="0.3">
      <c r="B54" s="78">
        <f ca="1"/>
        <v>45926</v>
      </c>
      <c r="C54" s="60">
        <f ca="1"/>
        <v>81.08</v>
      </c>
      <c r="D54" s="78">
        <f ca="1"/>
        <v>45926</v>
      </c>
      <c r="E54" s="60">
        <f ca="1"/>
        <v>99.37890625</v>
      </c>
      <c r="F54" s="78">
        <f ca="1"/>
        <v>45926</v>
      </c>
      <c r="G54" s="55">
        <f ca="1"/>
        <v>111.21</v>
      </c>
      <c r="H54" s="78">
        <f ca="1"/>
        <v>45926</v>
      </c>
      <c r="I54" s="55">
        <f ca="1"/>
        <v>99.37890625</v>
      </c>
      <c r="J54" s="78">
        <f ca="1"/>
        <v>45926</v>
      </c>
      <c r="K54" s="60">
        <f ca="1"/>
        <v>100.5859375</v>
      </c>
      <c r="L54" s="78">
        <f ca="1"/>
        <v>45926</v>
      </c>
      <c r="M54" s="55">
        <f ca="1"/>
        <v>100</v>
      </c>
      <c r="V54" s="78">
        <f ca="1"/>
        <v>45915</v>
      </c>
      <c r="W54" s="55">
        <f ca="1"/>
        <v>81.19</v>
      </c>
      <c r="Z54" s="78">
        <f ca="1"/>
        <v>45915</v>
      </c>
      <c r="AA54" s="55">
        <f ca="1"/>
        <v>112.36</v>
      </c>
    </row>
    <row r="55" spans="2:33" x14ac:dyDescent="0.3">
      <c r="B55" s="78">
        <f ca="1"/>
        <v>45929</v>
      </c>
      <c r="C55" s="60">
        <f ca="1"/>
        <v>81.22</v>
      </c>
      <c r="D55" s="78">
        <f ca="1"/>
        <v>45929</v>
      </c>
      <c r="E55" s="60">
        <f ca="1"/>
        <v>99.5078125</v>
      </c>
      <c r="F55" s="78">
        <f ca="1"/>
        <v>45929</v>
      </c>
      <c r="G55" s="55">
        <f ca="1"/>
        <v>111.58</v>
      </c>
      <c r="H55" s="78">
        <f ca="1"/>
        <v>45929</v>
      </c>
      <c r="I55" s="55">
        <f ca="1"/>
        <v>99.5078125</v>
      </c>
      <c r="J55" s="78">
        <f ca="1"/>
        <v>45929</v>
      </c>
      <c r="K55" s="60">
        <f ca="1"/>
        <v>100.8828125</v>
      </c>
      <c r="L55" s="78">
        <f ca="1"/>
        <v>45929</v>
      </c>
      <c r="M55" s="55">
        <f ca="1"/>
        <v>100.71875</v>
      </c>
      <c r="V55" s="78">
        <f ca="1"/>
        <v>45916</v>
      </c>
      <c r="W55" s="55">
        <f ca="1"/>
        <v>81.13</v>
      </c>
      <c r="Z55" s="78">
        <f ca="1"/>
        <v>45916</v>
      </c>
      <c r="AA55" s="55">
        <f ca="1"/>
        <v>112.26</v>
      </c>
    </row>
    <row r="56" spans="2:33" x14ac:dyDescent="0.3">
      <c r="B56" s="78">
        <f ca="1"/>
        <v>45930</v>
      </c>
      <c r="C56" s="60">
        <f ca="1"/>
        <v>81.19</v>
      </c>
      <c r="D56" s="78">
        <f ca="1"/>
        <v>45930</v>
      </c>
      <c r="E56" s="60">
        <f ca="1"/>
        <v>99.48046875</v>
      </c>
      <c r="F56" s="78">
        <f ca="1"/>
        <v>45930</v>
      </c>
      <c r="G56" s="55">
        <f ca="1"/>
        <v>111.47</v>
      </c>
      <c r="H56" s="78">
        <f ca="1"/>
        <v>45930</v>
      </c>
      <c r="I56" s="55">
        <f ca="1"/>
        <v>99.48046875</v>
      </c>
      <c r="J56" s="78">
        <f ca="1"/>
        <v>45930</v>
      </c>
      <c r="K56" s="60">
        <f ca="1"/>
        <v>100.7890625</v>
      </c>
      <c r="L56" s="78">
        <f ca="1"/>
        <v>45930</v>
      </c>
      <c r="M56" s="55">
        <f ca="1"/>
        <v>100.28125</v>
      </c>
      <c r="V56" s="78">
        <f ca="1"/>
        <v>45917</v>
      </c>
      <c r="W56" s="55">
        <f ca="1"/>
        <v>81.05</v>
      </c>
      <c r="Z56" s="78">
        <f ca="1"/>
        <v>45917</v>
      </c>
      <c r="AA56" s="55">
        <f ca="1"/>
        <v>112.06</v>
      </c>
    </row>
    <row r="57" spans="2:33" x14ac:dyDescent="0.3">
      <c r="B57" s="78">
        <f ca="1"/>
        <v>45931</v>
      </c>
      <c r="C57" s="55">
        <f ca="1"/>
        <v>80.959999999999994</v>
      </c>
      <c r="D57" s="78">
        <f ca="1"/>
        <v>45931</v>
      </c>
      <c r="E57" s="55">
        <f ca="1"/>
        <v>99.78515625</v>
      </c>
      <c r="F57" s="78">
        <f ca="1"/>
        <v>45931</v>
      </c>
      <c r="G57" s="55">
        <f ca="1"/>
        <v>111.51</v>
      </c>
      <c r="H57" s="78">
        <f ca="1"/>
        <v>45931</v>
      </c>
      <c r="I57" s="55">
        <f ca="1"/>
        <v>99.78515625</v>
      </c>
      <c r="J57" s="78">
        <f ca="1"/>
        <v>45931</v>
      </c>
      <c r="K57" s="55">
        <f ca="1"/>
        <v>101.2109375</v>
      </c>
      <c r="L57" s="78">
        <f ca="1"/>
        <v>45931</v>
      </c>
      <c r="M57" s="55">
        <f ca="1"/>
        <v>100.6328125</v>
      </c>
      <c r="V57" s="78">
        <f ca="1"/>
        <v>45918</v>
      </c>
      <c r="W57" s="55">
        <f ca="1"/>
        <v>81.23</v>
      </c>
      <c r="Z57" s="78">
        <f ca="1"/>
        <v>45918</v>
      </c>
      <c r="AA57" s="55">
        <f ca="1"/>
        <v>111.83</v>
      </c>
    </row>
    <row r="58" spans="2:33" x14ac:dyDescent="0.3">
      <c r="B58" s="78">
        <f ca="1"/>
        <v>45932</v>
      </c>
      <c r="C58" s="55">
        <f ca="1"/>
        <v>80.930000000000007</v>
      </c>
      <c r="D58" s="78">
        <f ca="1"/>
        <v>45932</v>
      </c>
      <c r="E58" s="55">
        <f ca="1"/>
        <v>99.79296875</v>
      </c>
      <c r="F58" s="78">
        <f ca="1"/>
        <v>45932</v>
      </c>
      <c r="G58" s="55">
        <f ca="1"/>
        <v>111.69</v>
      </c>
      <c r="H58" s="78">
        <f ca="1"/>
        <v>45932</v>
      </c>
      <c r="I58" s="55">
        <f ca="1"/>
        <v>99.79296875</v>
      </c>
      <c r="J58" s="78">
        <f ca="1"/>
        <v>45932</v>
      </c>
      <c r="K58" s="55">
        <f ca="1"/>
        <v>101.3359375</v>
      </c>
      <c r="L58" s="78">
        <f ca="1"/>
        <v>45932</v>
      </c>
      <c r="M58" s="55">
        <f ca="1"/>
        <v>100.96875</v>
      </c>
      <c r="V58" s="78">
        <f ca="1"/>
        <v>45919</v>
      </c>
      <c r="W58" s="55">
        <f ca="1"/>
        <v>81.260000000000005</v>
      </c>
      <c r="Z58" s="78">
        <f ca="1"/>
        <v>45919</v>
      </c>
      <c r="AA58" s="55">
        <f ca="1"/>
        <v>111.74</v>
      </c>
    </row>
    <row r="59" spans="2:33" x14ac:dyDescent="0.3">
      <c r="B59" s="78">
        <f ca="1"/>
        <v>45933</v>
      </c>
      <c r="C59" s="55">
        <f ca="1"/>
        <v>80.84</v>
      </c>
      <c r="D59" s="78">
        <f ca="1"/>
        <v>45933</v>
      </c>
      <c r="E59" s="55">
        <f ca="1"/>
        <v>99.58984375</v>
      </c>
      <c r="F59" s="78">
        <f ca="1"/>
        <v>45933</v>
      </c>
      <c r="G59" s="55">
        <f ca="1"/>
        <v>111.55</v>
      </c>
      <c r="H59" s="78">
        <f ca="1"/>
        <v>45933</v>
      </c>
      <c r="I59" s="55">
        <f ca="1"/>
        <v>99.58984375</v>
      </c>
      <c r="J59" s="78">
        <f ca="1"/>
        <v>45933</v>
      </c>
      <c r="K59" s="55">
        <f ca="1"/>
        <v>101.0390625</v>
      </c>
      <c r="L59" s="78">
        <f ca="1"/>
        <v>45933</v>
      </c>
      <c r="M59" s="55">
        <f ca="1"/>
        <v>100.59375</v>
      </c>
      <c r="V59" s="78">
        <f ca="1"/>
        <v>45922</v>
      </c>
      <c r="W59" s="55">
        <f ca="1"/>
        <v>81.319999999999993</v>
      </c>
      <c r="Z59" s="78">
        <f ca="1"/>
        <v>45922</v>
      </c>
      <c r="AA59" s="55">
        <f ca="1"/>
        <v>111.49</v>
      </c>
    </row>
    <row r="60" spans="2:33" x14ac:dyDescent="0.3">
      <c r="B60" s="78">
        <f ca="1"/>
        <v>45936</v>
      </c>
      <c r="C60" s="55">
        <f ca="1"/>
        <v>80.86</v>
      </c>
      <c r="D60" s="78">
        <f ca="1"/>
        <v>45936</v>
      </c>
      <c r="E60" s="55">
        <f ca="1"/>
        <v>99.5078125</v>
      </c>
      <c r="F60" s="78">
        <f ca="1"/>
        <v>45936</v>
      </c>
      <c r="G60" s="55">
        <f ca="1"/>
        <v>111.19</v>
      </c>
      <c r="H60" s="78">
        <f ca="1"/>
        <v>45936</v>
      </c>
      <c r="I60" s="55">
        <f ca="1"/>
        <v>99.5078125</v>
      </c>
      <c r="J60" s="78">
        <f ca="1"/>
        <v>45936</v>
      </c>
      <c r="K60" s="55">
        <f ca="1"/>
        <v>100.765625</v>
      </c>
      <c r="L60" s="78">
        <f ca="1"/>
        <v>45936</v>
      </c>
      <c r="M60" s="55">
        <f ca="1"/>
        <v>100.015625</v>
      </c>
      <c r="V60" s="78">
        <f ca="1"/>
        <v>45923</v>
      </c>
      <c r="W60" s="55">
        <f ca="1"/>
        <v>81.260000000000005</v>
      </c>
      <c r="Z60" s="78">
        <f ca="1"/>
        <v>45923</v>
      </c>
      <c r="AA60" s="55">
        <f ca="1"/>
        <v>111.71</v>
      </c>
    </row>
    <row r="61" spans="2:33" x14ac:dyDescent="0.3">
      <c r="B61" s="78">
        <f ca="1"/>
        <v>45937</v>
      </c>
      <c r="C61" s="55">
        <f ca="1"/>
        <v>80.77</v>
      </c>
      <c r="D61" s="78">
        <f ca="1"/>
        <v>45937</v>
      </c>
      <c r="E61" s="55">
        <f ca="1"/>
        <v>99.65625</v>
      </c>
      <c r="F61" s="78">
        <f ca="1"/>
        <v>45937</v>
      </c>
      <c r="G61" s="55">
        <f ca="1"/>
        <v>111.4</v>
      </c>
      <c r="H61" s="78">
        <f ca="1"/>
        <v>45937</v>
      </c>
      <c r="I61" s="55">
        <f ca="1"/>
        <v>99.65625</v>
      </c>
      <c r="J61" s="78">
        <f ca="1"/>
        <v>45937</v>
      </c>
      <c r="K61" s="55">
        <f ca="1"/>
        <v>101.0078125</v>
      </c>
      <c r="L61" s="78">
        <f ca="1"/>
        <v>45937</v>
      </c>
      <c r="M61" s="55">
        <f ca="1"/>
        <v>100.40625</v>
      </c>
      <c r="V61" s="78">
        <f ca="1"/>
        <v>45924</v>
      </c>
      <c r="W61" s="55">
        <f ca="1"/>
        <v>81.150000000000006</v>
      </c>
      <c r="Z61" s="78">
        <f ca="1"/>
        <v>45924</v>
      </c>
      <c r="AA61" s="55">
        <f ca="1"/>
        <v>111.26</v>
      </c>
    </row>
    <row r="62" spans="2:33" x14ac:dyDescent="0.3">
      <c r="B62" s="78">
        <f ca="1"/>
        <v>45938</v>
      </c>
      <c r="C62" s="55">
        <f ca="1"/>
        <v>80.650000000000006</v>
      </c>
      <c r="D62" s="78">
        <f ca="1"/>
        <v>45938</v>
      </c>
      <c r="E62" s="55">
        <f ca="1"/>
        <v>99.6015625</v>
      </c>
      <c r="F62" s="78">
        <f ca="1"/>
        <v>45938</v>
      </c>
      <c r="G62" s="55">
        <f ca="1"/>
        <v>111.26</v>
      </c>
      <c r="H62" s="78">
        <f ca="1"/>
        <v>45938</v>
      </c>
      <c r="I62" s="55">
        <f ca="1"/>
        <v>99.6015625</v>
      </c>
      <c r="J62" s="78">
        <f ca="1"/>
        <v>45938</v>
      </c>
      <c r="K62" s="55">
        <f ca="1"/>
        <v>101.046875</v>
      </c>
      <c r="L62" s="78">
        <f ca="1"/>
        <v>45938</v>
      </c>
      <c r="M62" s="55">
        <f ca="1"/>
        <v>100.6484375</v>
      </c>
      <c r="V62" s="78">
        <f ca="1"/>
        <v>45925</v>
      </c>
      <c r="W62" s="55">
        <f ca="1"/>
        <v>80.92</v>
      </c>
      <c r="Z62" s="78">
        <f ca="1"/>
        <v>45925</v>
      </c>
      <c r="AA62" s="55">
        <f ca="1"/>
        <v>111.06</v>
      </c>
    </row>
    <row r="63" spans="2:33" x14ac:dyDescent="0.3">
      <c r="B63" s="78">
        <f ca="1"/>
        <v>45939</v>
      </c>
      <c r="C63" s="55">
        <f ca="1"/>
        <v>80.42</v>
      </c>
      <c r="D63" s="78">
        <f ca="1"/>
        <v>45939</v>
      </c>
      <c r="E63" s="55">
        <f ca="1"/>
        <v>99.50390625</v>
      </c>
      <c r="F63" s="78">
        <f ca="1"/>
        <v>45939</v>
      </c>
      <c r="G63" s="55">
        <f ca="1"/>
        <v>111.04</v>
      </c>
      <c r="H63" s="78">
        <f ca="1"/>
        <v>45939</v>
      </c>
      <c r="I63" s="55">
        <f ca="1"/>
        <v>99.50390625</v>
      </c>
      <c r="J63" s="78">
        <f ca="1"/>
        <v>45939</v>
      </c>
      <c r="K63" s="55">
        <f ca="1"/>
        <v>100.8828125</v>
      </c>
      <c r="L63" s="78">
        <f ca="1"/>
        <v>45939</v>
      </c>
      <c r="M63" s="55">
        <f ca="1"/>
        <v>100.4375</v>
      </c>
      <c r="V63" s="78">
        <f ca="1"/>
        <v>45926</v>
      </c>
      <c r="W63" s="55">
        <f ca="1"/>
        <v>81.08</v>
      </c>
      <c r="Z63" s="78">
        <f ca="1"/>
        <v>45926</v>
      </c>
      <c r="AA63" s="55">
        <f ca="1"/>
        <v>111.21</v>
      </c>
    </row>
    <row r="64" spans="2:33" x14ac:dyDescent="0.3">
      <c r="B64" s="78">
        <f ca="1"/>
        <v>45940</v>
      </c>
      <c r="C64" s="55">
        <f ca="1"/>
        <v>80.34</v>
      </c>
      <c r="D64" s="78">
        <f ca="1"/>
        <v>45940</v>
      </c>
      <c r="E64" s="55">
        <f ca="1"/>
        <v>99.625</v>
      </c>
      <c r="F64" s="78">
        <f ca="1"/>
        <v>45940</v>
      </c>
      <c r="G64" s="55">
        <f ca="1"/>
        <v>111.315</v>
      </c>
      <c r="H64" s="78">
        <f ca="1"/>
        <v>45940</v>
      </c>
      <c r="I64" s="55">
        <f ca="1"/>
        <v>99.625</v>
      </c>
      <c r="J64" s="78">
        <f ca="1"/>
        <v>45940</v>
      </c>
      <c r="K64" s="55">
        <f ca="1"/>
        <v>101.1640625</v>
      </c>
      <c r="L64" s="78">
        <f ca="1"/>
        <v>45940</v>
      </c>
      <c r="M64" s="55">
        <f ca="1"/>
        <v>101.1484375</v>
      </c>
      <c r="V64" s="78">
        <f ca="1"/>
        <v>45929</v>
      </c>
      <c r="W64" s="55">
        <f ca="1"/>
        <v>81.22</v>
      </c>
      <c r="Z64" s="78">
        <f ca="1"/>
        <v>45929</v>
      </c>
      <c r="AA64" s="55">
        <f ca="1"/>
        <v>111.58</v>
      </c>
    </row>
    <row r="65" spans="8:27" x14ac:dyDescent="0.3">
      <c r="H65" s="78"/>
      <c r="J65" s="78"/>
      <c r="L65" s="78"/>
      <c r="V65" s="78">
        <f ca="1"/>
        <v>45930</v>
      </c>
      <c r="W65" s="55">
        <f ca="1"/>
        <v>81.19</v>
      </c>
      <c r="Z65" s="78">
        <f ca="1"/>
        <v>45930</v>
      </c>
      <c r="AA65" s="55">
        <f ca="1"/>
        <v>111.47</v>
      </c>
    </row>
    <row r="66" spans="8:27" x14ac:dyDescent="0.3">
      <c r="H66" s="78"/>
      <c r="J66" s="78"/>
      <c r="V66" s="78">
        <f ca="1"/>
        <v>45931</v>
      </c>
      <c r="W66" s="55">
        <f ca="1"/>
        <v>80.959999999999994</v>
      </c>
      <c r="Z66" s="78">
        <f ca="1"/>
        <v>45931</v>
      </c>
      <c r="AA66" s="55">
        <f ca="1"/>
        <v>111.51</v>
      </c>
    </row>
    <row r="67" spans="8:27" x14ac:dyDescent="0.3">
      <c r="H67" s="78"/>
      <c r="J67" s="78"/>
      <c r="V67" s="78">
        <f ca="1"/>
        <v>45932</v>
      </c>
      <c r="W67" s="55">
        <f ca="1"/>
        <v>80.930000000000007</v>
      </c>
      <c r="Z67" s="78">
        <f ca="1"/>
        <v>45932</v>
      </c>
      <c r="AA67" s="55">
        <f ca="1"/>
        <v>111.69</v>
      </c>
    </row>
    <row r="68" spans="8:27" x14ac:dyDescent="0.3">
      <c r="H68" s="78"/>
      <c r="J68" s="78"/>
      <c r="V68" s="78">
        <f ca="1"/>
        <v>45933</v>
      </c>
      <c r="W68" s="55">
        <f ca="1"/>
        <v>80.84</v>
      </c>
      <c r="Z68" s="78">
        <f ca="1"/>
        <v>45933</v>
      </c>
      <c r="AA68" s="55">
        <f ca="1"/>
        <v>111.55</v>
      </c>
    </row>
    <row r="69" spans="8:27" x14ac:dyDescent="0.3">
      <c r="H69" s="78"/>
      <c r="J69" s="78"/>
      <c r="V69" s="78">
        <f ca="1"/>
        <v>45936</v>
      </c>
      <c r="W69" s="55">
        <f ca="1"/>
        <v>80.86</v>
      </c>
      <c r="Z69" s="78">
        <f ca="1"/>
        <v>45936</v>
      </c>
      <c r="AA69" s="55">
        <f ca="1"/>
        <v>111.19</v>
      </c>
    </row>
    <row r="70" spans="8:27" x14ac:dyDescent="0.3">
      <c r="H70" s="78"/>
      <c r="J70" s="78"/>
      <c r="V70" s="78">
        <f ca="1"/>
        <v>45937</v>
      </c>
      <c r="W70" s="55">
        <f ca="1"/>
        <v>80.77</v>
      </c>
      <c r="Z70" s="78">
        <f ca="1"/>
        <v>45937</v>
      </c>
      <c r="AA70" s="55">
        <f ca="1"/>
        <v>111.4</v>
      </c>
    </row>
    <row r="71" spans="8:27" x14ac:dyDescent="0.3">
      <c r="H71" s="78"/>
      <c r="J71" s="78"/>
      <c r="V71" s="78">
        <f ca="1"/>
        <v>45938</v>
      </c>
      <c r="W71" s="55">
        <f ca="1"/>
        <v>80.650000000000006</v>
      </c>
      <c r="Z71" s="78">
        <f ca="1"/>
        <v>45938</v>
      </c>
      <c r="AA71" s="55">
        <f ca="1"/>
        <v>111.26</v>
      </c>
    </row>
    <row r="72" spans="8:27" x14ac:dyDescent="0.3">
      <c r="H72" s="78"/>
      <c r="J72" s="78"/>
      <c r="V72" s="78">
        <f ca="1"/>
        <v>45939</v>
      </c>
      <c r="W72" s="55">
        <f ca="1"/>
        <v>80.42</v>
      </c>
      <c r="Z72" s="78">
        <f ca="1"/>
        <v>45939</v>
      </c>
      <c r="AA72" s="55">
        <f ca="1"/>
        <v>111.04</v>
      </c>
    </row>
    <row r="73" spans="8:27" x14ac:dyDescent="0.3">
      <c r="H73" s="78"/>
      <c r="V73" s="78">
        <f ca="1"/>
        <v>45940</v>
      </c>
      <c r="W73" s="55">
        <f ca="1"/>
        <v>80.34</v>
      </c>
      <c r="Z73" s="78">
        <f ca="1"/>
        <v>45940</v>
      </c>
      <c r="AA73" s="55">
        <f ca="1"/>
        <v>111.315</v>
      </c>
    </row>
    <row r="74" spans="8:27" x14ac:dyDescent="0.3">
      <c r="H74" s="78"/>
    </row>
    <row r="75" spans="8:27" x14ac:dyDescent="0.3">
      <c r="H75" s="78"/>
    </row>
    <row r="76" spans="8:27" x14ac:dyDescent="0.3">
      <c r="H76" s="78"/>
    </row>
  </sheetData>
  <mergeCells count="6">
    <mergeCell ref="Q12:S12"/>
    <mergeCell ref="B12:D12"/>
    <mergeCell ref="E12:G12"/>
    <mergeCell ref="H12:J12"/>
    <mergeCell ref="K12:M12"/>
    <mergeCell ref="N12:P12"/>
  </mergeCells>
  <conditionalFormatting sqref="T13:T35">
    <cfRule type="cellIs" dxfId="2" priority="1" operator="lessThan">
      <formula>0</formula>
    </cfRule>
  </conditionalFormatting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A3848-A484-4C66-B70D-DE0974E6095A}">
  <dimension ref="A1:AK73"/>
  <sheetViews>
    <sheetView tabSelected="1" zoomScale="70" zoomScaleNormal="70" workbookViewId="0"/>
  </sheetViews>
  <sheetFormatPr defaultRowHeight="14.4" x14ac:dyDescent="0.3"/>
  <cols>
    <col min="1" max="1" width="14.5546875" style="55" bestFit="1" customWidth="1"/>
    <col min="2" max="3" width="13.33203125" style="55" bestFit="1" customWidth="1"/>
    <col min="4" max="4" width="12.21875" style="55" bestFit="1" customWidth="1"/>
    <col min="5" max="7" width="13.33203125" style="55" bestFit="1" customWidth="1"/>
    <col min="8" max="8" width="11.5546875" style="55" bestFit="1" customWidth="1"/>
    <col min="9" max="9" width="13.33203125" style="55" bestFit="1" customWidth="1"/>
    <col min="10" max="11" width="11.5546875" style="55" bestFit="1" customWidth="1"/>
    <col min="12" max="14" width="13.33203125" style="55" bestFit="1" customWidth="1"/>
    <col min="15" max="15" width="11.5546875" style="55" bestFit="1" customWidth="1"/>
    <col min="16" max="16" width="13.33203125" style="55" bestFit="1" customWidth="1"/>
    <col min="17" max="17" width="11.5546875" style="55" bestFit="1" customWidth="1"/>
    <col min="18" max="18" width="10.44140625" style="55" bestFit="1" customWidth="1"/>
    <col min="19" max="19" width="11.5546875" style="55" bestFit="1" customWidth="1"/>
    <col min="20" max="20" width="12.21875" style="55" bestFit="1" customWidth="1"/>
    <col min="22" max="22" width="13" style="55" bestFit="1" customWidth="1"/>
    <col min="23" max="23" width="10.109375" style="55" bestFit="1" customWidth="1"/>
    <col min="24" max="24" width="7.77734375" style="55" bestFit="1" customWidth="1"/>
    <col min="25" max="25" width="8.88671875" style="55"/>
    <col min="26" max="26" width="10.5546875" style="78" hidden="1" customWidth="1"/>
    <col min="27" max="27" width="7" style="55" hidden="1" customWidth="1"/>
    <col min="28" max="28" width="10.5546875" style="78" hidden="1" customWidth="1"/>
    <col min="29" max="29" width="0" style="55" hidden="1" customWidth="1"/>
    <col min="30" max="30" width="10.5546875" style="78" hidden="1" customWidth="1"/>
    <col min="31" max="31" width="0" style="55" hidden="1" customWidth="1"/>
    <col min="32" max="32" width="10.5546875" style="78" hidden="1" customWidth="1"/>
    <col min="33" max="33" width="0" style="55" hidden="1" customWidth="1"/>
    <col min="34" max="34" width="10.5546875" style="78" hidden="1" customWidth="1"/>
    <col min="35" max="35" width="0" style="55" hidden="1" customWidth="1"/>
    <col min="36" max="36" width="10.5546875" style="78" hidden="1" customWidth="1"/>
    <col min="37" max="37" width="0" style="55" hidden="1" customWidth="1"/>
    <col min="38" max="16384" width="8.88671875" style="55"/>
  </cols>
  <sheetData>
    <row r="1" spans="1:37" ht="15" thickBot="1" x14ac:dyDescent="0.35">
      <c r="A1" s="1"/>
      <c r="B1" s="1"/>
      <c r="C1" s="1"/>
      <c r="D1" s="1"/>
      <c r="E1" s="1"/>
      <c r="F1" s="1"/>
      <c r="G1" s="1"/>
      <c r="I1" s="54">
        <f ca="1">TODAY()-5</f>
        <v>45935</v>
      </c>
      <c r="J1" s="1"/>
      <c r="K1" s="1"/>
      <c r="L1" s="1"/>
      <c r="M1" s="1"/>
      <c r="N1" s="1"/>
      <c r="O1" s="1"/>
      <c r="P1" s="1"/>
      <c r="Q1" s="1"/>
      <c r="R1" s="1"/>
      <c r="S1" s="1"/>
      <c r="Z1" s="54">
        <f ca="1">TODAY()-100</f>
        <v>45840</v>
      </c>
      <c r="AA1" s="1"/>
      <c r="AB1" s="54"/>
      <c r="AC1" s="1"/>
      <c r="AD1" s="54"/>
      <c r="AE1" s="1"/>
      <c r="AF1" s="54"/>
      <c r="AG1" s="1"/>
      <c r="AH1" s="54"/>
      <c r="AI1" s="1"/>
      <c r="AJ1" s="54"/>
    </row>
    <row r="2" spans="1:37" ht="15" thickBot="1" x14ac:dyDescent="0.35">
      <c r="A2" s="30"/>
      <c r="B2" s="41" t="s">
        <v>0</v>
      </c>
      <c r="C2" s="45" t="s">
        <v>1</v>
      </c>
      <c r="D2" s="74" t="s">
        <v>1</v>
      </c>
      <c r="E2" s="80" t="s">
        <v>1</v>
      </c>
      <c r="F2" s="74" t="s">
        <v>1</v>
      </c>
      <c r="G2" s="75" t="s">
        <v>0</v>
      </c>
      <c r="I2" s="27" t="s">
        <v>0</v>
      </c>
      <c r="J2" s="1"/>
      <c r="K2" s="45" t="s">
        <v>1</v>
      </c>
      <c r="L2" s="2"/>
      <c r="M2" s="28" t="s">
        <v>1</v>
      </c>
      <c r="N2" s="1"/>
      <c r="O2" s="80" t="s">
        <v>0</v>
      </c>
      <c r="Q2" s="74" t="s">
        <v>0</v>
      </c>
      <c r="S2" s="75" t="s">
        <v>0</v>
      </c>
      <c r="Z2" s="105" t="s">
        <v>0</v>
      </c>
      <c r="AA2" s="1"/>
      <c r="AB2" s="106" t="s">
        <v>1</v>
      </c>
      <c r="AC2" s="2"/>
      <c r="AD2" s="107" t="s">
        <v>1</v>
      </c>
      <c r="AE2" s="1"/>
      <c r="AF2" s="108" t="s">
        <v>0</v>
      </c>
      <c r="AH2" s="109" t="s">
        <v>0</v>
      </c>
      <c r="AJ2" s="104" t="s">
        <v>0</v>
      </c>
    </row>
    <row r="3" spans="1:37" x14ac:dyDescent="0.3">
      <c r="A3" s="15" t="s">
        <v>33</v>
      </c>
      <c r="B3" s="66" t="s">
        <v>68</v>
      </c>
      <c r="C3" s="76" t="s">
        <v>67</v>
      </c>
      <c r="D3" s="76" t="s">
        <v>69</v>
      </c>
      <c r="E3" s="76" t="s">
        <v>70</v>
      </c>
      <c r="F3" s="76" t="s">
        <v>75</v>
      </c>
      <c r="G3" s="67" t="s">
        <v>77</v>
      </c>
      <c r="I3" s="53" cm="1">
        <f t="array" aca="1" ref="I3:J7" ca="1">_xll.BDH($B$4, "PX_LAST, ", $I$1, "")</f>
        <v>45936</v>
      </c>
      <c r="J3" s="1">
        <f ca="1"/>
        <v>111.19</v>
      </c>
      <c r="K3" s="53" cm="1">
        <f t="array" aca="1" ref="K3:L7" ca="1">_xll.BDH($C$4, "PX_LAST, ", $I$1, "")</f>
        <v>45936</v>
      </c>
      <c r="L3" s="47">
        <f ca="1"/>
        <v>99.50390625</v>
      </c>
      <c r="M3" s="53" cm="1">
        <f t="array" aca="1" ref="M3:N7" ca="1">_xll.BDH($D$4, "PX_LAST, ", $I$1, "")</f>
        <v>45936</v>
      </c>
      <c r="N3" s="1">
        <f ca="1"/>
        <v>100.765625</v>
      </c>
      <c r="O3" s="53" cm="1">
        <f t="array" aca="1" ref="O3:P7" ca="1">_xll.BDH($E$4, "PX_LAST, ", $I$1, "")</f>
        <v>45936</v>
      </c>
      <c r="P3" s="55">
        <f ca="1"/>
        <v>100.015625</v>
      </c>
      <c r="Q3" s="53" cm="1">
        <f t="array" aca="1" ref="Q3:R7" ca="1">_xll.BDH($F$4, "PX_LAST, ", $I$1, "")</f>
        <v>45936</v>
      </c>
      <c r="R3" s="55">
        <f ca="1"/>
        <v>83.89</v>
      </c>
      <c r="S3" s="53" cm="1">
        <f t="array" aca="1" ref="S3:T7" ca="1">_xll.BDH($G$4, "PX_LAST, ", $I$1, "")</f>
        <v>45936</v>
      </c>
      <c r="T3" s="55">
        <f ca="1"/>
        <v>99.6484375</v>
      </c>
      <c r="V3" s="97" t="s">
        <v>81</v>
      </c>
      <c r="W3" s="89" t="s">
        <v>68</v>
      </c>
      <c r="X3" s="90" t="s">
        <v>75</v>
      </c>
      <c r="Z3" s="53" cm="1">
        <f t="array" aca="1" ref="Z3:AA73" ca="1">_xll.BDH($B$4, "PX_LAST, ", Z1, "")</f>
        <v>45840</v>
      </c>
      <c r="AA3" s="1">
        <f ca="1"/>
        <v>109.32</v>
      </c>
      <c r="AB3" s="53" cm="1">
        <f t="array" aca="1" ref="AB3:AC15" ca="1">_xll.BDH($C$4, "PX_LAST, ", Z1, "")</f>
        <v>45924</v>
      </c>
      <c r="AC3" s="47">
        <f ca="1"/>
        <v>99.5703125</v>
      </c>
      <c r="AD3" s="53" cm="1">
        <f t="array" aca="1" ref="AD3:AE50" ca="1">_xll.BDH($D$4, "PX_LAST, ", Z1, "")</f>
        <v>45875</v>
      </c>
      <c r="AE3" s="1">
        <f ca="1"/>
        <v>100.0703125</v>
      </c>
      <c r="AF3" s="53" cm="1">
        <f t="array" aca="1" ref="AF3:AG49" ca="1">_xll.BDH($E$4, "PX_LAST, ", Z1, "")</f>
        <v>45876</v>
      </c>
      <c r="AG3" s="55">
        <f ca="1"/>
        <v>98.8359375</v>
      </c>
      <c r="AH3" s="53" cm="1">
        <f t="array" aca="1" ref="AH3:AI73" ca="1">_xll.BDH($F$4, "PX_LAST, ", Z1, "")</f>
        <v>45840</v>
      </c>
      <c r="AI3" s="55">
        <f ca="1"/>
        <v>82.58</v>
      </c>
      <c r="AJ3" s="53" cm="1">
        <f t="array" aca="1" ref="AJ3:AK14" ca="1">_xll.BDH($G$4, "PX_LAST, ", Z1, "")</f>
        <v>45925</v>
      </c>
      <c r="AK3" s="55">
        <f ca="1"/>
        <v>99.5546875</v>
      </c>
    </row>
    <row r="4" spans="1:37" ht="32.25" customHeight="1" thickBot="1" x14ac:dyDescent="0.35">
      <c r="A4" s="15" t="s">
        <v>34</v>
      </c>
      <c r="B4" s="68" t="s">
        <v>71</v>
      </c>
      <c r="C4" s="42" t="s">
        <v>79</v>
      </c>
      <c r="D4" s="42" t="s">
        <v>73</v>
      </c>
      <c r="E4" s="42" t="s">
        <v>72</v>
      </c>
      <c r="F4" s="42" t="s">
        <v>76</v>
      </c>
      <c r="G4" s="43" t="s">
        <v>78</v>
      </c>
      <c r="I4" s="78">
        <f ca="1"/>
        <v>45937</v>
      </c>
      <c r="J4" s="1">
        <f ca="1"/>
        <v>111.4</v>
      </c>
      <c r="K4" s="54">
        <f ca="1"/>
        <v>45937</v>
      </c>
      <c r="L4" s="1">
        <f ca="1"/>
        <v>99.65234375</v>
      </c>
      <c r="M4" s="54">
        <f ca="1"/>
        <v>45937</v>
      </c>
      <c r="N4" s="1">
        <f ca="1"/>
        <v>101.0078125</v>
      </c>
      <c r="O4" s="78">
        <f ca="1"/>
        <v>45937</v>
      </c>
      <c r="P4" s="55">
        <f ca="1"/>
        <v>100.40625</v>
      </c>
      <c r="Q4" s="78">
        <f ca="1"/>
        <v>45937</v>
      </c>
      <c r="R4" s="55">
        <f ca="1"/>
        <v>84</v>
      </c>
      <c r="S4" s="54">
        <f ca="1"/>
        <v>45937</v>
      </c>
      <c r="T4" s="55">
        <f ca="1"/>
        <v>99.8671875</v>
      </c>
      <c r="V4" s="91"/>
      <c r="W4" s="92">
        <f>B5/B14</f>
        <v>322202.69478617457</v>
      </c>
      <c r="X4" s="93">
        <f>F5/N14</f>
        <v>596551.92984549305</v>
      </c>
      <c r="Z4" s="78">
        <f ca="1"/>
        <v>45841</v>
      </c>
      <c r="AA4" s="60">
        <f ca="1"/>
        <v>109.06</v>
      </c>
      <c r="AB4" s="78">
        <f ca="1"/>
        <v>45925</v>
      </c>
      <c r="AC4" s="60">
        <f ca="1"/>
        <v>99.38671875</v>
      </c>
      <c r="AD4" s="78">
        <f ca="1"/>
        <v>45876</v>
      </c>
      <c r="AE4" s="55">
        <f ca="1"/>
        <v>99.9921875</v>
      </c>
      <c r="AF4" s="78">
        <f ca="1"/>
        <v>45877</v>
      </c>
      <c r="AG4" s="55">
        <f ca="1"/>
        <v>98.421875</v>
      </c>
      <c r="AH4" s="78">
        <f ca="1"/>
        <v>45841</v>
      </c>
      <c r="AI4" s="60">
        <f ca="1"/>
        <v>82.44</v>
      </c>
      <c r="AJ4" s="78">
        <f ca="1"/>
        <v>45926</v>
      </c>
      <c r="AK4" s="55">
        <f ca="1"/>
        <v>99.4921875</v>
      </c>
    </row>
    <row r="5" spans="1:37" ht="15" thickBot="1" x14ac:dyDescent="0.35">
      <c r="A5" s="15" t="s">
        <v>8</v>
      </c>
      <c r="B5" s="69">
        <f>35.75*10^6</f>
        <v>35750000</v>
      </c>
      <c r="C5" s="7">
        <f>16.75*10^6</f>
        <v>16750000</v>
      </c>
      <c r="D5" s="7">
        <f>7.5*10^6</f>
        <v>7500000</v>
      </c>
      <c r="E5" s="7">
        <f>10.5*10^6</f>
        <v>10500000</v>
      </c>
      <c r="F5" s="7">
        <f>50*10^6</f>
        <v>50000000</v>
      </c>
      <c r="G5" s="8">
        <f>50.75*10^6</f>
        <v>50750000</v>
      </c>
      <c r="I5" s="78">
        <f ca="1"/>
        <v>45938</v>
      </c>
      <c r="J5" s="1">
        <f ca="1"/>
        <v>111.26</v>
      </c>
      <c r="K5" s="54">
        <f ca="1"/>
        <v>45938</v>
      </c>
      <c r="L5" s="1">
        <f ca="1"/>
        <v>99.58984375</v>
      </c>
      <c r="M5" s="54">
        <f ca="1"/>
        <v>45938</v>
      </c>
      <c r="N5" s="1">
        <f ca="1"/>
        <v>101.046875</v>
      </c>
      <c r="O5" s="78">
        <f ca="1"/>
        <v>45938</v>
      </c>
      <c r="P5" s="55">
        <f ca="1"/>
        <v>100.6484375</v>
      </c>
      <c r="Q5" s="78">
        <f ca="1"/>
        <v>45938</v>
      </c>
      <c r="R5" s="55">
        <f ca="1"/>
        <v>83.9</v>
      </c>
      <c r="S5" s="54">
        <f ca="1"/>
        <v>45938</v>
      </c>
      <c r="T5" s="55">
        <f ca="1"/>
        <v>99.84375</v>
      </c>
      <c r="V5" s="78"/>
      <c r="Z5" s="78">
        <f ca="1"/>
        <v>45845</v>
      </c>
      <c r="AA5" s="60">
        <f ca="1"/>
        <v>108.41</v>
      </c>
      <c r="AB5" s="78">
        <f ca="1"/>
        <v>45926</v>
      </c>
      <c r="AC5" s="60">
        <f ca="1"/>
        <v>99.36328125</v>
      </c>
      <c r="AD5" s="78">
        <f ca="1"/>
        <v>45877</v>
      </c>
      <c r="AE5" s="55">
        <f ca="1"/>
        <v>99.7265625</v>
      </c>
      <c r="AF5" s="78">
        <f ca="1"/>
        <v>45880</v>
      </c>
      <c r="AG5" s="55">
        <f ca="1"/>
        <v>98.375</v>
      </c>
      <c r="AH5" s="78">
        <f ca="1"/>
        <v>45845</v>
      </c>
      <c r="AI5" s="60">
        <f ca="1"/>
        <v>82.18</v>
      </c>
      <c r="AJ5" s="78">
        <f ca="1"/>
        <v>45929</v>
      </c>
      <c r="AK5" s="55">
        <f ca="1"/>
        <v>99.7265625</v>
      </c>
    </row>
    <row r="6" spans="1:37" x14ac:dyDescent="0.3">
      <c r="A6" s="15" t="s">
        <v>10</v>
      </c>
      <c r="B6" s="71">
        <v>0</v>
      </c>
      <c r="C6" s="10">
        <f>(3+5/8)*0.01</f>
        <v>3.6249999999999998E-2</v>
      </c>
      <c r="D6" s="77">
        <v>4.2500000000000003E-2</v>
      </c>
      <c r="E6" s="77">
        <v>4.7500000000000001E-2</v>
      </c>
      <c r="F6" s="77">
        <v>0</v>
      </c>
      <c r="G6" s="10">
        <f>(3+5/8)*0.01</f>
        <v>3.6249999999999998E-2</v>
      </c>
      <c r="I6" s="78">
        <f ca="1"/>
        <v>45939</v>
      </c>
      <c r="J6" s="1">
        <f ca="1"/>
        <v>111.04</v>
      </c>
      <c r="K6" s="54">
        <f ca="1"/>
        <v>45939</v>
      </c>
      <c r="L6" s="1">
        <f ca="1"/>
        <v>99.49609375</v>
      </c>
      <c r="M6" s="54">
        <f ca="1"/>
        <v>45939</v>
      </c>
      <c r="N6" s="1">
        <f ca="1"/>
        <v>100.8828125</v>
      </c>
      <c r="O6" s="78">
        <f ca="1"/>
        <v>45939</v>
      </c>
      <c r="P6" s="55">
        <f ca="1"/>
        <v>100.4375</v>
      </c>
      <c r="Q6" s="78">
        <f ca="1"/>
        <v>45939</v>
      </c>
      <c r="R6" s="55">
        <f ca="1"/>
        <v>83.77</v>
      </c>
      <c r="S6" s="54">
        <f ca="1"/>
        <v>45939</v>
      </c>
      <c r="T6" s="55">
        <f ca="1"/>
        <v>99.71875</v>
      </c>
      <c r="V6" s="98" t="s">
        <v>80</v>
      </c>
      <c r="W6" s="76" t="s">
        <v>68</v>
      </c>
      <c r="X6" s="94" t="s">
        <v>75</v>
      </c>
      <c r="Z6" s="78">
        <f ca="1"/>
        <v>45846</v>
      </c>
      <c r="AA6" s="60">
        <f ca="1"/>
        <v>108.1</v>
      </c>
      <c r="AB6" s="78">
        <f ca="1"/>
        <v>45929</v>
      </c>
      <c r="AC6" s="60">
        <f ca="1"/>
        <v>99.50390625</v>
      </c>
      <c r="AD6" s="78">
        <f ca="1"/>
        <v>45880</v>
      </c>
      <c r="AE6" s="55">
        <f ca="1"/>
        <v>99.703125</v>
      </c>
      <c r="AF6" s="78">
        <f ca="1"/>
        <v>45881</v>
      </c>
      <c r="AG6" s="55">
        <f ca="1"/>
        <v>97.96875</v>
      </c>
      <c r="AH6" s="78">
        <f ca="1"/>
        <v>45846</v>
      </c>
      <c r="AI6" s="60">
        <f ca="1"/>
        <v>81.96</v>
      </c>
      <c r="AJ6" s="78">
        <f ca="1"/>
        <v>45930</v>
      </c>
      <c r="AK6" s="55">
        <f ca="1"/>
        <v>99.6640625</v>
      </c>
    </row>
    <row r="7" spans="1:37" ht="15" thickBot="1" x14ac:dyDescent="0.35">
      <c r="A7" s="15" t="s">
        <v>12</v>
      </c>
      <c r="B7" s="71">
        <v>4.2299999999999997E-2</v>
      </c>
      <c r="C7" s="77">
        <v>4.2299999999999997E-2</v>
      </c>
      <c r="D7" s="77">
        <v>4.2299999999999997E-2</v>
      </c>
      <c r="E7" s="77">
        <v>4.2299999999999997E-2</v>
      </c>
      <c r="F7" s="77">
        <v>4.2299999999999997E-2</v>
      </c>
      <c r="G7" s="10">
        <v>4.2299999999999997E-2</v>
      </c>
      <c r="I7" s="54">
        <f ca="1"/>
        <v>45940</v>
      </c>
      <c r="J7" s="1">
        <f ca="1"/>
        <v>111.315</v>
      </c>
      <c r="K7" s="54">
        <f ca="1"/>
        <v>45940</v>
      </c>
      <c r="L7" s="1">
        <f ca="1"/>
        <v>99.62890625</v>
      </c>
      <c r="M7" s="54">
        <f ca="1"/>
        <v>45940</v>
      </c>
      <c r="N7" s="1">
        <f ca="1"/>
        <v>101.1640625</v>
      </c>
      <c r="O7" s="54">
        <f ca="1"/>
        <v>45940</v>
      </c>
      <c r="P7" s="1">
        <f ca="1"/>
        <v>101.1484375</v>
      </c>
      <c r="Q7" s="54">
        <f ca="1"/>
        <v>45940</v>
      </c>
      <c r="R7" s="1">
        <f ca="1"/>
        <v>83.915000000000006</v>
      </c>
      <c r="S7" s="54">
        <f ca="1"/>
        <v>45940</v>
      </c>
      <c r="T7" s="1">
        <f ca="1"/>
        <v>99.9140625</v>
      </c>
      <c r="V7" s="82"/>
      <c r="W7" s="21">
        <v>0.41</v>
      </c>
      <c r="X7" s="95">
        <v>0.32600000000000001</v>
      </c>
      <c r="Z7" s="78">
        <f ca="1"/>
        <v>45847</v>
      </c>
      <c r="AA7" s="60">
        <f ca="1"/>
        <v>108.72</v>
      </c>
      <c r="AB7" s="78">
        <f ca="1"/>
        <v>45930</v>
      </c>
      <c r="AC7" s="60">
        <f ca="1"/>
        <v>99.47265625</v>
      </c>
      <c r="AD7" s="78">
        <f ca="1"/>
        <v>45881</v>
      </c>
      <c r="AE7" s="55">
        <f ca="1"/>
        <v>99.671875</v>
      </c>
      <c r="AF7" s="78">
        <f ca="1"/>
        <v>45882</v>
      </c>
      <c r="AG7" s="55">
        <f ca="1"/>
        <v>98.796875</v>
      </c>
      <c r="AH7" s="78">
        <f ca="1"/>
        <v>45847</v>
      </c>
      <c r="AI7" s="60">
        <f ca="1"/>
        <v>82.31</v>
      </c>
      <c r="AJ7" s="78">
        <f ca="1"/>
        <v>45931</v>
      </c>
      <c r="AK7" s="55">
        <f ca="1"/>
        <v>100.0390625</v>
      </c>
    </row>
    <row r="8" spans="1:37" ht="15" thickBot="1" x14ac:dyDescent="0.35">
      <c r="A8" s="15" t="s">
        <v>14</v>
      </c>
      <c r="B8" s="4" t="s">
        <v>24</v>
      </c>
      <c r="C8" s="1" t="s">
        <v>24</v>
      </c>
      <c r="D8" s="1" t="s">
        <v>24</v>
      </c>
      <c r="E8" s="1" t="s">
        <v>24</v>
      </c>
      <c r="F8" s="1" t="s">
        <v>24</v>
      </c>
      <c r="G8" s="5" t="s">
        <v>24</v>
      </c>
      <c r="I8" s="54"/>
      <c r="J8" s="1"/>
      <c r="K8" s="54"/>
      <c r="L8" s="1"/>
      <c r="M8" s="54"/>
      <c r="N8" s="1"/>
      <c r="O8" s="54"/>
      <c r="P8" s="1"/>
      <c r="Q8" s="54"/>
      <c r="R8" s="1"/>
      <c r="S8" s="54"/>
      <c r="T8" s="1"/>
      <c r="V8" s="78"/>
      <c r="Z8" s="78">
        <f ca="1"/>
        <v>45848</v>
      </c>
      <c r="AA8" s="60">
        <f ca="1"/>
        <v>108.74</v>
      </c>
      <c r="AB8" s="78">
        <f ca="1"/>
        <v>45931</v>
      </c>
      <c r="AC8" s="60">
        <f ca="1"/>
        <v>99.78515625</v>
      </c>
      <c r="AD8" s="78">
        <f ca="1"/>
        <v>45882</v>
      </c>
      <c r="AE8" s="55">
        <f ca="1"/>
        <v>100.125</v>
      </c>
      <c r="AF8" s="78">
        <f ca="1"/>
        <v>45883</v>
      </c>
      <c r="AG8" s="55">
        <f ca="1"/>
        <v>98.0625</v>
      </c>
      <c r="AH8" s="78">
        <f ca="1"/>
        <v>45848</v>
      </c>
      <c r="AI8" s="60">
        <f ca="1"/>
        <v>82.31</v>
      </c>
      <c r="AJ8" s="78">
        <f ca="1"/>
        <v>45932</v>
      </c>
      <c r="AK8" s="55">
        <f ca="1"/>
        <v>100.0859375</v>
      </c>
    </row>
    <row r="9" spans="1:37" ht="15" thickBot="1" x14ac:dyDescent="0.35">
      <c r="A9" s="15" t="s">
        <v>15</v>
      </c>
      <c r="B9" s="4" t="s">
        <v>24</v>
      </c>
      <c r="C9" s="1" t="s">
        <v>24</v>
      </c>
      <c r="D9" s="1"/>
      <c r="E9" s="1"/>
      <c r="F9" s="1"/>
      <c r="G9" s="5" t="s">
        <v>24</v>
      </c>
      <c r="I9" s="54"/>
      <c r="J9" s="1"/>
      <c r="K9" s="54"/>
      <c r="L9" s="1"/>
      <c r="M9" s="54"/>
      <c r="N9" s="1"/>
      <c r="O9" s="54"/>
      <c r="P9" s="1"/>
      <c r="Q9" s="54"/>
      <c r="R9" s="1"/>
      <c r="S9" s="54"/>
      <c r="T9" s="1"/>
      <c r="V9" s="99" t="s">
        <v>82</v>
      </c>
      <c r="W9" s="96">
        <f>W4*W7-X4*X7</f>
        <v>-62372.824267299176</v>
      </c>
      <c r="Z9" s="78">
        <f ca="1"/>
        <v>45849</v>
      </c>
      <c r="AA9" s="60">
        <f ca="1"/>
        <v>108.08</v>
      </c>
      <c r="AB9" s="78">
        <f ca="1"/>
        <v>45932</v>
      </c>
      <c r="AC9" s="60">
        <f ca="1"/>
        <v>99.79296875</v>
      </c>
      <c r="AD9" s="78">
        <f ca="1"/>
        <v>45883</v>
      </c>
      <c r="AE9" s="55">
        <f ca="1"/>
        <v>99.7109375</v>
      </c>
      <c r="AF9" s="78">
        <f ca="1"/>
        <v>45884</v>
      </c>
      <c r="AG9" s="55">
        <f ca="1"/>
        <v>97.3515625</v>
      </c>
      <c r="AH9" s="78">
        <f ca="1"/>
        <v>45849</v>
      </c>
      <c r="AI9" s="60">
        <f ca="1"/>
        <v>82.02</v>
      </c>
      <c r="AJ9" s="78">
        <f ca="1"/>
        <v>45933</v>
      </c>
      <c r="AK9" s="55">
        <f ca="1"/>
        <v>99.8203125</v>
      </c>
    </row>
    <row r="10" spans="1:37" ht="15" thickBot="1" x14ac:dyDescent="0.35">
      <c r="A10" s="16" t="s">
        <v>29</v>
      </c>
      <c r="B10" s="11" cm="1">
        <f t="array" ref="B10">_xll.BDP(B4,"px_last")</f>
        <v>111.315</v>
      </c>
      <c r="C10" s="21" cm="1">
        <f t="array" ref="C10">_xll.BDP(C4,"px_last")</f>
        <v>99.6328125</v>
      </c>
      <c r="D10" s="21" cm="1">
        <f t="array" ref="D10">_xll.BDP(D4,"px_last")</f>
        <v>101.171875</v>
      </c>
      <c r="E10" s="21" cm="1">
        <f t="array" ref="E10">_xll.BDP(E4,"px_last")</f>
        <v>101.15625</v>
      </c>
      <c r="F10" s="21" cm="1">
        <f t="array" ref="F10">_xll.BDP(F4,"px_last")</f>
        <v>83.915000000000006</v>
      </c>
      <c r="G10" s="22" cm="1">
        <f t="array" ref="G10">_xll.BDP(G4,"px_last")</f>
        <v>99.921875</v>
      </c>
      <c r="H10" s="1"/>
      <c r="I10" s="54"/>
      <c r="J10" s="1"/>
      <c r="K10" s="54"/>
      <c r="L10" s="1"/>
      <c r="M10" s="54"/>
      <c r="N10" s="1"/>
      <c r="O10" s="54"/>
      <c r="P10" s="1"/>
      <c r="Q10" s="54"/>
      <c r="R10" s="1"/>
      <c r="S10" s="54"/>
      <c r="T10" s="1"/>
      <c r="V10" s="78"/>
      <c r="Z10" s="78">
        <f ca="1"/>
        <v>45852</v>
      </c>
      <c r="AA10" s="60">
        <f ca="1"/>
        <v>108.05</v>
      </c>
      <c r="AB10" s="78">
        <f ca="1"/>
        <v>45933</v>
      </c>
      <c r="AC10" s="60">
        <f ca="1"/>
        <v>99.58984375</v>
      </c>
      <c r="AD10" s="78">
        <f ca="1"/>
        <v>45884</v>
      </c>
      <c r="AE10" s="55">
        <f ca="1"/>
        <v>99.4453125</v>
      </c>
      <c r="AF10" s="78">
        <f ca="1"/>
        <v>45887</v>
      </c>
      <c r="AG10" s="55">
        <f ca="1"/>
        <v>97.125</v>
      </c>
      <c r="AH10" s="78">
        <f ca="1"/>
        <v>45852</v>
      </c>
      <c r="AI10" s="60">
        <f ca="1"/>
        <v>82</v>
      </c>
      <c r="AJ10" s="78">
        <f ca="1"/>
        <v>45936</v>
      </c>
      <c r="AK10" s="55">
        <f ca="1"/>
        <v>99.6484375</v>
      </c>
    </row>
    <row r="11" spans="1:37" ht="15" thickBot="1" x14ac:dyDescent="0.35">
      <c r="C11" s="1"/>
      <c r="D11" s="1"/>
      <c r="E11" s="1"/>
      <c r="F11" s="1"/>
      <c r="G11" s="1"/>
      <c r="H11" s="1"/>
      <c r="I11" s="54"/>
      <c r="J11" s="1"/>
      <c r="K11" s="54"/>
      <c r="L11" s="1"/>
      <c r="M11" s="54"/>
      <c r="N11" s="1"/>
      <c r="O11" s="54"/>
      <c r="P11" s="1"/>
      <c r="Q11" s="54"/>
      <c r="R11" s="1"/>
      <c r="S11" s="54"/>
      <c r="T11" s="1"/>
      <c r="V11" s="78"/>
      <c r="Z11" s="78">
        <f ca="1"/>
        <v>45853</v>
      </c>
      <c r="AA11" s="60">
        <f ca="1"/>
        <v>107.66</v>
      </c>
      <c r="AB11" s="78">
        <f ca="1"/>
        <v>45936</v>
      </c>
      <c r="AC11" s="60">
        <f ca="1"/>
        <v>99.50390625</v>
      </c>
      <c r="AD11" s="78">
        <f ca="1"/>
        <v>45887</v>
      </c>
      <c r="AE11" s="55">
        <f ca="1"/>
        <v>99.3203125</v>
      </c>
      <c r="AF11" s="78">
        <f ca="1"/>
        <v>45888</v>
      </c>
      <c r="AG11" s="55">
        <f ca="1"/>
        <v>97.515625</v>
      </c>
      <c r="AH11" s="78">
        <f ca="1"/>
        <v>45853</v>
      </c>
      <c r="AI11" s="60">
        <f ca="1"/>
        <v>81.75</v>
      </c>
      <c r="AJ11" s="78">
        <f ca="1"/>
        <v>45937</v>
      </c>
      <c r="AK11" s="55">
        <f ca="1"/>
        <v>99.8671875</v>
      </c>
    </row>
    <row r="12" spans="1:37" ht="15" thickBot="1" x14ac:dyDescent="0.35">
      <c r="A12" s="40" t="s">
        <v>23</v>
      </c>
      <c r="B12" s="113" t="s">
        <v>0</v>
      </c>
      <c r="C12" s="114"/>
      <c r="D12" s="114"/>
      <c r="E12" s="119" t="s">
        <v>1</v>
      </c>
      <c r="F12" s="120"/>
      <c r="G12" s="121"/>
      <c r="H12" s="116" t="s">
        <v>1</v>
      </c>
      <c r="I12" s="127"/>
      <c r="J12" s="118"/>
      <c r="K12" s="128" t="s">
        <v>1</v>
      </c>
      <c r="L12" s="129"/>
      <c r="M12" s="130"/>
      <c r="N12" s="116" t="s">
        <v>1</v>
      </c>
      <c r="O12" s="127"/>
      <c r="P12" s="118"/>
      <c r="Q12" s="125" t="s">
        <v>0</v>
      </c>
      <c r="R12" s="123"/>
      <c r="S12" s="126"/>
      <c r="T12" s="40" t="s">
        <v>16</v>
      </c>
      <c r="V12" s="78"/>
      <c r="Z12" s="78">
        <f ca="1"/>
        <v>45854</v>
      </c>
      <c r="AA12" s="55">
        <f ca="1"/>
        <v>107.83</v>
      </c>
      <c r="AB12" s="78">
        <f ca="1"/>
        <v>45937</v>
      </c>
      <c r="AC12" s="55">
        <f ca="1"/>
        <v>99.65234375</v>
      </c>
      <c r="AD12" s="78">
        <f ca="1"/>
        <v>45888</v>
      </c>
      <c r="AE12" s="55">
        <f ca="1"/>
        <v>99.5390625</v>
      </c>
      <c r="AF12" s="78">
        <f ca="1"/>
        <v>45889</v>
      </c>
      <c r="AG12" s="55">
        <f ca="1"/>
        <v>97.71875</v>
      </c>
      <c r="AH12" s="78">
        <f ca="1"/>
        <v>45854</v>
      </c>
      <c r="AI12" s="55">
        <f ca="1"/>
        <v>81.97</v>
      </c>
      <c r="AJ12" s="78">
        <f ca="1"/>
        <v>45938</v>
      </c>
      <c r="AK12" s="55">
        <f ca="1"/>
        <v>99.84375</v>
      </c>
    </row>
    <row r="13" spans="1:37" ht="15" thickBot="1" x14ac:dyDescent="0.35">
      <c r="A13" s="16"/>
      <c r="B13" s="11" t="s">
        <v>17</v>
      </c>
      <c r="C13" s="21" t="s">
        <v>21</v>
      </c>
      <c r="D13" s="21" t="s">
        <v>20</v>
      </c>
      <c r="E13" s="11" t="s">
        <v>17</v>
      </c>
      <c r="F13" s="21" t="s">
        <v>21</v>
      </c>
      <c r="G13" s="22" t="s">
        <v>20</v>
      </c>
      <c r="H13" s="11" t="s">
        <v>17</v>
      </c>
      <c r="I13" s="81" t="s">
        <v>21</v>
      </c>
      <c r="J13" s="22" t="s">
        <v>20</v>
      </c>
      <c r="K13" s="82" t="s">
        <v>17</v>
      </c>
      <c r="L13" s="21" t="s">
        <v>21</v>
      </c>
      <c r="M13" s="83" t="s">
        <v>20</v>
      </c>
      <c r="N13" s="11" t="s">
        <v>17</v>
      </c>
      <c r="O13" s="81" t="s">
        <v>21</v>
      </c>
      <c r="P13" s="22" t="s">
        <v>20</v>
      </c>
      <c r="Q13" s="82" t="s">
        <v>17</v>
      </c>
      <c r="R13" s="21" t="s">
        <v>21</v>
      </c>
      <c r="S13" s="83" t="s">
        <v>20</v>
      </c>
      <c r="T13" s="102"/>
      <c r="Z13" s="78">
        <f ca="1"/>
        <v>45855</v>
      </c>
      <c r="AA13" s="55">
        <f ca="1"/>
        <v>108.09</v>
      </c>
      <c r="AB13" s="78">
        <f ca="1"/>
        <v>45938</v>
      </c>
      <c r="AC13" s="55">
        <f ca="1"/>
        <v>99.58984375</v>
      </c>
      <c r="AD13" s="78">
        <f ca="1"/>
        <v>45889</v>
      </c>
      <c r="AE13" s="55">
        <f ca="1"/>
        <v>99.6640625</v>
      </c>
      <c r="AF13" s="78">
        <f ca="1"/>
        <v>45890</v>
      </c>
      <c r="AG13" s="55">
        <f ca="1"/>
        <v>97.375</v>
      </c>
      <c r="AH13" s="78">
        <f ca="1"/>
        <v>45855</v>
      </c>
      <c r="AI13" s="55">
        <f ca="1"/>
        <v>82.06</v>
      </c>
      <c r="AJ13" s="78">
        <f ca="1"/>
        <v>45939</v>
      </c>
      <c r="AK13" s="55">
        <f ca="1"/>
        <v>99.71875</v>
      </c>
    </row>
    <row r="14" spans="1:37" x14ac:dyDescent="0.3">
      <c r="A14" s="37">
        <v>45925</v>
      </c>
      <c r="B14" s="46">
        <v>110.955</v>
      </c>
      <c r="C14" s="47"/>
      <c r="D14" s="47"/>
      <c r="E14" s="110">
        <f>99+12/32+3/8*1/32</f>
        <v>99.38671875</v>
      </c>
      <c r="F14" s="111"/>
      <c r="G14" s="112"/>
      <c r="H14" s="46">
        <f>100+18/32+3/4*1/32</f>
        <v>100.5859375</v>
      </c>
      <c r="I14" s="47"/>
      <c r="J14" s="48"/>
      <c r="K14" s="46">
        <f>99+24/32</f>
        <v>99.75</v>
      </c>
      <c r="L14" s="47"/>
      <c r="M14" s="48"/>
      <c r="N14" s="46">
        <v>83.814999999999998</v>
      </c>
      <c r="O14" s="47"/>
      <c r="P14" s="48"/>
      <c r="Q14" s="46">
        <f>99+18/32+3/4*1/32</f>
        <v>99.5859375</v>
      </c>
      <c r="R14" s="47"/>
      <c r="S14" s="48"/>
      <c r="T14" s="85"/>
      <c r="Z14" s="78">
        <f ca="1"/>
        <v>45856</v>
      </c>
      <c r="AA14" s="55">
        <f ca="1"/>
        <v>108.29</v>
      </c>
      <c r="AB14" s="78">
        <f ca="1"/>
        <v>45939</v>
      </c>
      <c r="AC14" s="55">
        <f ca="1"/>
        <v>99.49609375</v>
      </c>
      <c r="AD14" s="78">
        <f ca="1"/>
        <v>45890</v>
      </c>
      <c r="AE14" s="55">
        <f ca="1"/>
        <v>99.3671875</v>
      </c>
      <c r="AF14" s="78">
        <f ca="1"/>
        <v>45891</v>
      </c>
      <c r="AG14" s="55">
        <f ca="1"/>
        <v>98.015625</v>
      </c>
      <c r="AH14" s="78">
        <f ca="1"/>
        <v>45856</v>
      </c>
      <c r="AI14" s="55">
        <f ca="1"/>
        <v>82.25</v>
      </c>
      <c r="AJ14" s="78">
        <f ca="1"/>
        <v>45940</v>
      </c>
      <c r="AK14" s="55">
        <f ca="1"/>
        <v>99.9140625</v>
      </c>
    </row>
    <row r="15" spans="1:37" x14ac:dyDescent="0.3">
      <c r="A15" s="37">
        <v>45926</v>
      </c>
      <c r="B15" s="46">
        <v>111.21</v>
      </c>
      <c r="C15" s="47">
        <f>(B15/$B$14-1)*$B$5</f>
        <v>82161.687170472404</v>
      </c>
      <c r="D15" s="47">
        <f>-1*(A15-$A$14)/360*$B$7*$B$5</f>
        <v>-4200.625</v>
      </c>
      <c r="E15" s="46">
        <v>99.36328125</v>
      </c>
      <c r="F15" s="47">
        <f>(E15-$E$14)/100*$C$5</f>
        <v>-3925.78125</v>
      </c>
      <c r="G15" s="48">
        <f>(A15-$A$14)/360*$C$6*$C$5-(A15-$A$14)/360*$C$7*$C$5*$E$14/100</f>
        <v>-269.4229139539932</v>
      </c>
      <c r="H15" s="46">
        <v>100.5859375</v>
      </c>
      <c r="I15" s="47">
        <f>(H15-$H$14)/100*$D$5</f>
        <v>0</v>
      </c>
      <c r="J15" s="48">
        <f>(A15-$A$14)/360*$D$6*$D$5-(A15-$A$14)/360*$D$7*$D$5*$H$14/100</f>
        <v>-0.99690755208325754</v>
      </c>
      <c r="K15" s="46">
        <v>100</v>
      </c>
      <c r="L15" s="47">
        <f>(K15-$K$14)/100*$E$5</f>
        <v>26250</v>
      </c>
      <c r="M15" s="48">
        <f>(A15-$A$14)/360*$E$6*$E$5-(A15-$A$14)/360*$E$7*$E$5*$K$14/100</f>
        <v>154.75104166666665</v>
      </c>
      <c r="N15" s="46">
        <v>83.93</v>
      </c>
      <c r="O15" s="47">
        <f>(N15/$N$14-1)*$F$5</f>
        <v>68603.471932238142</v>
      </c>
      <c r="P15" s="48">
        <f>-1*(A15-$A$14)/360*$F$7*$F$5</f>
        <v>-5875</v>
      </c>
      <c r="Q15" s="46">
        <v>99.4921875</v>
      </c>
      <c r="R15" s="47">
        <f>(Q15-$Q$14)/100*$G$5</f>
        <v>-47578.125</v>
      </c>
      <c r="S15" s="48">
        <f>(A15-$A$14)/360*$G$6*$G$5-(A15-$A$14)/360*$G$7*$G$5*$Q$14/100</f>
        <v>-828.19087999131898</v>
      </c>
      <c r="T15" s="85">
        <f>C15+D15-F15-G15-I15-J15-L15-M15-O15-P15+R15+S15</f>
        <v>-55382.275611917656</v>
      </c>
      <c r="Z15" s="78">
        <f ca="1"/>
        <v>45859</v>
      </c>
      <c r="AA15" s="55">
        <f ca="1"/>
        <v>108.71</v>
      </c>
      <c r="AB15" s="78">
        <f ca="1"/>
        <v>45940</v>
      </c>
      <c r="AC15" s="55">
        <f ca="1"/>
        <v>99.62890625</v>
      </c>
      <c r="AD15" s="78">
        <f ca="1"/>
        <v>45891</v>
      </c>
      <c r="AE15" s="55">
        <f ca="1"/>
        <v>99.9609375</v>
      </c>
      <c r="AF15" s="78">
        <f ca="1"/>
        <v>45894</v>
      </c>
      <c r="AG15" s="55">
        <f ca="1"/>
        <v>97.8046875</v>
      </c>
      <c r="AH15" s="78">
        <f ca="1"/>
        <v>45859</v>
      </c>
      <c r="AI15" s="55">
        <f ca="1"/>
        <v>82.49</v>
      </c>
    </row>
    <row r="16" spans="1:37" x14ac:dyDescent="0.3">
      <c r="A16" s="37">
        <v>45929</v>
      </c>
      <c r="B16" s="46">
        <v>111.58</v>
      </c>
      <c r="C16" s="47">
        <f t="shared" ref="C16:C23" si="0">(B16/$B$14-1)*$B$5</f>
        <v>201376.68424135796</v>
      </c>
      <c r="D16" s="47">
        <f t="shared" ref="D16:D23" si="1">-1*(A16-$A$14)/360*$B$7*$B$5</f>
        <v>-16802.5</v>
      </c>
      <c r="E16" s="46">
        <v>99.50390625</v>
      </c>
      <c r="F16" s="47">
        <f t="shared" ref="F16:F23" si="2">(E16-$E$14)/100*$C$5</f>
        <v>19628.90625</v>
      </c>
      <c r="G16" s="48">
        <f t="shared" ref="G16:G23" si="3">(A16-$A$14)/360*$C$6*$C$5-(A16-$A$14)/360*$C$7*$C$5*$E$14/100</f>
        <v>-1077.6916558159728</v>
      </c>
      <c r="H16" s="46">
        <v>100.8828125</v>
      </c>
      <c r="I16" s="47">
        <f t="shared" ref="I16:I23" si="4">(H16-$H$14)/100*$D$5</f>
        <v>22265.625</v>
      </c>
      <c r="J16" s="48">
        <f t="shared" ref="J16:J23" si="5">(A16-$A$14)/360*$D$6*$D$5-(A16-$A$14)/360*$D$7*$D$5*$H$14/100</f>
        <v>-3.9876302083330302</v>
      </c>
      <c r="K16" s="46">
        <v>100.71875</v>
      </c>
      <c r="L16" s="47">
        <f t="shared" ref="L16:L23" si="6">(K16-$K$14)/100*$E$5</f>
        <v>101718.75</v>
      </c>
      <c r="M16" s="48">
        <f t="shared" ref="M16:M23" si="7">(A16-$A$14)/360*$E$6*$E$5-(A16-$A$14)/360*$E$7*$E$5*$K$14/100</f>
        <v>619.00416666666661</v>
      </c>
      <c r="N16" s="46">
        <v>84.11</v>
      </c>
      <c r="O16" s="47">
        <f t="shared" ref="O16:O23" si="8">(N16/$N$14-1)*$F$5</f>
        <v>175982.81930442105</v>
      </c>
      <c r="P16" s="48">
        <f t="shared" ref="P16:P23" si="9">-1*(A16-$A$14)/360*$F$7*$F$5</f>
        <v>-23500</v>
      </c>
      <c r="Q16" s="46">
        <v>99.7265625</v>
      </c>
      <c r="R16" s="47">
        <f t="shared" ref="R16:R23" si="10">(Q16-$Q$14)/100*$G$5</f>
        <v>71367.1875</v>
      </c>
      <c r="S16" s="48">
        <f t="shared" ref="S16:S23" si="11">(A16-$A$14)/360*$G$6*$G$5-(A16-$A$14)/360*$G$7*$G$5*$Q$14/100</f>
        <v>-3312.7635199652759</v>
      </c>
      <c r="T16" s="85">
        <f t="shared" ref="T16:T17" si="12">C16+D16-F16-G16-I16-J16-L16-M16-O16-P16+R16+S16</f>
        <v>-43004.817213670685</v>
      </c>
      <c r="Z16" s="78">
        <f ca="1"/>
        <v>45860</v>
      </c>
      <c r="AA16" s="55">
        <f ca="1"/>
        <v>108.97</v>
      </c>
      <c r="AD16" s="78">
        <f ca="1"/>
        <v>45894</v>
      </c>
      <c r="AE16" s="55">
        <f ca="1"/>
        <v>99.7890625</v>
      </c>
      <c r="AF16" s="78">
        <f ca="1"/>
        <v>45895</v>
      </c>
      <c r="AG16" s="55">
        <f ca="1"/>
        <v>97.34375</v>
      </c>
      <c r="AH16" s="78">
        <f ca="1"/>
        <v>45860</v>
      </c>
      <c r="AI16" s="55">
        <f ca="1"/>
        <v>82.64</v>
      </c>
    </row>
    <row r="17" spans="1:35" x14ac:dyDescent="0.3">
      <c r="A17" s="37">
        <v>45930</v>
      </c>
      <c r="B17" s="46">
        <v>111.47</v>
      </c>
      <c r="C17" s="47">
        <f t="shared" si="0"/>
        <v>165934.38781487718</v>
      </c>
      <c r="D17" s="47">
        <f t="shared" si="1"/>
        <v>-21003.124999999996</v>
      </c>
      <c r="E17" s="46">
        <v>99.47265625</v>
      </c>
      <c r="F17" s="47">
        <f t="shared" si="2"/>
        <v>14394.53125</v>
      </c>
      <c r="G17" s="48">
        <f t="shared" si="3"/>
        <v>-1347.1145697699631</v>
      </c>
      <c r="H17" s="46">
        <v>100.7890625</v>
      </c>
      <c r="I17" s="47">
        <f t="shared" si="4"/>
        <v>15234.375</v>
      </c>
      <c r="J17" s="48">
        <f t="shared" si="5"/>
        <v>-4.9845377604160603</v>
      </c>
      <c r="K17" s="46">
        <v>100.28125</v>
      </c>
      <c r="L17" s="47">
        <f t="shared" si="6"/>
        <v>55781.250000000007</v>
      </c>
      <c r="M17" s="48">
        <f t="shared" si="7"/>
        <v>773.75520833333485</v>
      </c>
      <c r="N17" s="46">
        <v>84.11</v>
      </c>
      <c r="O17" s="47">
        <f t="shared" si="8"/>
        <v>175982.81930442105</v>
      </c>
      <c r="P17" s="48">
        <f t="shared" si="9"/>
        <v>-29374.999999999996</v>
      </c>
      <c r="Q17" s="46">
        <v>99.6640625</v>
      </c>
      <c r="R17" s="47">
        <f t="shared" si="10"/>
        <v>39648.4375</v>
      </c>
      <c r="S17" s="48">
        <f t="shared" si="11"/>
        <v>-4140.954399956594</v>
      </c>
      <c r="T17" s="85">
        <f t="shared" si="12"/>
        <v>-51000.88574030342</v>
      </c>
      <c r="Z17" s="78">
        <f ca="1"/>
        <v>45861</v>
      </c>
      <c r="AA17" s="55">
        <f ca="1"/>
        <v>108.8</v>
      </c>
      <c r="AD17" s="78">
        <f ca="1"/>
        <v>45895</v>
      </c>
      <c r="AE17" s="55">
        <f ca="1"/>
        <v>99.8984375</v>
      </c>
      <c r="AF17" s="78">
        <f ca="1"/>
        <v>45896</v>
      </c>
      <c r="AG17" s="55">
        <f ca="1"/>
        <v>97.3203125</v>
      </c>
      <c r="AH17" s="78">
        <f ca="1"/>
        <v>45861</v>
      </c>
      <c r="AI17" s="55">
        <f ca="1"/>
        <v>82.53</v>
      </c>
    </row>
    <row r="18" spans="1:35" x14ac:dyDescent="0.3">
      <c r="A18" s="37">
        <v>45931</v>
      </c>
      <c r="B18" s="46">
        <v>111.51</v>
      </c>
      <c r="C18" s="47">
        <f t="shared" si="0"/>
        <v>178822.49560632836</v>
      </c>
      <c r="D18" s="47">
        <f t="shared" si="1"/>
        <v>-25203.749999999996</v>
      </c>
      <c r="E18" s="46">
        <v>99.78515625</v>
      </c>
      <c r="F18" s="47">
        <f t="shared" si="2"/>
        <v>66738.28125</v>
      </c>
      <c r="G18" s="48">
        <f t="shared" si="3"/>
        <v>-1616.537483723956</v>
      </c>
      <c r="H18" s="46">
        <v>101.2109375</v>
      </c>
      <c r="I18" s="47">
        <f t="shared" si="4"/>
        <v>46875</v>
      </c>
      <c r="J18" s="48">
        <f t="shared" si="5"/>
        <v>-5.9814453124990905</v>
      </c>
      <c r="K18" s="46">
        <v>100.6328125</v>
      </c>
      <c r="L18" s="47">
        <f t="shared" si="6"/>
        <v>92695.312499999985</v>
      </c>
      <c r="M18" s="48">
        <f t="shared" si="7"/>
        <v>928.50625000000127</v>
      </c>
      <c r="N18" s="46">
        <v>84.07</v>
      </c>
      <c r="O18" s="47">
        <f t="shared" si="8"/>
        <v>152120.74211059522</v>
      </c>
      <c r="P18" s="48">
        <f t="shared" si="9"/>
        <v>-35249.999999999993</v>
      </c>
      <c r="Q18" s="46">
        <v>100.0390625</v>
      </c>
      <c r="R18" s="47">
        <f t="shared" si="10"/>
        <v>229960.93749999997</v>
      </c>
      <c r="S18" s="48">
        <f t="shared" si="11"/>
        <v>-4969.1452799479157</v>
      </c>
      <c r="T18" s="85">
        <f>C18+D18-F18-G18-I18-J18-L18-M18-O18-P18+R18+S18+$W$9</f>
        <v>-6247.6096224775101</v>
      </c>
      <c r="Z18" s="78">
        <f ca="1"/>
        <v>45862</v>
      </c>
      <c r="AA18" s="55">
        <f ca="1"/>
        <v>108.64</v>
      </c>
      <c r="AD18" s="78">
        <f ca="1"/>
        <v>45896</v>
      </c>
      <c r="AE18" s="55">
        <f ca="1"/>
        <v>100.1171875</v>
      </c>
      <c r="AF18" s="78">
        <f ca="1"/>
        <v>45897</v>
      </c>
      <c r="AG18" s="55">
        <f ca="1"/>
        <v>98.015625</v>
      </c>
      <c r="AH18" s="78">
        <f ca="1"/>
        <v>45862</v>
      </c>
      <c r="AI18" s="55">
        <f ca="1"/>
        <v>82.43</v>
      </c>
    </row>
    <row r="19" spans="1:35" x14ac:dyDescent="0.3">
      <c r="A19" s="37">
        <v>45932</v>
      </c>
      <c r="B19" s="46">
        <v>111.69</v>
      </c>
      <c r="C19" s="47">
        <f t="shared" si="0"/>
        <v>236818.98066783874</v>
      </c>
      <c r="D19" s="47">
        <f t="shared" si="1"/>
        <v>-29404.375</v>
      </c>
      <c r="E19" s="46">
        <v>99.79296875</v>
      </c>
      <c r="F19" s="47">
        <f t="shared" si="2"/>
        <v>68046.875</v>
      </c>
      <c r="G19" s="48">
        <f t="shared" si="3"/>
        <v>-1885.9603976779508</v>
      </c>
      <c r="H19" s="46">
        <v>101.3359375</v>
      </c>
      <c r="I19" s="47">
        <f t="shared" si="4"/>
        <v>56250</v>
      </c>
      <c r="J19" s="48">
        <f t="shared" si="5"/>
        <v>-6.9783528645830302</v>
      </c>
      <c r="K19" s="46">
        <v>100.96875</v>
      </c>
      <c r="L19" s="47">
        <f t="shared" si="6"/>
        <v>127968.75</v>
      </c>
      <c r="M19" s="48">
        <f t="shared" si="7"/>
        <v>1083.2572916666686</v>
      </c>
      <c r="N19" s="46">
        <v>84.16</v>
      </c>
      <c r="O19" s="47">
        <f t="shared" si="8"/>
        <v>205810.41579669225</v>
      </c>
      <c r="P19" s="48">
        <f t="shared" si="9"/>
        <v>-41125</v>
      </c>
      <c r="Q19" s="46">
        <v>100.0859375</v>
      </c>
      <c r="R19" s="47">
        <f t="shared" si="10"/>
        <v>253750</v>
      </c>
      <c r="S19" s="48">
        <f t="shared" si="11"/>
        <v>-5797.3361599392374</v>
      </c>
      <c r="T19" s="85">
        <f t="shared" ref="T19:T23" si="13">C19+D19-F19-G19-I19-J19-L19-M19-O19-P19+R19+S19+$W$9</f>
        <v>-23146.914097216068</v>
      </c>
      <c r="Z19" s="78">
        <f ca="1"/>
        <v>45863</v>
      </c>
      <c r="AA19" s="55">
        <f ca="1"/>
        <v>108.99</v>
      </c>
      <c r="AD19" s="78">
        <f ca="1"/>
        <v>45897</v>
      </c>
      <c r="AE19" s="55">
        <f ca="1"/>
        <v>100.359375</v>
      </c>
      <c r="AF19" s="78">
        <f ca="1"/>
        <v>45898</v>
      </c>
      <c r="AG19" s="55">
        <f ca="1"/>
        <v>97.21875</v>
      </c>
      <c r="AH19" s="78">
        <f ca="1"/>
        <v>45863</v>
      </c>
      <c r="AI19" s="55">
        <f ca="1"/>
        <v>82.63</v>
      </c>
    </row>
    <row r="20" spans="1:35" x14ac:dyDescent="0.3">
      <c r="A20" s="37">
        <v>45933</v>
      </c>
      <c r="B20" s="46">
        <v>111.55</v>
      </c>
      <c r="C20" s="47">
        <f t="shared" si="0"/>
        <v>191710.60339777157</v>
      </c>
      <c r="D20" s="47">
        <f t="shared" si="1"/>
        <v>-33605</v>
      </c>
      <c r="E20" s="46">
        <v>99.58984375</v>
      </c>
      <c r="F20" s="47">
        <f t="shared" si="2"/>
        <v>34023.4375</v>
      </c>
      <c r="G20" s="48">
        <f t="shared" si="3"/>
        <v>-2155.3833116319456</v>
      </c>
      <c r="H20" s="46">
        <v>101.0390625</v>
      </c>
      <c r="I20" s="47">
        <f t="shared" si="4"/>
        <v>33984.375</v>
      </c>
      <c r="J20" s="48">
        <f t="shared" si="5"/>
        <v>-7.9752604166660603</v>
      </c>
      <c r="K20" s="46">
        <v>100.59375</v>
      </c>
      <c r="L20" s="47">
        <f t="shared" si="6"/>
        <v>88593.75</v>
      </c>
      <c r="M20" s="48">
        <f t="shared" si="7"/>
        <v>1238.0083333333332</v>
      </c>
      <c r="N20" s="46">
        <v>84.06</v>
      </c>
      <c r="O20" s="47">
        <f t="shared" si="8"/>
        <v>146155.22281214988</v>
      </c>
      <c r="P20" s="48">
        <f t="shared" si="9"/>
        <v>-47000</v>
      </c>
      <c r="Q20" s="46">
        <v>99.8203125</v>
      </c>
      <c r="R20" s="47">
        <f t="shared" si="10"/>
        <v>118945.3125</v>
      </c>
      <c r="S20" s="48">
        <f t="shared" si="11"/>
        <v>-6625.5270399305518</v>
      </c>
      <c r="T20" s="85">
        <f t="shared" si="13"/>
        <v>-46778.870482892766</v>
      </c>
      <c r="Z20" s="78">
        <f ca="1"/>
        <v>45866</v>
      </c>
      <c r="AA20" s="55">
        <f ca="1"/>
        <v>108.77</v>
      </c>
      <c r="AD20" s="78">
        <f ca="1"/>
        <v>45898</v>
      </c>
      <c r="AE20" s="55">
        <f ca="1"/>
        <v>100.15625</v>
      </c>
      <c r="AF20" s="78">
        <f ca="1"/>
        <v>45901</v>
      </c>
      <c r="AG20" s="55">
        <f ca="1"/>
        <v>97.21875</v>
      </c>
      <c r="AH20" s="78">
        <f ca="1"/>
        <v>45866</v>
      </c>
      <c r="AI20" s="55">
        <f ca="1"/>
        <v>82.5</v>
      </c>
    </row>
    <row r="21" spans="1:35" x14ac:dyDescent="0.3">
      <c r="A21" s="37">
        <v>45936</v>
      </c>
      <c r="B21" s="46">
        <v>111.19</v>
      </c>
      <c r="C21" s="47">
        <f t="shared" si="0"/>
        <v>75717.633274750784</v>
      </c>
      <c r="D21" s="47">
        <f t="shared" si="1"/>
        <v>-46206.874999999993</v>
      </c>
      <c r="E21" s="46">
        <v>99.50390625</v>
      </c>
      <c r="F21" s="47">
        <f t="shared" si="2"/>
        <v>19628.90625</v>
      </c>
      <c r="G21" s="48">
        <f t="shared" si="3"/>
        <v>-2963.6520534939227</v>
      </c>
      <c r="H21" s="46">
        <v>100.765625</v>
      </c>
      <c r="I21" s="47">
        <f t="shared" si="4"/>
        <v>13476.5625</v>
      </c>
      <c r="J21" s="48">
        <f t="shared" si="5"/>
        <v>-10.96598307291606</v>
      </c>
      <c r="K21" s="46">
        <v>100.015625</v>
      </c>
      <c r="L21" s="47">
        <f t="shared" si="6"/>
        <v>27890.625000000004</v>
      </c>
      <c r="M21" s="48">
        <f t="shared" si="7"/>
        <v>1702.2614583333343</v>
      </c>
      <c r="N21" s="46">
        <v>83.89</v>
      </c>
      <c r="O21" s="47">
        <f t="shared" si="8"/>
        <v>44741.394738412324</v>
      </c>
      <c r="P21" s="48">
        <f t="shared" si="9"/>
        <v>-64624.999999999993</v>
      </c>
      <c r="Q21" s="46">
        <v>99.6484375</v>
      </c>
      <c r="R21" s="47">
        <f t="shared" si="10"/>
        <v>31718.75</v>
      </c>
      <c r="S21" s="48">
        <f t="shared" si="11"/>
        <v>-9110.0996799045024</v>
      </c>
      <c r="T21" s="85">
        <f t="shared" si="13"/>
        <v>-50093.547582631712</v>
      </c>
      <c r="Z21" s="78">
        <f ca="1"/>
        <v>45867</v>
      </c>
      <c r="AA21" s="55">
        <f ca="1"/>
        <v>109.49</v>
      </c>
      <c r="AD21" s="78">
        <f ca="1"/>
        <v>45901</v>
      </c>
      <c r="AE21" s="55">
        <f ca="1"/>
        <v>100.15625</v>
      </c>
      <c r="AF21" s="78">
        <f ca="1"/>
        <v>45902</v>
      </c>
      <c r="AG21" s="55">
        <f ca="1"/>
        <v>96.703125</v>
      </c>
      <c r="AH21" s="78">
        <f ca="1"/>
        <v>45867</v>
      </c>
      <c r="AI21" s="55">
        <f ca="1"/>
        <v>82.81</v>
      </c>
    </row>
    <row r="22" spans="1:35" x14ac:dyDescent="0.3">
      <c r="A22" s="37">
        <v>45937</v>
      </c>
      <c r="B22" s="46">
        <v>111.4</v>
      </c>
      <c r="C22" s="47">
        <f t="shared" si="0"/>
        <v>143380.19917984758</v>
      </c>
      <c r="D22" s="47">
        <f t="shared" si="1"/>
        <v>-50407.499999999993</v>
      </c>
      <c r="E22" s="46">
        <v>99.65234375</v>
      </c>
      <c r="F22" s="47">
        <f t="shared" si="2"/>
        <v>44492.1875</v>
      </c>
      <c r="G22" s="48">
        <f t="shared" si="3"/>
        <v>-3233.0749674479121</v>
      </c>
      <c r="H22" s="46">
        <v>101.0078125</v>
      </c>
      <c r="I22" s="47">
        <f t="shared" si="4"/>
        <v>31640.625000000004</v>
      </c>
      <c r="J22" s="48">
        <f t="shared" si="5"/>
        <v>-11.962890624998181</v>
      </c>
      <c r="K22" s="46">
        <v>100.40625</v>
      </c>
      <c r="L22" s="47">
        <f t="shared" si="6"/>
        <v>68906.25</v>
      </c>
      <c r="M22" s="48">
        <f t="shared" si="7"/>
        <v>1857.0125000000025</v>
      </c>
      <c r="N22" s="46">
        <v>84</v>
      </c>
      <c r="O22" s="47">
        <f t="shared" si="8"/>
        <v>110362.10702142224</v>
      </c>
      <c r="P22" s="48">
        <f t="shared" si="9"/>
        <v>-70499.999999999985</v>
      </c>
      <c r="Q22" s="46">
        <v>99.8671875</v>
      </c>
      <c r="R22" s="47">
        <f t="shared" si="10"/>
        <v>142734.375</v>
      </c>
      <c r="S22" s="48">
        <f t="shared" si="11"/>
        <v>-9938.2905598958314</v>
      </c>
      <c r="T22" s="85">
        <f t="shared" si="13"/>
        <v>-20117.184810696766</v>
      </c>
      <c r="Z22" s="78">
        <f ca="1"/>
        <v>45868</v>
      </c>
      <c r="AA22" s="55">
        <f ca="1"/>
        <v>109.08</v>
      </c>
      <c r="AD22" s="78">
        <f ca="1"/>
        <v>45902</v>
      </c>
      <c r="AE22" s="55">
        <f ca="1"/>
        <v>99.8984375</v>
      </c>
      <c r="AF22" s="78">
        <f ca="1"/>
        <v>45903</v>
      </c>
      <c r="AG22" s="55">
        <f ca="1"/>
        <v>97.6875</v>
      </c>
      <c r="AH22" s="78">
        <f ca="1"/>
        <v>45868</v>
      </c>
      <c r="AI22" s="55">
        <f ca="1"/>
        <v>82.67</v>
      </c>
    </row>
    <row r="23" spans="1:35" x14ac:dyDescent="0.3">
      <c r="A23" s="37">
        <v>45938</v>
      </c>
      <c r="B23" s="46">
        <v>111.26</v>
      </c>
      <c r="C23" s="47">
        <f t="shared" si="0"/>
        <v>98271.821909788341</v>
      </c>
      <c r="D23" s="47">
        <f t="shared" si="1"/>
        <v>-54608.124999999993</v>
      </c>
      <c r="E23" s="46">
        <v>99.58984375</v>
      </c>
      <c r="F23" s="47">
        <f t="shared" si="2"/>
        <v>34023.4375</v>
      </c>
      <c r="G23" s="48">
        <f t="shared" si="3"/>
        <v>-3502.497881401905</v>
      </c>
      <c r="H23" s="46">
        <v>101.046875</v>
      </c>
      <c r="I23" s="47">
        <f t="shared" si="4"/>
        <v>34570.3125</v>
      </c>
      <c r="J23" s="48">
        <f t="shared" si="5"/>
        <v>-12.959798177082121</v>
      </c>
      <c r="K23" s="46">
        <v>100.6484375</v>
      </c>
      <c r="L23" s="47">
        <f t="shared" si="6"/>
        <v>94335.937499999985</v>
      </c>
      <c r="M23" s="48">
        <f t="shared" si="7"/>
        <v>2011.7635416666672</v>
      </c>
      <c r="N23" s="46">
        <v>83.9</v>
      </c>
      <c r="O23" s="47">
        <f t="shared" si="8"/>
        <v>50706.91403686878</v>
      </c>
      <c r="P23" s="48">
        <f t="shared" si="9"/>
        <v>-76374.999999999985</v>
      </c>
      <c r="Q23" s="46">
        <v>99.84375</v>
      </c>
      <c r="R23" s="47">
        <f t="shared" si="10"/>
        <v>130839.84375</v>
      </c>
      <c r="S23" s="48">
        <f t="shared" si="11"/>
        <v>-10766.481439887139</v>
      </c>
      <c r="T23" s="85">
        <f t="shared" si="13"/>
        <v>-34393.672446354423</v>
      </c>
      <c r="Z23" s="78">
        <f ca="1"/>
        <v>45869</v>
      </c>
      <c r="AA23" s="55">
        <f ca="1"/>
        <v>109.11</v>
      </c>
      <c r="AD23" s="78">
        <f ca="1"/>
        <v>45903</v>
      </c>
      <c r="AE23" s="55">
        <f ca="1"/>
        <v>100.2578125</v>
      </c>
      <c r="AF23" s="78">
        <f ca="1"/>
        <v>45904</v>
      </c>
      <c r="AG23" s="55">
        <f ca="1"/>
        <v>98.3671875</v>
      </c>
      <c r="AH23" s="78">
        <f ca="1"/>
        <v>45869</v>
      </c>
      <c r="AI23" s="55">
        <f ca="1"/>
        <v>82.68</v>
      </c>
    </row>
    <row r="24" spans="1:35" x14ac:dyDescent="0.3">
      <c r="A24" s="37">
        <v>45939</v>
      </c>
      <c r="B24" s="46">
        <v>111.04</v>
      </c>
      <c r="C24" s="47">
        <f t="shared" ref="C24" si="14">(B24/$B$14-1)*$B$5</f>
        <v>27387.229056826778</v>
      </c>
      <c r="D24" s="47">
        <f t="shared" ref="D24" si="15">-1*(A24-$A$14)/360*$B$7*$B$5</f>
        <v>-58808.75</v>
      </c>
      <c r="E24" s="46">
        <v>99.49609375</v>
      </c>
      <c r="F24" s="47">
        <f t="shared" ref="F24" si="16">(E24-$E$14)/100*$C$5</f>
        <v>18320.3125</v>
      </c>
      <c r="G24" s="48">
        <f t="shared" ref="G24" si="17">(A24-$A$14)/360*$C$6*$C$5-(A24-$A$14)/360*$C$7*$C$5*$E$14/100</f>
        <v>-3771.9207953559016</v>
      </c>
      <c r="H24" s="46">
        <v>100.8828125</v>
      </c>
      <c r="I24" s="47">
        <f>(H24-$H$14)/100*$D$5</f>
        <v>22265.625</v>
      </c>
      <c r="J24" s="48">
        <f>(A24-$A$14)/360*$D$6*$D$5-(A24-$A$14)/360*$D$7*$D$5*$H$14/100</f>
        <v>-13.95670572916606</v>
      </c>
      <c r="K24" s="46">
        <v>100.4375</v>
      </c>
      <c r="L24" s="47">
        <f>(K24-$K$14)/100*$E$5</f>
        <v>72187.5</v>
      </c>
      <c r="M24" s="48">
        <f t="shared" ref="M24" si="18">(A24-$A$14)/360*$E$6*$E$5-(A24-$A$14)/360*$E$7*$E$5*$K$14/100</f>
        <v>2166.5145833333372</v>
      </c>
      <c r="N24" s="46">
        <v>83.77</v>
      </c>
      <c r="O24" s="47">
        <f t="shared" ref="O24" si="19">(N24/$N$14-1)*$F$5</f>
        <v>-26844.836843048502</v>
      </c>
      <c r="P24" s="48">
        <f t="shared" ref="P24" si="20">-1*(A24-$A$14)/360*$F$7*$F$5</f>
        <v>-82250</v>
      </c>
      <c r="Q24" s="46">
        <v>99.71875</v>
      </c>
      <c r="R24" s="47">
        <f t="shared" ref="R24" si="21">(Q24-$Q$14)/100*$G$5</f>
        <v>67402.34375</v>
      </c>
      <c r="S24" s="48">
        <f t="shared" ref="S24" si="22">(A24-$A$14)/360*$G$6*$G$5-(A24-$A$14)/360*$G$7*$G$5*$Q$14/100</f>
        <v>-11594.672319878475</v>
      </c>
      <c r="T24" s="85">
        <f t="shared" ref="T24" si="23">C24+D24-F24-G24-I24-J24-L24-M24-O24-P24+R24+S24+$W$9</f>
        <v>-40045.911519550646</v>
      </c>
      <c r="Z24" s="78">
        <f ca="1"/>
        <v>45870</v>
      </c>
      <c r="AA24" s="55">
        <f ca="1"/>
        <v>109.63</v>
      </c>
      <c r="AD24" s="78">
        <f ca="1"/>
        <v>45904</v>
      </c>
      <c r="AE24" s="55">
        <f ca="1"/>
        <v>100.7109375</v>
      </c>
      <c r="AF24" s="78">
        <f ca="1"/>
        <v>45905</v>
      </c>
      <c r="AG24" s="55">
        <f ca="1"/>
        <v>99.8359375</v>
      </c>
      <c r="AH24" s="78">
        <f ca="1"/>
        <v>45870</v>
      </c>
      <c r="AI24" s="55">
        <f ca="1"/>
        <v>83.04</v>
      </c>
    </row>
    <row r="25" spans="1:35" x14ac:dyDescent="0.3">
      <c r="A25" s="37">
        <v>45940</v>
      </c>
      <c r="B25" s="46">
        <f ca="1">VLOOKUP($A25, Z$3:AA$500, 2)</f>
        <v>111.315</v>
      </c>
      <c r="C25" s="47">
        <f t="shared" ref="C25" ca="1" si="24">(B25/$B$14-1)*$B$5</f>
        <v>115992.97012302079</v>
      </c>
      <c r="D25" s="47">
        <f t="shared" ref="D25" si="25">-1*(A25-$A$14)/360*$B$7*$B$5</f>
        <v>-63009.374999999993</v>
      </c>
      <c r="E25" s="46">
        <f ca="1">VLOOKUP($A25, AB$3:AC$500, 2)</f>
        <v>99.62890625</v>
      </c>
      <c r="F25" s="47">
        <f t="shared" ref="F25" ca="1" si="26">(E25-$E$14)/100*$C$5</f>
        <v>40566.40625</v>
      </c>
      <c r="G25" s="48">
        <f t="shared" ref="G25" si="27">(A25-$A$14)/360*$C$6*$C$5-(A25-$A$14)/360*$C$7*$C$5*$E$14/100</f>
        <v>-4041.3437093098946</v>
      </c>
      <c r="H25" s="46">
        <f ca="1">VLOOKUP($A25, AD$3:AE$500, 2)</f>
        <v>101.1640625</v>
      </c>
      <c r="I25" s="47">
        <f ca="1">(H25-$H$14)/100*$D$5</f>
        <v>43359.375</v>
      </c>
      <c r="J25" s="48">
        <f>(A25-$A$14)/360*$D$6*$D$5-(A25-$A$14)/360*$D$7*$D$5*$H$14/100</f>
        <v>-14.953613281246362</v>
      </c>
      <c r="K25" s="46">
        <f ca="1">VLOOKUP($A25, AF$3:AG$500, 2)</f>
        <v>101.1484375</v>
      </c>
      <c r="L25" s="47">
        <f ca="1">(K25-$K$14)/100*$E$5</f>
        <v>146835.9375</v>
      </c>
      <c r="M25" s="48">
        <f t="shared" ref="M25" si="28">(A25-$A$14)/360*$E$6*$E$5-(A25-$A$14)/360*$E$7*$E$5*$K$14/100</f>
        <v>2321.265625</v>
      </c>
      <c r="N25" s="46">
        <f ca="1">VLOOKUP($A25, AH$3:AI$500, 2)</f>
        <v>83.915000000000006</v>
      </c>
      <c r="O25" s="47">
        <f t="shared" ref="O25" ca="1" si="29">(N25/$N$14-1)*$F$5</f>
        <v>59655.192984553461</v>
      </c>
      <c r="P25" s="48">
        <f t="shared" ref="P25" si="30">-1*(A25-$A$14)/360*$F$7*$F$5</f>
        <v>-88124.999999999985</v>
      </c>
      <c r="Q25" s="46">
        <f ca="1">VLOOKUP($A25, AJ$3:AK$500, 2)</f>
        <v>99.9140625</v>
      </c>
      <c r="R25" s="47">
        <f t="shared" ref="R25" ca="1" si="31">(Q25-$Q$14)/100*$G$5</f>
        <v>166523.4375</v>
      </c>
      <c r="S25" s="48">
        <f t="shared" ref="S25" si="32">(A25-$A$14)/360*$G$6*$G$5-(A25-$A$14)/360*$G$7*$G$5*$Q$14/100</f>
        <v>-12422.863199869797</v>
      </c>
      <c r="T25" s="85">
        <f t="shared" ref="T25" ca="1" si="33">C25+D25-F25-G25-I25-J25-L25-M25-O25-P25+R25+S25+$W$9</f>
        <v>-55845.534881110492</v>
      </c>
      <c r="Z25" s="78">
        <f ca="1"/>
        <v>45873</v>
      </c>
      <c r="AA25" s="55">
        <f ca="1"/>
        <v>109.82</v>
      </c>
      <c r="AD25" s="78">
        <f ca="1"/>
        <v>45905</v>
      </c>
      <c r="AE25" s="55">
        <f ca="1"/>
        <v>101.40625</v>
      </c>
      <c r="AF25" s="78">
        <f ca="1"/>
        <v>45908</v>
      </c>
      <c r="AG25" s="55">
        <f ca="1"/>
        <v>100.90625</v>
      </c>
      <c r="AH25" s="78">
        <f ca="1"/>
        <v>45873</v>
      </c>
      <c r="AI25" s="55">
        <f ca="1"/>
        <v>83.17</v>
      </c>
    </row>
    <row r="26" spans="1:35" x14ac:dyDescent="0.3">
      <c r="A26" s="37">
        <v>45941</v>
      </c>
      <c r="B26" s="46"/>
      <c r="C26" s="47"/>
      <c r="D26" s="47"/>
      <c r="E26" s="46"/>
      <c r="F26" s="47"/>
      <c r="G26" s="48"/>
      <c r="H26" s="46"/>
      <c r="I26" s="47"/>
      <c r="J26" s="48"/>
      <c r="K26" s="46"/>
      <c r="L26" s="47"/>
      <c r="M26" s="48"/>
      <c r="N26" s="46"/>
      <c r="O26" s="47"/>
      <c r="P26" s="48"/>
      <c r="Q26" s="46"/>
      <c r="R26" s="47"/>
      <c r="S26" s="48"/>
      <c r="T26" s="85"/>
      <c r="Z26" s="78">
        <f ca="1"/>
        <v>45874</v>
      </c>
      <c r="AA26" s="55">
        <f ca="1"/>
        <v>109.9</v>
      </c>
      <c r="AD26" s="78">
        <f ca="1"/>
        <v>45908</v>
      </c>
      <c r="AE26" s="55">
        <f ca="1"/>
        <v>101.6953125</v>
      </c>
      <c r="AF26" s="78">
        <f ca="1"/>
        <v>45909</v>
      </c>
      <c r="AG26" s="55">
        <f ca="1"/>
        <v>100.28125</v>
      </c>
      <c r="AH26" s="78">
        <f ca="1"/>
        <v>45874</v>
      </c>
      <c r="AI26" s="55">
        <f ca="1"/>
        <v>83.13</v>
      </c>
    </row>
    <row r="27" spans="1:35" x14ac:dyDescent="0.3">
      <c r="A27" s="37">
        <v>45942</v>
      </c>
      <c r="B27" s="57"/>
      <c r="C27" s="47"/>
      <c r="D27" s="47"/>
      <c r="E27" s="46"/>
      <c r="F27" s="47"/>
      <c r="G27" s="48"/>
      <c r="H27" s="46"/>
      <c r="I27" s="47"/>
      <c r="J27" s="48"/>
      <c r="K27" s="46"/>
      <c r="L27" s="47"/>
      <c r="M27" s="48"/>
      <c r="N27" s="46"/>
      <c r="O27" s="47"/>
      <c r="P27" s="48"/>
      <c r="Q27" s="46"/>
      <c r="R27" s="47"/>
      <c r="S27" s="48"/>
      <c r="T27" s="85"/>
      <c r="Z27" s="78">
        <f ca="1"/>
        <v>45875</v>
      </c>
      <c r="AA27" s="55">
        <f ca="1"/>
        <v>109.87</v>
      </c>
      <c r="AD27" s="78">
        <f ca="1"/>
        <v>45909</v>
      </c>
      <c r="AE27" s="55">
        <f ca="1"/>
        <v>101.3046875</v>
      </c>
      <c r="AF27" s="78">
        <f ca="1"/>
        <v>45910</v>
      </c>
      <c r="AG27" s="55">
        <f ca="1"/>
        <v>100.84375</v>
      </c>
      <c r="AH27" s="78">
        <f ca="1"/>
        <v>45875</v>
      </c>
      <c r="AI27" s="55">
        <f ca="1"/>
        <v>83.16</v>
      </c>
    </row>
    <row r="28" spans="1:35" x14ac:dyDescent="0.3">
      <c r="A28" s="37">
        <v>45943</v>
      </c>
      <c r="B28" s="46"/>
      <c r="C28" s="47"/>
      <c r="D28" s="47"/>
      <c r="E28" s="46"/>
      <c r="F28" s="47"/>
      <c r="G28" s="48"/>
      <c r="H28" s="46"/>
      <c r="I28" s="47"/>
      <c r="J28" s="48"/>
      <c r="K28" s="46"/>
      <c r="L28" s="47"/>
      <c r="M28" s="48"/>
      <c r="N28" s="46"/>
      <c r="O28" s="47"/>
      <c r="P28" s="48"/>
      <c r="Q28" s="46"/>
      <c r="R28" s="47"/>
      <c r="S28" s="48"/>
      <c r="T28" s="85"/>
      <c r="Z28" s="78">
        <f ca="1"/>
        <v>45876</v>
      </c>
      <c r="AA28" s="55">
        <f ca="1"/>
        <v>109.76</v>
      </c>
      <c r="AD28" s="78">
        <f ca="1"/>
        <v>45910</v>
      </c>
      <c r="AE28" s="55">
        <f ca="1"/>
        <v>101.640625</v>
      </c>
      <c r="AF28" s="78">
        <f ca="1"/>
        <v>45911</v>
      </c>
      <c r="AG28" s="55">
        <f ca="1"/>
        <v>101.53125</v>
      </c>
      <c r="AH28" s="78">
        <f ca="1"/>
        <v>45876</v>
      </c>
      <c r="AI28" s="55">
        <f ca="1"/>
        <v>83.09</v>
      </c>
    </row>
    <row r="29" spans="1:35" x14ac:dyDescent="0.3">
      <c r="A29" s="37">
        <v>45944</v>
      </c>
      <c r="B29" s="46"/>
      <c r="C29" s="47"/>
      <c r="D29" s="47"/>
      <c r="E29" s="46"/>
      <c r="F29" s="47"/>
      <c r="G29" s="48"/>
      <c r="H29" s="46"/>
      <c r="I29" s="47"/>
      <c r="J29" s="48"/>
      <c r="K29" s="46"/>
      <c r="L29" s="47"/>
      <c r="M29" s="48"/>
      <c r="N29" s="46"/>
      <c r="O29" s="47"/>
      <c r="P29" s="48"/>
      <c r="Q29" s="46"/>
      <c r="R29" s="47"/>
      <c r="S29" s="48"/>
      <c r="T29" s="85"/>
      <c r="Z29" s="78">
        <f ca="1"/>
        <v>45877</v>
      </c>
      <c r="AA29" s="55">
        <f ca="1"/>
        <v>109.41</v>
      </c>
      <c r="AD29" s="78">
        <f ca="1"/>
        <v>45911</v>
      </c>
      <c r="AE29" s="55">
        <f ca="1"/>
        <v>101.84375</v>
      </c>
      <c r="AF29" s="78">
        <f ca="1"/>
        <v>45912</v>
      </c>
      <c r="AG29" s="55">
        <f ca="1"/>
        <v>101.078125</v>
      </c>
      <c r="AH29" s="78">
        <f ca="1"/>
        <v>45877</v>
      </c>
      <c r="AI29" s="55">
        <f ca="1"/>
        <v>82.88</v>
      </c>
    </row>
    <row r="30" spans="1:35" x14ac:dyDescent="0.3">
      <c r="A30" s="37">
        <v>45945</v>
      </c>
      <c r="B30" s="46"/>
      <c r="C30" s="47"/>
      <c r="D30" s="47"/>
      <c r="E30" s="46"/>
      <c r="F30" s="47"/>
      <c r="G30" s="48"/>
      <c r="H30" s="46"/>
      <c r="I30" s="47"/>
      <c r="J30" s="48"/>
      <c r="K30" s="46"/>
      <c r="L30" s="47"/>
      <c r="M30" s="48"/>
      <c r="N30" s="46"/>
      <c r="O30" s="47"/>
      <c r="P30" s="48"/>
      <c r="Q30" s="46"/>
      <c r="R30" s="47"/>
      <c r="S30" s="48"/>
      <c r="T30" s="85"/>
      <c r="Z30" s="78">
        <f ca="1"/>
        <v>45880</v>
      </c>
      <c r="AA30" s="55">
        <f ca="1"/>
        <v>109.58</v>
      </c>
      <c r="AD30" s="78">
        <f ca="1"/>
        <v>45912</v>
      </c>
      <c r="AE30" s="55">
        <f ca="1"/>
        <v>101.4765625</v>
      </c>
      <c r="AF30" s="78">
        <f ca="1"/>
        <v>45915</v>
      </c>
      <c r="AG30" s="55">
        <f ca="1"/>
        <v>101.4296875</v>
      </c>
      <c r="AH30" s="78">
        <f ca="1"/>
        <v>45880</v>
      </c>
      <c r="AI30" s="55">
        <f ca="1"/>
        <v>82.94</v>
      </c>
    </row>
    <row r="31" spans="1:35" x14ac:dyDescent="0.3">
      <c r="A31" s="37">
        <v>45946</v>
      </c>
      <c r="B31" s="46"/>
      <c r="C31" s="47"/>
      <c r="D31" s="47"/>
      <c r="E31" s="46"/>
      <c r="F31" s="47"/>
      <c r="G31" s="48"/>
      <c r="H31" s="46"/>
      <c r="I31" s="47"/>
      <c r="J31" s="48"/>
      <c r="K31" s="46"/>
      <c r="L31" s="47"/>
      <c r="M31" s="48"/>
      <c r="N31" s="46"/>
      <c r="O31" s="47"/>
      <c r="P31" s="48"/>
      <c r="Q31" s="46"/>
      <c r="R31" s="47"/>
      <c r="S31" s="48"/>
      <c r="T31" s="85"/>
      <c r="Z31" s="78">
        <f ca="1"/>
        <v>45881</v>
      </c>
      <c r="AA31" s="55">
        <f ca="1"/>
        <v>109.68</v>
      </c>
      <c r="AD31" s="78">
        <f ca="1"/>
        <v>45915</v>
      </c>
      <c r="AE31" s="55">
        <f ca="1"/>
        <v>101.703125</v>
      </c>
      <c r="AF31" s="78">
        <f ca="1"/>
        <v>45916</v>
      </c>
      <c r="AG31" s="55">
        <f ca="1"/>
        <v>101.6171875</v>
      </c>
      <c r="AH31" s="78">
        <f ca="1"/>
        <v>45881</v>
      </c>
      <c r="AI31" s="55">
        <f ca="1"/>
        <v>83.02</v>
      </c>
    </row>
    <row r="32" spans="1:35" x14ac:dyDescent="0.3">
      <c r="A32" s="37"/>
      <c r="B32" s="46"/>
      <c r="C32" s="31"/>
      <c r="D32" s="31"/>
      <c r="E32" s="4"/>
      <c r="F32" s="31"/>
      <c r="G32" s="32"/>
      <c r="H32" s="4"/>
      <c r="I32" s="31"/>
      <c r="J32" s="32"/>
      <c r="K32" s="4"/>
      <c r="L32" s="31"/>
      <c r="M32" s="32"/>
      <c r="N32" s="4"/>
      <c r="O32" s="31"/>
      <c r="P32" s="32"/>
      <c r="Q32" s="4"/>
      <c r="R32" s="31"/>
      <c r="S32" s="32"/>
      <c r="T32" s="85"/>
      <c r="Z32" s="78">
        <f ca="1"/>
        <v>45882</v>
      </c>
      <c r="AA32" s="55">
        <f ca="1"/>
        <v>110.26</v>
      </c>
      <c r="AD32" s="78">
        <f ca="1"/>
        <v>45916</v>
      </c>
      <c r="AE32" s="55">
        <f ca="1"/>
        <v>101.7890625</v>
      </c>
      <c r="AF32" s="78">
        <f ca="1"/>
        <v>45917</v>
      </c>
      <c r="AG32" s="55">
        <f ca="1"/>
        <v>100.9296875</v>
      </c>
      <c r="AH32" s="78">
        <f ca="1"/>
        <v>45882</v>
      </c>
      <c r="AI32" s="55">
        <f ca="1"/>
        <v>83.33</v>
      </c>
    </row>
    <row r="33" spans="1:35" x14ac:dyDescent="0.3">
      <c r="A33" s="37"/>
      <c r="B33" s="46"/>
      <c r="C33" s="31"/>
      <c r="D33" s="31"/>
      <c r="E33" s="4"/>
      <c r="F33" s="31"/>
      <c r="G33" s="32"/>
      <c r="H33" s="4"/>
      <c r="I33" s="31"/>
      <c r="J33" s="32"/>
      <c r="K33" s="4"/>
      <c r="L33" s="31"/>
      <c r="M33" s="32"/>
      <c r="N33" s="4"/>
      <c r="O33" s="31"/>
      <c r="P33" s="32"/>
      <c r="Q33" s="4"/>
      <c r="R33" s="31"/>
      <c r="S33" s="32"/>
      <c r="T33" s="39"/>
      <c r="Z33" s="78">
        <f ca="1"/>
        <v>45883</v>
      </c>
      <c r="AA33" s="55">
        <f ca="1"/>
        <v>109.88</v>
      </c>
      <c r="AD33" s="78">
        <f ca="1"/>
        <v>45917</v>
      </c>
      <c r="AE33" s="55">
        <f ca="1"/>
        <v>101.296875</v>
      </c>
      <c r="AF33" s="78">
        <f ca="1"/>
        <v>45918</v>
      </c>
      <c r="AG33" s="55">
        <f ca="1"/>
        <v>100.390625</v>
      </c>
      <c r="AH33" s="78">
        <f ca="1"/>
        <v>45883</v>
      </c>
      <c r="AI33" s="55">
        <f ca="1"/>
        <v>83.12</v>
      </c>
    </row>
    <row r="34" spans="1:35" x14ac:dyDescent="0.3">
      <c r="A34" s="37"/>
      <c r="B34" s="46"/>
      <c r="C34" s="31"/>
      <c r="D34" s="31"/>
      <c r="E34" s="4"/>
      <c r="F34" s="31"/>
      <c r="G34" s="32"/>
      <c r="H34" s="4"/>
      <c r="I34" s="31"/>
      <c r="J34" s="32"/>
      <c r="K34" s="4"/>
      <c r="L34" s="31"/>
      <c r="M34" s="32"/>
      <c r="N34" s="4"/>
      <c r="O34" s="31"/>
      <c r="P34" s="32"/>
      <c r="Q34" s="4"/>
      <c r="R34" s="31"/>
      <c r="S34" s="32"/>
      <c r="T34" s="39"/>
      <c r="Z34" s="78">
        <f ca="1"/>
        <v>45884</v>
      </c>
      <c r="AA34" s="55">
        <f ca="1"/>
        <v>109.74</v>
      </c>
      <c r="AD34" s="78">
        <f ca="1"/>
        <v>45918</v>
      </c>
      <c r="AE34" s="55">
        <f ca="1"/>
        <v>101.15625</v>
      </c>
      <c r="AF34" s="78">
        <f ca="1"/>
        <v>45919</v>
      </c>
      <c r="AG34" s="55">
        <f ca="1"/>
        <v>100.078125</v>
      </c>
      <c r="AH34" s="78">
        <f ca="1"/>
        <v>45884</v>
      </c>
      <c r="AI34" s="55">
        <f ca="1"/>
        <v>83.06</v>
      </c>
    </row>
    <row r="35" spans="1:35" x14ac:dyDescent="0.3">
      <c r="A35" s="37"/>
      <c r="B35" s="46"/>
      <c r="C35" s="31"/>
      <c r="D35" s="31"/>
      <c r="E35" s="4"/>
      <c r="F35" s="31"/>
      <c r="G35" s="32"/>
      <c r="H35" s="4"/>
      <c r="I35" s="31"/>
      <c r="J35" s="32"/>
      <c r="K35" s="4"/>
      <c r="L35" s="31"/>
      <c r="M35" s="32"/>
      <c r="N35" s="4"/>
      <c r="O35" s="31"/>
      <c r="P35" s="32"/>
      <c r="Q35" s="4"/>
      <c r="R35" s="31"/>
      <c r="S35" s="32"/>
      <c r="T35" s="39"/>
      <c r="Z35" s="78">
        <f ca="1"/>
        <v>45887</v>
      </c>
      <c r="AA35" s="55">
        <f ca="1"/>
        <v>109.54</v>
      </c>
      <c r="AD35" s="78">
        <f ca="1"/>
        <v>45919</v>
      </c>
      <c r="AE35" s="55">
        <f ca="1"/>
        <v>100.9765625</v>
      </c>
      <c r="AF35" s="78">
        <f ca="1"/>
        <v>45922</v>
      </c>
      <c r="AG35" s="55">
        <f ca="1"/>
        <v>99.78125</v>
      </c>
      <c r="AH35" s="78">
        <f ca="1"/>
        <v>45887</v>
      </c>
      <c r="AI35" s="55">
        <f ca="1"/>
        <v>82.96</v>
      </c>
    </row>
    <row r="36" spans="1:35" x14ac:dyDescent="0.3">
      <c r="A36" s="37"/>
      <c r="B36" s="46"/>
      <c r="C36" s="31"/>
      <c r="D36" s="31"/>
      <c r="E36" s="4"/>
      <c r="F36" s="31"/>
      <c r="G36" s="32"/>
      <c r="H36" s="4"/>
      <c r="I36" s="31"/>
      <c r="J36" s="32"/>
      <c r="K36" s="4"/>
      <c r="L36" s="31"/>
      <c r="M36" s="32"/>
      <c r="N36" s="4"/>
      <c r="O36" s="31"/>
      <c r="P36" s="32"/>
      <c r="Q36" s="4"/>
      <c r="R36" s="31"/>
      <c r="S36" s="32"/>
      <c r="T36" s="39"/>
      <c r="Z36" s="78">
        <f ca="1"/>
        <v>45888</v>
      </c>
      <c r="AA36" s="55">
        <f ca="1"/>
        <v>109.71</v>
      </c>
      <c r="AD36" s="78">
        <f ca="1"/>
        <v>45922</v>
      </c>
      <c r="AE36" s="55">
        <f ca="1"/>
        <v>100.8203125</v>
      </c>
      <c r="AF36" s="78">
        <f ca="1"/>
        <v>45923</v>
      </c>
      <c r="AG36" s="55">
        <f ca="1"/>
        <v>100.4765625</v>
      </c>
      <c r="AH36" s="78">
        <f ca="1"/>
        <v>45888</v>
      </c>
      <c r="AI36" s="55">
        <f ca="1"/>
        <v>83.08</v>
      </c>
    </row>
    <row r="37" spans="1:35" x14ac:dyDescent="0.3">
      <c r="A37" s="37"/>
      <c r="B37" s="46"/>
      <c r="C37" s="31"/>
      <c r="D37" s="31"/>
      <c r="E37" s="4"/>
      <c r="F37" s="31"/>
      <c r="G37" s="32"/>
      <c r="H37" s="4"/>
      <c r="I37" s="31"/>
      <c r="J37" s="32"/>
      <c r="K37" s="4"/>
      <c r="L37" s="31"/>
      <c r="M37" s="32"/>
      <c r="N37" s="4"/>
      <c r="O37" s="31"/>
      <c r="P37" s="32"/>
      <c r="Q37" s="4"/>
      <c r="R37" s="31"/>
      <c r="S37" s="32"/>
      <c r="T37" s="39"/>
      <c r="Z37" s="78">
        <f ca="1"/>
        <v>45889</v>
      </c>
      <c r="AA37" s="55">
        <f ca="1"/>
        <v>109.76</v>
      </c>
      <c r="AD37" s="78">
        <f ca="1"/>
        <v>45923</v>
      </c>
      <c r="AE37" s="55">
        <f ca="1"/>
        <v>101.1484375</v>
      </c>
      <c r="AF37" s="78">
        <f ca="1"/>
        <v>45924</v>
      </c>
      <c r="AG37" s="55">
        <f ca="1"/>
        <v>99.9765625</v>
      </c>
      <c r="AH37" s="78">
        <f ca="1"/>
        <v>45889</v>
      </c>
      <c r="AI37" s="55">
        <f ca="1"/>
        <v>83.11</v>
      </c>
    </row>
    <row r="38" spans="1:35" x14ac:dyDescent="0.3">
      <c r="A38" s="37"/>
      <c r="B38" s="46"/>
      <c r="C38" s="31"/>
      <c r="D38" s="31"/>
      <c r="E38" s="4"/>
      <c r="F38" s="31"/>
      <c r="G38" s="32"/>
      <c r="H38" s="4"/>
      <c r="I38" s="31"/>
      <c r="J38" s="32"/>
      <c r="K38" s="4"/>
      <c r="L38" s="31"/>
      <c r="M38" s="32"/>
      <c r="N38" s="4"/>
      <c r="O38" s="31"/>
      <c r="P38" s="32"/>
      <c r="Q38" s="4"/>
      <c r="R38" s="31"/>
      <c r="S38" s="32"/>
      <c r="T38" s="39"/>
      <c r="Z38" s="78">
        <f ca="1"/>
        <v>45890</v>
      </c>
      <c r="AA38" s="55">
        <f ca="1"/>
        <v>109.34</v>
      </c>
      <c r="AD38" s="78">
        <f ca="1"/>
        <v>45924</v>
      </c>
      <c r="AE38" s="55">
        <f ca="1"/>
        <v>100.8203125</v>
      </c>
      <c r="AF38" s="78">
        <f ca="1"/>
        <v>45925</v>
      </c>
      <c r="AG38" s="55">
        <f ca="1"/>
        <v>100.0234375</v>
      </c>
      <c r="AH38" s="78">
        <f ca="1"/>
        <v>45890</v>
      </c>
      <c r="AI38" s="55">
        <f ca="1"/>
        <v>82.86</v>
      </c>
    </row>
    <row r="39" spans="1:35" x14ac:dyDescent="0.3">
      <c r="A39" s="15"/>
      <c r="B39" s="46"/>
      <c r="C39" s="31"/>
      <c r="D39" s="31"/>
      <c r="E39" s="4"/>
      <c r="F39" s="31"/>
      <c r="G39" s="32"/>
      <c r="H39" s="4"/>
      <c r="I39" s="31"/>
      <c r="J39" s="32"/>
      <c r="K39" s="4"/>
      <c r="L39" s="31"/>
      <c r="M39" s="32"/>
      <c r="N39" s="4"/>
      <c r="O39" s="31"/>
      <c r="P39" s="32"/>
      <c r="Q39" s="4"/>
      <c r="R39" s="31"/>
      <c r="S39" s="32"/>
      <c r="T39" s="39"/>
      <c r="Z39" s="78">
        <f ca="1"/>
        <v>45891</v>
      </c>
      <c r="AA39" s="55">
        <f ca="1"/>
        <v>110.2</v>
      </c>
      <c r="AD39" s="78">
        <f ca="1"/>
        <v>45925</v>
      </c>
      <c r="AE39" s="55">
        <f ca="1"/>
        <v>100.6328125</v>
      </c>
      <c r="AF39" s="78">
        <f ca="1"/>
        <v>45926</v>
      </c>
      <c r="AG39" s="55">
        <f ca="1"/>
        <v>100</v>
      </c>
      <c r="AH39" s="78">
        <f ca="1"/>
        <v>45891</v>
      </c>
      <c r="AI39" s="55">
        <f ca="1"/>
        <v>83.38</v>
      </c>
    </row>
    <row r="40" spans="1:35" x14ac:dyDescent="0.3">
      <c r="A40" s="15"/>
      <c r="B40" s="46"/>
      <c r="C40" s="31"/>
      <c r="D40" s="31"/>
      <c r="E40" s="4"/>
      <c r="F40" s="31"/>
      <c r="G40" s="32"/>
      <c r="H40" s="4"/>
      <c r="I40" s="31"/>
      <c r="J40" s="32"/>
      <c r="K40" s="4"/>
      <c r="L40" s="31"/>
      <c r="M40" s="32"/>
      <c r="N40" s="4"/>
      <c r="O40" s="31"/>
      <c r="P40" s="32"/>
      <c r="Q40" s="4"/>
      <c r="R40" s="31"/>
      <c r="S40" s="32"/>
      <c r="T40" s="39"/>
      <c r="Z40" s="78">
        <f ca="1"/>
        <v>45894</v>
      </c>
      <c r="AA40" s="55">
        <f ca="1"/>
        <v>109.91</v>
      </c>
      <c r="AD40" s="78">
        <f ca="1"/>
        <v>45926</v>
      </c>
      <c r="AE40" s="55">
        <f ca="1"/>
        <v>100.5859375</v>
      </c>
      <c r="AF40" s="78">
        <f ca="1"/>
        <v>45929</v>
      </c>
      <c r="AG40" s="55">
        <f ca="1"/>
        <v>100.71875</v>
      </c>
      <c r="AH40" s="78">
        <f ca="1"/>
        <v>45894</v>
      </c>
      <c r="AI40" s="55">
        <f ca="1"/>
        <v>83.23</v>
      </c>
    </row>
    <row r="41" spans="1:35" ht="15" thickBot="1" x14ac:dyDescent="0.35">
      <c r="A41" s="16"/>
      <c r="B41" s="49"/>
      <c r="C41" s="50"/>
      <c r="D41" s="50"/>
      <c r="E41" s="11"/>
      <c r="F41" s="50"/>
      <c r="G41" s="51"/>
      <c r="H41" s="11"/>
      <c r="I41" s="50"/>
      <c r="J41" s="51"/>
      <c r="K41" s="11"/>
      <c r="L41" s="50"/>
      <c r="M41" s="51"/>
      <c r="N41" s="11"/>
      <c r="O41" s="50"/>
      <c r="P41" s="51"/>
      <c r="Q41" s="11"/>
      <c r="R41" s="50"/>
      <c r="S41" s="51"/>
      <c r="T41" s="52"/>
      <c r="Z41" s="78">
        <f ca="1"/>
        <v>45895</v>
      </c>
      <c r="AA41" s="55">
        <f ca="1"/>
        <v>109.99</v>
      </c>
      <c r="AD41" s="78">
        <f ca="1"/>
        <v>45929</v>
      </c>
      <c r="AE41" s="55">
        <f ca="1"/>
        <v>100.8828125</v>
      </c>
      <c r="AF41" s="78">
        <f ca="1"/>
        <v>45930</v>
      </c>
      <c r="AG41" s="55">
        <f ca="1"/>
        <v>100.28125</v>
      </c>
      <c r="AH41" s="78">
        <f ca="1"/>
        <v>45895</v>
      </c>
      <c r="AI41" s="55">
        <f ca="1"/>
        <v>83.36</v>
      </c>
    </row>
    <row r="42" spans="1:35" x14ac:dyDescent="0.3">
      <c r="B42" s="60"/>
      <c r="C42" s="60"/>
      <c r="D42" s="60"/>
      <c r="E42" s="60"/>
      <c r="F42" s="60"/>
      <c r="H42" s="58"/>
      <c r="I42" s="58"/>
      <c r="K42" s="60"/>
      <c r="L42" s="60"/>
      <c r="N42" s="58"/>
      <c r="O42" s="58"/>
      <c r="R42" s="58"/>
      <c r="S42" s="58"/>
      <c r="T42" s="58"/>
      <c r="Z42" s="78">
        <f ca="1"/>
        <v>45896</v>
      </c>
      <c r="AA42" s="55">
        <f ca="1"/>
        <v>110.03</v>
      </c>
      <c r="AD42" s="78">
        <f ca="1"/>
        <v>45930</v>
      </c>
      <c r="AE42" s="55">
        <f ca="1"/>
        <v>100.7890625</v>
      </c>
      <c r="AF42" s="78">
        <f ca="1"/>
        <v>45931</v>
      </c>
      <c r="AG42" s="55">
        <f ca="1"/>
        <v>100.6328125</v>
      </c>
      <c r="AH42" s="78">
        <f ca="1"/>
        <v>45896</v>
      </c>
      <c r="AI42" s="55">
        <f ca="1"/>
        <v>83.46</v>
      </c>
    </row>
    <row r="43" spans="1:35" x14ac:dyDescent="0.3">
      <c r="R43" s="58"/>
      <c r="S43" s="58"/>
      <c r="T43" s="58"/>
      <c r="Z43" s="78">
        <f ca="1"/>
        <v>45897</v>
      </c>
      <c r="AA43" s="55">
        <f ca="1"/>
        <v>110.2</v>
      </c>
      <c r="AD43" s="78">
        <f ca="1"/>
        <v>45931</v>
      </c>
      <c r="AE43" s="55">
        <f ca="1"/>
        <v>101.2109375</v>
      </c>
      <c r="AF43" s="78">
        <f ca="1"/>
        <v>45932</v>
      </c>
      <c r="AG43" s="55">
        <f ca="1"/>
        <v>100.96875</v>
      </c>
      <c r="AH43" s="78">
        <f ca="1"/>
        <v>45897</v>
      </c>
      <c r="AI43" s="55">
        <f ca="1"/>
        <v>83.53</v>
      </c>
    </row>
    <row r="44" spans="1:35" x14ac:dyDescent="0.3">
      <c r="R44" s="58"/>
      <c r="S44" s="58"/>
      <c r="T44" s="58"/>
      <c r="Z44" s="78">
        <f ca="1"/>
        <v>45898</v>
      </c>
      <c r="AA44" s="55">
        <f ca="1"/>
        <v>109.8</v>
      </c>
      <c r="AD44" s="78">
        <f ca="1"/>
        <v>45932</v>
      </c>
      <c r="AE44" s="55">
        <f ca="1"/>
        <v>101.3359375</v>
      </c>
      <c r="AF44" s="78">
        <f ca="1"/>
        <v>45933</v>
      </c>
      <c r="AG44" s="55">
        <f ca="1"/>
        <v>100.59375</v>
      </c>
      <c r="AH44" s="78">
        <f ca="1"/>
        <v>45898</v>
      </c>
      <c r="AI44" s="55">
        <f ca="1"/>
        <v>83.42</v>
      </c>
    </row>
    <row r="45" spans="1:35" x14ac:dyDescent="0.3">
      <c r="R45" s="58"/>
      <c r="S45" s="58"/>
      <c r="T45" s="58"/>
      <c r="Z45" s="78">
        <f ca="1"/>
        <v>45902</v>
      </c>
      <c r="AA45" s="55">
        <f ca="1"/>
        <v>109.05</v>
      </c>
      <c r="AD45" s="78">
        <f ca="1"/>
        <v>45933</v>
      </c>
      <c r="AE45" s="55">
        <f ca="1"/>
        <v>101.0390625</v>
      </c>
      <c r="AF45" s="78">
        <f ca="1"/>
        <v>45936</v>
      </c>
      <c r="AG45" s="55">
        <f ca="1"/>
        <v>100.015625</v>
      </c>
      <c r="AH45" s="78">
        <f ca="1"/>
        <v>45902</v>
      </c>
      <c r="AI45" s="55">
        <f ca="1"/>
        <v>82.9</v>
      </c>
    </row>
    <row r="46" spans="1:35" x14ac:dyDescent="0.3">
      <c r="Z46" s="78">
        <f ca="1"/>
        <v>45903</v>
      </c>
      <c r="AA46" s="55">
        <f ca="1"/>
        <v>109.7</v>
      </c>
      <c r="AD46" s="78">
        <f ca="1"/>
        <v>45936</v>
      </c>
      <c r="AE46" s="55">
        <f ca="1"/>
        <v>100.765625</v>
      </c>
      <c r="AF46" s="78">
        <f ca="1"/>
        <v>45937</v>
      </c>
      <c r="AG46" s="55">
        <f ca="1"/>
        <v>100.40625</v>
      </c>
      <c r="AH46" s="78">
        <f ca="1"/>
        <v>45903</v>
      </c>
      <c r="AI46" s="55">
        <f ca="1"/>
        <v>83.2</v>
      </c>
    </row>
    <row r="47" spans="1:35" x14ac:dyDescent="0.3">
      <c r="Z47" s="78">
        <f ca="1"/>
        <v>45904</v>
      </c>
      <c r="AA47" s="55">
        <f ca="1"/>
        <v>110.45</v>
      </c>
      <c r="AD47" s="78">
        <f ca="1"/>
        <v>45937</v>
      </c>
      <c r="AE47" s="55">
        <f ca="1"/>
        <v>101.0078125</v>
      </c>
      <c r="AF47" s="78">
        <f ca="1"/>
        <v>45938</v>
      </c>
      <c r="AG47" s="55">
        <f ca="1"/>
        <v>100.6484375</v>
      </c>
      <c r="AH47" s="78">
        <f ca="1"/>
        <v>45904</v>
      </c>
      <c r="AI47" s="55">
        <f ca="1"/>
        <v>83.66</v>
      </c>
    </row>
    <row r="48" spans="1:35" x14ac:dyDescent="0.3">
      <c r="Z48" s="78">
        <f ca="1"/>
        <v>45905</v>
      </c>
      <c r="AA48" s="55">
        <f ca="1"/>
        <v>111.17</v>
      </c>
      <c r="AD48" s="78">
        <f ca="1"/>
        <v>45938</v>
      </c>
      <c r="AE48" s="55">
        <f ca="1"/>
        <v>101.046875</v>
      </c>
      <c r="AF48" s="78">
        <f ca="1"/>
        <v>45939</v>
      </c>
      <c r="AG48" s="55">
        <f ca="1"/>
        <v>100.4375</v>
      </c>
      <c r="AH48" s="78">
        <f ca="1"/>
        <v>45905</v>
      </c>
      <c r="AI48" s="55">
        <f ca="1"/>
        <v>83.99</v>
      </c>
    </row>
    <row r="49" spans="26:35" x14ac:dyDescent="0.3">
      <c r="Z49" s="78">
        <f ca="1"/>
        <v>45908</v>
      </c>
      <c r="AA49" s="55">
        <f ca="1"/>
        <v>111.56</v>
      </c>
      <c r="AD49" s="78">
        <f ca="1"/>
        <v>45939</v>
      </c>
      <c r="AE49" s="55">
        <f ca="1"/>
        <v>100.8828125</v>
      </c>
      <c r="AF49" s="78">
        <f ca="1"/>
        <v>45940</v>
      </c>
      <c r="AG49" s="55">
        <f ca="1"/>
        <v>101.1484375</v>
      </c>
      <c r="AH49" s="78">
        <f ca="1"/>
        <v>45908</v>
      </c>
      <c r="AI49" s="55">
        <f ca="1"/>
        <v>84.15</v>
      </c>
    </row>
    <row r="50" spans="26:35" x14ac:dyDescent="0.3">
      <c r="Z50" s="78">
        <f ca="1"/>
        <v>45909</v>
      </c>
      <c r="AA50" s="55">
        <f ca="1"/>
        <v>111.36</v>
      </c>
      <c r="AD50" s="78">
        <f ca="1"/>
        <v>45940</v>
      </c>
      <c r="AE50" s="55">
        <f ca="1"/>
        <v>101.1640625</v>
      </c>
      <c r="AH50" s="78">
        <f ca="1"/>
        <v>45909</v>
      </c>
      <c r="AI50" s="55">
        <f ca="1"/>
        <v>84.05</v>
      </c>
    </row>
    <row r="51" spans="26:35" x14ac:dyDescent="0.3">
      <c r="Z51" s="78">
        <f ca="1"/>
        <v>45910</v>
      </c>
      <c r="AA51" s="55">
        <f ca="1"/>
        <v>111.69</v>
      </c>
      <c r="AH51" s="78">
        <f ca="1"/>
        <v>45910</v>
      </c>
      <c r="AI51" s="55">
        <f ca="1"/>
        <v>84.24</v>
      </c>
    </row>
    <row r="52" spans="26:35" x14ac:dyDescent="0.3">
      <c r="Z52" s="78">
        <f ca="1"/>
        <v>45911</v>
      </c>
      <c r="AA52" s="55">
        <f ca="1"/>
        <v>112.21</v>
      </c>
      <c r="AH52" s="78">
        <f ca="1"/>
        <v>45911</v>
      </c>
      <c r="AI52" s="55">
        <f ca="1"/>
        <v>84.49</v>
      </c>
    </row>
    <row r="53" spans="26:35" x14ac:dyDescent="0.3">
      <c r="Z53" s="78">
        <f ca="1"/>
        <v>45912</v>
      </c>
      <c r="AA53" s="55">
        <f ca="1"/>
        <v>112.01</v>
      </c>
      <c r="AH53" s="78">
        <f ca="1"/>
        <v>45912</v>
      </c>
      <c r="AI53" s="55">
        <f ca="1"/>
        <v>84.34</v>
      </c>
    </row>
    <row r="54" spans="26:35" x14ac:dyDescent="0.3">
      <c r="Z54" s="78">
        <f ca="1"/>
        <v>45915</v>
      </c>
      <c r="AA54" s="55">
        <f ca="1"/>
        <v>112.36</v>
      </c>
      <c r="AH54" s="78">
        <f ca="1"/>
        <v>45915</v>
      </c>
      <c r="AI54" s="55">
        <f ca="1"/>
        <v>84.54</v>
      </c>
    </row>
    <row r="55" spans="26:35" x14ac:dyDescent="0.3">
      <c r="Z55" s="78">
        <f ca="1"/>
        <v>45916</v>
      </c>
      <c r="AA55" s="55">
        <f ca="1"/>
        <v>112.26</v>
      </c>
      <c r="AH55" s="78">
        <f ca="1"/>
        <v>45916</v>
      </c>
      <c r="AI55" s="55">
        <f ca="1"/>
        <v>84.53</v>
      </c>
    </row>
    <row r="56" spans="26:35" x14ac:dyDescent="0.3">
      <c r="Z56" s="78">
        <f ca="1"/>
        <v>45917</v>
      </c>
      <c r="AA56" s="55">
        <f ca="1"/>
        <v>112.06</v>
      </c>
      <c r="AH56" s="78">
        <f ca="1"/>
        <v>45917</v>
      </c>
      <c r="AI56" s="55">
        <f ca="1"/>
        <v>84.37</v>
      </c>
    </row>
    <row r="57" spans="26:35" x14ac:dyDescent="0.3">
      <c r="Z57" s="78">
        <f ca="1"/>
        <v>45918</v>
      </c>
      <c r="AA57" s="55">
        <f ca="1"/>
        <v>111.83</v>
      </c>
      <c r="AH57" s="78">
        <f ca="1"/>
        <v>45918</v>
      </c>
      <c r="AI57" s="55">
        <f ca="1"/>
        <v>84.3</v>
      </c>
    </row>
    <row r="58" spans="26:35" x14ac:dyDescent="0.3">
      <c r="Z58" s="78">
        <f ca="1"/>
        <v>45919</v>
      </c>
      <c r="AA58" s="55">
        <f ca="1"/>
        <v>111.74</v>
      </c>
      <c r="AH58" s="78">
        <f ca="1"/>
        <v>45919</v>
      </c>
      <c r="AI58" s="55">
        <f ca="1"/>
        <v>84.29</v>
      </c>
    </row>
    <row r="59" spans="26:35" x14ac:dyDescent="0.3">
      <c r="Z59" s="78">
        <f ca="1"/>
        <v>45922</v>
      </c>
      <c r="AA59" s="55">
        <f ca="1"/>
        <v>111.49</v>
      </c>
      <c r="AH59" s="78">
        <f ca="1"/>
        <v>45922</v>
      </c>
      <c r="AI59" s="55">
        <f ca="1"/>
        <v>84.15</v>
      </c>
    </row>
    <row r="60" spans="26:35" x14ac:dyDescent="0.3">
      <c r="Z60" s="78">
        <f ca="1"/>
        <v>45923</v>
      </c>
      <c r="AA60" s="55">
        <f ca="1"/>
        <v>111.71</v>
      </c>
      <c r="AH60" s="78">
        <f ca="1"/>
        <v>45923</v>
      </c>
      <c r="AI60" s="55">
        <f ca="1"/>
        <v>84.29</v>
      </c>
    </row>
    <row r="61" spans="26:35" x14ac:dyDescent="0.3">
      <c r="Z61" s="78">
        <f ca="1"/>
        <v>45924</v>
      </c>
      <c r="AA61" s="55">
        <f ca="1"/>
        <v>111.26</v>
      </c>
      <c r="AH61" s="78">
        <f ca="1"/>
        <v>45924</v>
      </c>
      <c r="AI61" s="55">
        <f ca="1"/>
        <v>84.05</v>
      </c>
    </row>
    <row r="62" spans="26:35" x14ac:dyDescent="0.3">
      <c r="Z62" s="78">
        <f ca="1"/>
        <v>45925</v>
      </c>
      <c r="AA62" s="55">
        <f ca="1"/>
        <v>111.06</v>
      </c>
      <c r="AH62" s="78">
        <f ca="1"/>
        <v>45925</v>
      </c>
      <c r="AI62" s="55">
        <f ca="1"/>
        <v>83.86</v>
      </c>
    </row>
    <row r="63" spans="26:35" x14ac:dyDescent="0.3">
      <c r="Z63" s="78">
        <f ca="1"/>
        <v>45926</v>
      </c>
      <c r="AA63" s="55">
        <f ca="1"/>
        <v>111.21</v>
      </c>
      <c r="AH63" s="78">
        <f ca="1"/>
        <v>45926</v>
      </c>
      <c r="AI63" s="55">
        <f ca="1"/>
        <v>83.93</v>
      </c>
    </row>
    <row r="64" spans="26:35" x14ac:dyDescent="0.3">
      <c r="Z64" s="78">
        <f ca="1"/>
        <v>45929</v>
      </c>
      <c r="AA64" s="55">
        <f ca="1"/>
        <v>111.58</v>
      </c>
      <c r="AH64" s="78">
        <f ca="1"/>
        <v>45929</v>
      </c>
      <c r="AI64" s="55">
        <f ca="1"/>
        <v>84.11</v>
      </c>
    </row>
    <row r="65" spans="26:35" x14ac:dyDescent="0.3">
      <c r="Z65" s="78">
        <f ca="1"/>
        <v>45930</v>
      </c>
      <c r="AA65" s="55">
        <f ca="1"/>
        <v>111.47</v>
      </c>
      <c r="AH65" s="78">
        <f ca="1"/>
        <v>45930</v>
      </c>
      <c r="AI65" s="55">
        <f ca="1"/>
        <v>84.11</v>
      </c>
    </row>
    <row r="66" spans="26:35" x14ac:dyDescent="0.3">
      <c r="Z66" s="78">
        <f ca="1"/>
        <v>45931</v>
      </c>
      <c r="AA66" s="55">
        <f ca="1"/>
        <v>111.51</v>
      </c>
      <c r="AH66" s="78">
        <f ca="1"/>
        <v>45931</v>
      </c>
      <c r="AI66" s="55">
        <f ca="1"/>
        <v>84.07</v>
      </c>
    </row>
    <row r="67" spans="26:35" x14ac:dyDescent="0.3">
      <c r="Z67" s="78">
        <f ca="1"/>
        <v>45932</v>
      </c>
      <c r="AA67" s="55">
        <f ca="1"/>
        <v>111.69</v>
      </c>
      <c r="AH67" s="78">
        <f ca="1"/>
        <v>45932</v>
      </c>
      <c r="AI67" s="55">
        <f ca="1"/>
        <v>84.16</v>
      </c>
    </row>
    <row r="68" spans="26:35" x14ac:dyDescent="0.3">
      <c r="Z68" s="78">
        <f ca="1"/>
        <v>45933</v>
      </c>
      <c r="AA68" s="55">
        <f ca="1"/>
        <v>111.55</v>
      </c>
      <c r="AH68" s="78">
        <f ca="1"/>
        <v>45933</v>
      </c>
      <c r="AI68" s="55">
        <f ca="1"/>
        <v>84.06</v>
      </c>
    </row>
    <row r="69" spans="26:35" x14ac:dyDescent="0.3">
      <c r="Z69" s="78">
        <f ca="1"/>
        <v>45936</v>
      </c>
      <c r="AA69" s="55">
        <f ca="1"/>
        <v>111.19</v>
      </c>
      <c r="AH69" s="78">
        <f ca="1"/>
        <v>45936</v>
      </c>
      <c r="AI69" s="55">
        <f ca="1"/>
        <v>83.89</v>
      </c>
    </row>
    <row r="70" spans="26:35" x14ac:dyDescent="0.3">
      <c r="Z70" s="78">
        <f ca="1"/>
        <v>45937</v>
      </c>
      <c r="AA70" s="55">
        <f ca="1"/>
        <v>111.4</v>
      </c>
      <c r="AH70" s="78">
        <f ca="1"/>
        <v>45937</v>
      </c>
      <c r="AI70" s="55">
        <f ca="1"/>
        <v>84</v>
      </c>
    </row>
    <row r="71" spans="26:35" x14ac:dyDescent="0.3">
      <c r="Z71" s="78">
        <f ca="1"/>
        <v>45938</v>
      </c>
      <c r="AA71" s="55">
        <f ca="1"/>
        <v>111.26</v>
      </c>
      <c r="AH71" s="78">
        <f ca="1"/>
        <v>45938</v>
      </c>
      <c r="AI71" s="55">
        <f ca="1"/>
        <v>83.9</v>
      </c>
    </row>
    <row r="72" spans="26:35" x14ac:dyDescent="0.3">
      <c r="Z72" s="78">
        <f ca="1"/>
        <v>45939</v>
      </c>
      <c r="AA72" s="55">
        <f ca="1"/>
        <v>111.04</v>
      </c>
      <c r="AH72" s="78">
        <f ca="1"/>
        <v>45939</v>
      </c>
      <c r="AI72" s="55">
        <f ca="1"/>
        <v>83.77</v>
      </c>
    </row>
    <row r="73" spans="26:35" x14ac:dyDescent="0.3">
      <c r="Z73" s="78">
        <f ca="1"/>
        <v>45940</v>
      </c>
      <c r="AA73" s="55">
        <f ca="1"/>
        <v>111.315</v>
      </c>
      <c r="AH73" s="78">
        <f ca="1"/>
        <v>45940</v>
      </c>
      <c r="AI73" s="55">
        <f ca="1"/>
        <v>83.915000000000006</v>
      </c>
    </row>
  </sheetData>
  <mergeCells count="6">
    <mergeCell ref="Q12:S12"/>
    <mergeCell ref="B12:D12"/>
    <mergeCell ref="E12:G12"/>
    <mergeCell ref="H12:J12"/>
    <mergeCell ref="K12:M12"/>
    <mergeCell ref="N12:P12"/>
  </mergeCells>
  <conditionalFormatting sqref="T13:T32">
    <cfRule type="cellIs" dxfId="1" priority="1" operator="lessThan">
      <formula>0</formula>
    </cfRule>
  </conditionalFormatting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7B34A-DE06-47C3-8B07-1F07CD004DFD}">
  <dimension ref="A1:N46"/>
  <sheetViews>
    <sheetView zoomScale="80" zoomScaleNormal="80" workbookViewId="0">
      <selection activeCell="B16" sqref="B16"/>
    </sheetView>
  </sheetViews>
  <sheetFormatPr defaultColWidth="9.109375" defaultRowHeight="14.4" x14ac:dyDescent="0.3"/>
  <cols>
    <col min="1" max="1" width="15.44140625" style="3" bestFit="1" customWidth="1"/>
    <col min="2" max="2" width="21.33203125" style="3" bestFit="1" customWidth="1"/>
    <col min="3" max="3" width="19.109375" style="3" bestFit="1" customWidth="1"/>
    <col min="4" max="4" width="11.33203125" style="62" bestFit="1" customWidth="1"/>
    <col min="5" max="5" width="10.5546875" style="3" bestFit="1" customWidth="1"/>
    <col min="6" max="6" width="24.6640625" style="3" bestFit="1" customWidth="1"/>
    <col min="7" max="7" width="13.109375" style="3" bestFit="1" customWidth="1"/>
    <col min="8" max="8" width="9.33203125" style="3" bestFit="1" customWidth="1"/>
    <col min="9" max="9" width="12" style="88" bestFit="1" customWidth="1"/>
    <col min="10" max="10" width="10.6640625" style="3" bestFit="1" customWidth="1"/>
    <col min="11" max="11" width="9.109375" style="3"/>
    <col min="12" max="12" width="10.5546875" style="3" bestFit="1" customWidth="1"/>
    <col min="13" max="13" width="8" style="3" bestFit="1" customWidth="1"/>
    <col min="14" max="14" width="10.5546875" style="3" bestFit="1" customWidth="1"/>
    <col min="15" max="16384" width="9.109375" style="3"/>
  </cols>
  <sheetData>
    <row r="1" spans="1:14" ht="15" thickBot="1" x14ac:dyDescent="0.35">
      <c r="A1" s="1"/>
      <c r="B1" s="1"/>
      <c r="C1" s="1"/>
      <c r="D1" s="31"/>
      <c r="E1" s="53">
        <f ca="1">TODAY()-5</f>
        <v>45935</v>
      </c>
      <c r="I1" s="1"/>
      <c r="J1" s="1"/>
    </row>
    <row r="2" spans="1:14" ht="15" thickBot="1" x14ac:dyDescent="0.35">
      <c r="A2" s="14"/>
      <c r="B2" s="27" t="s">
        <v>0</v>
      </c>
      <c r="C2" s="28" t="s">
        <v>1</v>
      </c>
      <c r="D2" s="31"/>
      <c r="E2" s="27" t="s">
        <v>0</v>
      </c>
      <c r="G2" s="28" t="s">
        <v>1</v>
      </c>
      <c r="I2" s="3"/>
    </row>
    <row r="3" spans="1:14" x14ac:dyDescent="0.3">
      <c r="A3" s="14" t="s">
        <v>33</v>
      </c>
      <c r="B3" s="15" t="s">
        <v>84</v>
      </c>
      <c r="C3" s="5" t="s">
        <v>85</v>
      </c>
      <c r="D3" s="31"/>
      <c r="E3" s="53" cm="1">
        <f t="array" aca="1" ref="E3:F7" ca="1">_xll.BDH($B$4, "PX_LAST, ", $E$1, "")</f>
        <v>45936</v>
      </c>
      <c r="F3" s="3">
        <f ca="1"/>
        <v>50.904000000000003</v>
      </c>
      <c r="G3" s="53" cm="1">
        <f t="array" aca="1" ref="G3:H7" ca="1">_xll.BDH($C$4, "PX_LAST, ", $E$1, "", "20/06/2030","")</f>
        <v>45936</v>
      </c>
      <c r="H3" s="3">
        <f ca="1"/>
        <v>154.01</v>
      </c>
      <c r="I3" s="3"/>
    </row>
    <row r="4" spans="1:14" ht="30" customHeight="1" x14ac:dyDescent="0.3">
      <c r="A4" s="15" t="s">
        <v>34</v>
      </c>
      <c r="B4" s="17" t="s">
        <v>86</v>
      </c>
      <c r="C4" s="6" t="s">
        <v>87</v>
      </c>
      <c r="D4" s="31"/>
      <c r="E4" s="53">
        <f ca="1"/>
        <v>45937</v>
      </c>
      <c r="F4" s="3">
        <f ca="1"/>
        <v>51.424999999999997</v>
      </c>
      <c r="G4" s="53">
        <f ca="1"/>
        <v>45937</v>
      </c>
      <c r="H4" s="3">
        <f ca="1"/>
        <v>166.5</v>
      </c>
      <c r="I4" s="3"/>
    </row>
    <row r="5" spans="1:14" x14ac:dyDescent="0.3">
      <c r="A5" s="15" t="s">
        <v>8</v>
      </c>
      <c r="B5" s="18">
        <f>125*10^6</f>
        <v>125000000</v>
      </c>
      <c r="C5" s="32">
        <v>21</v>
      </c>
      <c r="D5" s="31"/>
      <c r="E5" s="53">
        <f ca="1"/>
        <v>45938</v>
      </c>
      <c r="F5" s="3">
        <f ca="1"/>
        <v>51.866</v>
      </c>
      <c r="G5" s="53">
        <f ca="1"/>
        <v>45938</v>
      </c>
      <c r="H5" s="3">
        <f ca="1"/>
        <v>148.79</v>
      </c>
      <c r="I5" s="3"/>
    </row>
    <row r="6" spans="1:14" x14ac:dyDescent="0.3">
      <c r="A6" s="15" t="s">
        <v>10</v>
      </c>
      <c r="B6" s="19">
        <v>0.01</v>
      </c>
      <c r="C6" s="10">
        <v>0</v>
      </c>
      <c r="D6" s="31"/>
      <c r="E6" s="53">
        <f ca="1"/>
        <v>45939</v>
      </c>
      <c r="F6" s="3">
        <f ca="1"/>
        <v>52.597000000000001</v>
      </c>
      <c r="G6" s="53">
        <f ca="1"/>
        <v>45939</v>
      </c>
      <c r="H6" s="3">
        <f ca="1"/>
        <v>161.04</v>
      </c>
      <c r="I6" s="3"/>
    </row>
    <row r="7" spans="1:14" x14ac:dyDescent="0.3">
      <c r="A7" s="15" t="s">
        <v>12</v>
      </c>
      <c r="B7" s="19">
        <v>0</v>
      </c>
      <c r="C7" s="10">
        <v>0</v>
      </c>
      <c r="D7" s="31"/>
      <c r="E7" s="54">
        <f ca="1"/>
        <v>45940</v>
      </c>
      <c r="F7" s="3">
        <f ca="1"/>
        <v>53.16</v>
      </c>
      <c r="G7" s="53">
        <f ca="1"/>
        <v>45940</v>
      </c>
      <c r="H7" s="3">
        <f ca="1"/>
        <v>150.16</v>
      </c>
      <c r="I7" s="3"/>
      <c r="L7" s="53"/>
      <c r="N7" s="53"/>
    </row>
    <row r="8" spans="1:14" x14ac:dyDescent="0.3">
      <c r="A8" s="15" t="s">
        <v>14</v>
      </c>
      <c r="B8" s="15">
        <v>4.8</v>
      </c>
      <c r="C8" s="5"/>
      <c r="D8" s="31"/>
      <c r="E8" s="54"/>
      <c r="G8" s="53"/>
      <c r="I8" s="3"/>
    </row>
    <row r="9" spans="1:14" x14ac:dyDescent="0.3">
      <c r="A9" s="15" t="s">
        <v>15</v>
      </c>
      <c r="B9" s="15" t="s">
        <v>24</v>
      </c>
      <c r="C9" s="5"/>
      <c r="D9" s="31"/>
      <c r="E9" s="54"/>
      <c r="G9" s="53"/>
      <c r="I9" s="3"/>
    </row>
    <row r="10" spans="1:14" ht="15" thickBot="1" x14ac:dyDescent="0.35">
      <c r="A10" s="16" t="s">
        <v>29</v>
      </c>
      <c r="B10" s="20" cm="1">
        <f t="array" ref="B10">_xll.BDP(B4,"PX_LAST")</f>
        <v>53.160350000000001</v>
      </c>
      <c r="C10" s="13" cm="1">
        <f t="array" ref="C10">_xll.BDP(C4,"PX_LAST")</f>
        <v>150.16</v>
      </c>
      <c r="D10" s="31"/>
      <c r="E10" s="1"/>
      <c r="G10" s="53"/>
      <c r="I10" s="3"/>
    </row>
    <row r="11" spans="1:14" ht="15" thickBot="1" x14ac:dyDescent="0.35">
      <c r="A11" s="1"/>
      <c r="B11" s="1"/>
      <c r="C11" s="1"/>
      <c r="D11" s="31"/>
      <c r="E11" s="1"/>
      <c r="I11" s="3"/>
    </row>
    <row r="12" spans="1:14" ht="15" thickBot="1" x14ac:dyDescent="0.35">
      <c r="A12" s="40" t="s">
        <v>23</v>
      </c>
      <c r="B12" s="113" t="s">
        <v>0</v>
      </c>
      <c r="C12" s="114"/>
      <c r="D12" s="115"/>
      <c r="E12" s="116" t="s">
        <v>1</v>
      </c>
      <c r="F12" s="118"/>
      <c r="G12" s="40" t="s">
        <v>16</v>
      </c>
      <c r="J12" s="1"/>
    </row>
    <row r="13" spans="1:14" ht="15" thickBot="1" x14ac:dyDescent="0.35">
      <c r="A13" s="16"/>
      <c r="B13" s="11" t="s">
        <v>25</v>
      </c>
      <c r="C13" s="50" t="s">
        <v>19</v>
      </c>
      <c r="D13" s="22" t="s">
        <v>20</v>
      </c>
      <c r="E13" s="11" t="s">
        <v>17</v>
      </c>
      <c r="F13" s="21" t="s">
        <v>21</v>
      </c>
      <c r="G13" s="102"/>
      <c r="J13" s="1"/>
    </row>
    <row r="14" spans="1:14" x14ac:dyDescent="0.3">
      <c r="A14" s="37">
        <v>45909</v>
      </c>
      <c r="B14" s="4">
        <v>52.6</v>
      </c>
      <c r="C14" s="31"/>
      <c r="D14" s="5"/>
      <c r="E14" s="4">
        <v>155.55000000000001</v>
      </c>
      <c r="F14" s="1"/>
      <c r="G14" s="85"/>
      <c r="J14" s="1"/>
    </row>
    <row r="15" spans="1:14" x14ac:dyDescent="0.3">
      <c r="A15" s="37">
        <v>45910</v>
      </c>
      <c r="B15" s="4">
        <v>52.84</v>
      </c>
      <c r="C15" s="31">
        <f>-1*(B15-$B$14)*$B$8*$B$5*10^(-4)</f>
        <v>-14400.00000000012</v>
      </c>
      <c r="D15" s="32">
        <f>(A15-$A$14)/360*$B$6*$B$5</f>
        <v>3472.2222222222222</v>
      </c>
      <c r="E15" s="4">
        <v>150.6</v>
      </c>
      <c r="F15" s="31">
        <f>(E15-$E$14)*$C$5*100</f>
        <v>-10395.000000000036</v>
      </c>
      <c r="G15" s="85">
        <f>C15+D15+F15</f>
        <v>-21322.777777777934</v>
      </c>
      <c r="J15" s="1"/>
      <c r="L15" s="53"/>
    </row>
    <row r="16" spans="1:14" x14ac:dyDescent="0.3">
      <c r="A16" s="37">
        <v>45911</v>
      </c>
      <c r="B16" s="4"/>
      <c r="C16" s="31"/>
      <c r="D16" s="32"/>
      <c r="E16" s="4"/>
      <c r="F16" s="31"/>
      <c r="G16" s="85"/>
      <c r="J16" s="1"/>
      <c r="L16" s="53"/>
    </row>
    <row r="17" spans="1:12" x14ac:dyDescent="0.3">
      <c r="A17" s="37">
        <v>45912</v>
      </c>
      <c r="B17" s="4"/>
      <c r="C17" s="31"/>
      <c r="D17" s="32"/>
      <c r="E17" s="4"/>
      <c r="F17" s="31"/>
      <c r="G17" s="85"/>
      <c r="J17" s="1"/>
      <c r="L17" s="53"/>
    </row>
    <row r="18" spans="1:12" x14ac:dyDescent="0.3">
      <c r="A18" s="37">
        <v>45913</v>
      </c>
      <c r="B18" s="4"/>
      <c r="C18" s="31"/>
      <c r="D18" s="32"/>
      <c r="E18" s="4"/>
      <c r="F18" s="31"/>
      <c r="G18" s="85"/>
      <c r="J18" s="1"/>
      <c r="L18" s="53"/>
    </row>
    <row r="19" spans="1:12" x14ac:dyDescent="0.3">
      <c r="A19" s="37">
        <v>45914</v>
      </c>
      <c r="B19" s="4"/>
      <c r="C19" s="31"/>
      <c r="D19" s="32"/>
      <c r="E19" s="4"/>
      <c r="F19" s="31"/>
      <c r="G19" s="85"/>
      <c r="J19" s="1"/>
      <c r="L19" s="53"/>
    </row>
    <row r="20" spans="1:12" x14ac:dyDescent="0.3">
      <c r="A20" s="37"/>
      <c r="B20" s="4"/>
      <c r="C20" s="31"/>
      <c r="D20" s="32"/>
      <c r="E20" s="4"/>
      <c r="F20" s="31"/>
      <c r="G20" s="85"/>
      <c r="J20" s="1"/>
      <c r="L20" s="53"/>
    </row>
    <row r="21" spans="1:12" x14ac:dyDescent="0.3">
      <c r="A21" s="37"/>
      <c r="B21" s="4"/>
      <c r="C21" s="31"/>
      <c r="D21" s="32"/>
      <c r="E21" s="4"/>
      <c r="F21" s="31"/>
      <c r="G21" s="85"/>
      <c r="J21" s="1"/>
      <c r="L21" s="53"/>
    </row>
    <row r="22" spans="1:12" x14ac:dyDescent="0.3">
      <c r="A22" s="37"/>
      <c r="B22" s="4"/>
      <c r="C22" s="31"/>
      <c r="D22" s="32"/>
      <c r="E22" s="4"/>
      <c r="F22" s="31"/>
      <c r="G22" s="85"/>
      <c r="J22" s="1"/>
    </row>
    <row r="23" spans="1:12" ht="14.4" hidden="1" customHeight="1" x14ac:dyDescent="0.3">
      <c r="A23" s="37"/>
      <c r="B23" s="4"/>
      <c r="C23" s="31"/>
      <c r="D23" s="32"/>
      <c r="E23" s="4"/>
      <c r="F23" s="31"/>
      <c r="G23" s="85"/>
      <c r="J23" s="1"/>
    </row>
    <row r="24" spans="1:12" ht="14.4" hidden="1" customHeight="1" x14ac:dyDescent="0.3">
      <c r="A24" s="37"/>
      <c r="B24" s="4"/>
      <c r="C24" s="31"/>
      <c r="D24" s="32"/>
      <c r="E24" s="4"/>
      <c r="F24" s="31"/>
      <c r="G24" s="85"/>
      <c r="J24" s="1"/>
    </row>
    <row r="25" spans="1:12" ht="14.4" hidden="1" customHeight="1" x14ac:dyDescent="0.3">
      <c r="A25" s="37"/>
      <c r="B25" s="4"/>
      <c r="C25" s="31"/>
      <c r="D25" s="32"/>
      <c r="E25" s="4"/>
      <c r="F25" s="31"/>
      <c r="G25" s="85"/>
      <c r="J25" s="1"/>
    </row>
    <row r="26" spans="1:12" ht="14.4" hidden="1" customHeight="1" x14ac:dyDescent="0.3">
      <c r="A26" s="37"/>
      <c r="B26" s="4"/>
      <c r="C26" s="31"/>
      <c r="D26" s="32"/>
      <c r="E26" s="4"/>
      <c r="F26" s="31"/>
      <c r="G26" s="85"/>
      <c r="J26" s="1"/>
    </row>
    <row r="27" spans="1:12" ht="14.4" hidden="1" customHeight="1" x14ac:dyDescent="0.3">
      <c r="A27" s="38"/>
      <c r="B27" s="33"/>
      <c r="C27" s="31"/>
      <c r="D27" s="32"/>
      <c r="E27" s="4"/>
      <c r="F27" s="31"/>
      <c r="G27" s="85"/>
      <c r="J27" s="1"/>
    </row>
    <row r="28" spans="1:12" ht="14.4" hidden="1" customHeight="1" x14ac:dyDescent="0.3">
      <c r="A28" s="37"/>
      <c r="B28" s="4"/>
      <c r="C28" s="31"/>
      <c r="D28" s="32"/>
      <c r="E28" s="4"/>
      <c r="F28" s="31"/>
      <c r="G28" s="85"/>
      <c r="J28" s="1"/>
    </row>
    <row r="29" spans="1:12" ht="14.4" hidden="1" customHeight="1" x14ac:dyDescent="0.3">
      <c r="A29" s="37"/>
      <c r="B29" s="4"/>
      <c r="C29" s="31"/>
      <c r="D29" s="32"/>
      <c r="E29" s="4"/>
      <c r="F29" s="31"/>
      <c r="G29" s="85"/>
      <c r="J29" s="1"/>
    </row>
    <row r="30" spans="1:12" ht="14.4" hidden="1" customHeight="1" x14ac:dyDescent="0.3">
      <c r="A30" s="37"/>
      <c r="B30" s="4"/>
      <c r="C30" s="31"/>
      <c r="D30" s="32"/>
      <c r="E30" s="4"/>
      <c r="F30" s="31"/>
      <c r="G30" s="85"/>
      <c r="J30" s="1"/>
    </row>
    <row r="31" spans="1:12" ht="14.4" hidden="1" customHeight="1" x14ac:dyDescent="0.3">
      <c r="A31" s="37"/>
      <c r="B31" s="4"/>
      <c r="C31" s="31"/>
      <c r="D31" s="32"/>
      <c r="E31" s="4"/>
      <c r="F31" s="31"/>
      <c r="G31" s="85"/>
      <c r="J31" s="1"/>
    </row>
    <row r="32" spans="1:12" ht="14.4" hidden="1" customHeight="1" x14ac:dyDescent="0.3">
      <c r="A32" s="37"/>
      <c r="B32" s="4"/>
      <c r="C32" s="31"/>
      <c r="D32" s="32"/>
      <c r="E32" s="4"/>
      <c r="F32" s="1"/>
      <c r="G32" s="85"/>
      <c r="J32" s="1"/>
    </row>
    <row r="33" spans="1:10" ht="14.4" hidden="1" customHeight="1" x14ac:dyDescent="0.3">
      <c r="A33" s="37"/>
      <c r="B33" s="4"/>
      <c r="C33" s="31"/>
      <c r="D33" s="32"/>
      <c r="E33" s="4"/>
      <c r="F33" s="1"/>
      <c r="G33" s="85"/>
      <c r="J33" s="1"/>
    </row>
    <row r="34" spans="1:10" ht="14.4" hidden="1" customHeight="1" x14ac:dyDescent="0.3">
      <c r="A34" s="37"/>
      <c r="B34" s="4"/>
      <c r="C34" s="31"/>
      <c r="D34" s="32"/>
      <c r="E34" s="4"/>
      <c r="F34" s="1"/>
      <c r="G34" s="85"/>
      <c r="J34" s="1"/>
    </row>
    <row r="35" spans="1:10" ht="14.4" hidden="1" customHeight="1" x14ac:dyDescent="0.3">
      <c r="A35" s="37"/>
      <c r="B35" s="4"/>
      <c r="C35" s="31"/>
      <c r="D35" s="32"/>
      <c r="E35" s="4"/>
      <c r="F35" s="1"/>
      <c r="G35" s="85"/>
      <c r="J35" s="1"/>
    </row>
    <row r="36" spans="1:10" ht="14.4" hidden="1" customHeight="1" x14ac:dyDescent="0.3">
      <c r="A36" s="37"/>
      <c r="B36" s="4"/>
      <c r="C36" s="31"/>
      <c r="D36" s="32"/>
      <c r="E36" s="4"/>
      <c r="F36" s="1"/>
      <c r="G36" s="85"/>
      <c r="J36" s="1"/>
    </row>
    <row r="37" spans="1:10" x14ac:dyDescent="0.3">
      <c r="A37" s="37"/>
      <c r="B37" s="4"/>
      <c r="C37" s="31"/>
      <c r="D37" s="32"/>
      <c r="E37" s="4"/>
      <c r="F37" s="1"/>
      <c r="G37" s="85"/>
      <c r="J37" s="1"/>
    </row>
    <row r="38" spans="1:10" x14ac:dyDescent="0.3">
      <c r="A38" s="37"/>
      <c r="B38" s="4"/>
      <c r="C38" s="31"/>
      <c r="D38" s="32"/>
      <c r="E38" s="4"/>
      <c r="F38" s="1"/>
      <c r="G38" s="85"/>
      <c r="J38" s="1"/>
    </row>
    <row r="39" spans="1:10" x14ac:dyDescent="0.3">
      <c r="A39" s="37"/>
      <c r="B39" s="4"/>
      <c r="C39" s="31"/>
      <c r="D39" s="32"/>
      <c r="E39" s="4"/>
      <c r="F39" s="1"/>
      <c r="G39" s="84"/>
      <c r="J39" s="1"/>
    </row>
    <row r="40" spans="1:10" x14ac:dyDescent="0.3">
      <c r="A40" s="37"/>
      <c r="B40" s="4"/>
      <c r="C40" s="31"/>
      <c r="D40" s="32"/>
      <c r="E40" s="4"/>
      <c r="F40" s="1"/>
      <c r="G40" s="84"/>
      <c r="J40" s="1"/>
    </row>
    <row r="41" spans="1:10" x14ac:dyDescent="0.3">
      <c r="A41" s="37"/>
      <c r="B41" s="4"/>
      <c r="C41" s="31"/>
      <c r="D41" s="32"/>
      <c r="E41" s="4"/>
      <c r="F41" s="1"/>
      <c r="G41" s="84"/>
      <c r="J41" s="1"/>
    </row>
    <row r="42" spans="1:10" x14ac:dyDescent="0.3">
      <c r="A42" s="37"/>
      <c r="B42" s="4"/>
      <c r="C42" s="31"/>
      <c r="D42" s="5"/>
      <c r="E42" s="4"/>
      <c r="F42" s="1"/>
      <c r="G42" s="84"/>
      <c r="J42" s="1"/>
    </row>
    <row r="43" spans="1:10" x14ac:dyDescent="0.3">
      <c r="A43" s="37"/>
      <c r="B43" s="4"/>
      <c r="C43" s="31"/>
      <c r="D43" s="5"/>
      <c r="E43" s="4"/>
      <c r="F43" s="1"/>
      <c r="G43" s="84"/>
      <c r="J43" s="1"/>
    </row>
    <row r="44" spans="1:10" x14ac:dyDescent="0.3">
      <c r="A44" s="37"/>
      <c r="B44" s="4"/>
      <c r="C44" s="31"/>
      <c r="D44" s="5"/>
      <c r="E44" s="4"/>
      <c r="F44" s="1"/>
      <c r="G44" s="84"/>
      <c r="J44" s="1"/>
    </row>
    <row r="45" spans="1:10" x14ac:dyDescent="0.3">
      <c r="A45" s="37"/>
      <c r="B45" s="34"/>
      <c r="C45" s="62"/>
      <c r="D45" s="35"/>
      <c r="E45" s="34"/>
      <c r="G45" s="86"/>
    </row>
    <row r="46" spans="1:10" ht="15" thickBot="1" x14ac:dyDescent="0.35">
      <c r="A46" s="37"/>
      <c r="B46" s="36"/>
      <c r="C46" s="72"/>
      <c r="D46" s="13"/>
      <c r="E46" s="36"/>
      <c r="F46" s="12"/>
      <c r="G46" s="87"/>
    </row>
  </sheetData>
  <mergeCells count="2">
    <mergeCell ref="B12:D12"/>
    <mergeCell ref="E12:F12"/>
  </mergeCells>
  <conditionalFormatting sqref="G13:G38">
    <cfRule type="cellIs" dxfId="0" priority="1" operator="lessThan">
      <formula>0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ACAFP Basis</vt:lpstr>
      <vt:lpstr>EU Defence vs Oil</vt:lpstr>
      <vt:lpstr>EU Insurance CDS RV</vt:lpstr>
      <vt:lpstr>Barclays</vt:lpstr>
      <vt:lpstr>KSA RV</vt:lpstr>
      <vt:lpstr>EU Banks CDS RV</vt:lpstr>
      <vt:lpstr>EU ETF Compression</vt:lpstr>
      <vt:lpstr>US ETF Compression</vt:lpstr>
      <vt:lpstr>US IG Cash Curve</vt:lpstr>
      <vt:lpstr>CDX IG vs SPX Puts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Vasu Sharma</dc:creator>
  <cp:lastModifiedBy>Vasu Sharma</cp:lastModifiedBy>
  <dcterms:created xsi:type="dcterms:W3CDTF">2015-06-05T18:17:20Z</dcterms:created>
  <dcterms:modified xsi:type="dcterms:W3CDTF">2025-10-10T15:00:46Z</dcterms:modified>
</cp:coreProperties>
</file>