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6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7.xml" ContentType="application/vnd.openxmlformats-officedocument.drawing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drawings/drawing8.xml" ContentType="application/vnd.openxmlformats-officedocument.drawing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drawings/drawing9.xml" ContentType="application/vnd.openxmlformats-officedocument.drawing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drawings/drawing10.xml" ContentType="application/vnd.openxmlformats-officedocument.drawing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drawings/drawing11.xml" ContentType="application/vnd.openxmlformats-officedocument.drawing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drawings/drawing12.xml" ContentType="application/vnd.openxmlformats-officedocument.drawing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calcChain.xml" ContentType="application/vnd.openxmlformats-officedocument.spreadsheetml.calcChain+xml"/>
  <Override PartName="/xl/volatileDependencies.xml" ContentType="application/vnd.openxmlformats-officedocument.spreadsheetml.volatileDependenc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J:\All Data\57. BNP Trades Tracker\"/>
    </mc:Choice>
  </mc:AlternateContent>
  <xr:revisionPtr revIDLastSave="0" documentId="13_ncr:1_{FCD8C1C8-3AAB-41D2-95B9-7EA500DDAA13}" xr6:coauthVersionLast="47" xr6:coauthVersionMax="47" xr10:uidLastSave="{00000000-0000-0000-0000-000000000000}"/>
  <bookViews>
    <workbookView xWindow="-108" yWindow="-108" windowWidth="23256" windowHeight="12456" tabRatio="851" firstSheet="6" activeTab="11" xr2:uid="{00000000-000D-0000-FFFF-FFFF00000000}"/>
  </bookViews>
  <sheets>
    <sheet name="Live_ACAFP Basis" sheetId="1" r:id="rId1"/>
    <sheet name="Live_EU Defence vs Oil" sheetId="2" r:id="rId2"/>
    <sheet name="Live_EU Insurance CDS RV" sheetId="3" r:id="rId3"/>
    <sheet name="Live_Barclays" sheetId="5" r:id="rId4"/>
    <sheet name="Live_KSA RV" sheetId="8" r:id="rId5"/>
    <sheet name="Live_EU Banks CDS RV" sheetId="9" r:id="rId6"/>
    <sheet name="Live_EU ETF Compression" sheetId="10" r:id="rId7"/>
    <sheet name="Live_US ETF Compression" sheetId="12" r:id="rId8"/>
    <sheet name="Live_US IG Cash Curve" sheetId="14" r:id="rId9"/>
    <sheet name="BOFA Basis" sheetId="17" r:id="rId10"/>
    <sheet name="Closed_CDX IG vs SPX Puts" sheetId="19" r:id="rId11"/>
    <sheet name="ETF PL" sheetId="18" r:id="rId12"/>
  </sheets>
  <externalReferences>
    <externalReference r:id="rId13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W13" i="18" l="1"/>
  <c r="BR14" i="18"/>
  <c r="BR15" i="18"/>
  <c r="BR16" i="18"/>
  <c r="BR17" i="18"/>
  <c r="BR18" i="18"/>
  <c r="BR19" i="18"/>
  <c r="BR20" i="18"/>
  <c r="BR21" i="18"/>
  <c r="BR22" i="18"/>
  <c r="BR23" i="18"/>
  <c r="BR24" i="18"/>
  <c r="BR25" i="18"/>
  <c r="BR26" i="18"/>
  <c r="BR27" i="18"/>
  <c r="BR28" i="18"/>
  <c r="BR29" i="18"/>
  <c r="BR30" i="18"/>
  <c r="BR31" i="18"/>
  <c r="BR32" i="18"/>
  <c r="BR33" i="18"/>
  <c r="BR34" i="18"/>
  <c r="BR35" i="18"/>
  <c r="BR36" i="18"/>
  <c r="BR37" i="18"/>
  <c r="BR38" i="18"/>
  <c r="BR39" i="18"/>
  <c r="BR40" i="18"/>
  <c r="BR41" i="18"/>
  <c r="BR42" i="18"/>
  <c r="BR43" i="18"/>
  <c r="BR44" i="18"/>
  <c r="BR45" i="18"/>
  <c r="BR46" i="18"/>
  <c r="BR47" i="18"/>
  <c r="BR48" i="18"/>
  <c r="BR49" i="18"/>
  <c r="BR13" i="18"/>
  <c r="AJ6" i="18"/>
  <c r="AH6" i="18"/>
  <c r="AL5" i="18"/>
  <c r="AK5" i="18"/>
  <c r="AJ5" i="18"/>
  <c r="AI5" i="18"/>
  <c r="AO38" i="18" s="1"/>
  <c r="AH5" i="18"/>
  <c r="AG5" i="18"/>
  <c r="AI24" i="18" s="1"/>
  <c r="E5" i="18"/>
  <c r="D5" i="18"/>
  <c r="J76" i="18" s="1"/>
  <c r="C5" i="18"/>
  <c r="B5" i="18"/>
  <c r="D84" i="18" s="1"/>
  <c r="D18" i="19"/>
  <c r="D17" i="19"/>
  <c r="D16" i="19"/>
  <c r="D15" i="19"/>
  <c r="B5" i="19"/>
  <c r="D19" i="19" s="1"/>
  <c r="I1" i="19"/>
  <c r="BI3" i="18" a="1"/>
  <c r="BK3" i="18" a="1"/>
  <c r="BO3" i="18" a="1"/>
  <c r="BM3" i="18" a="1"/>
  <c r="BG3" i="18" a="1"/>
  <c r="AL10" i="18" a="1"/>
  <c r="BE3" i="18" a="1"/>
  <c r="AK10" i="18" a="1"/>
  <c r="AJ10" i="18" a="1"/>
  <c r="AI10" i="18" a="1"/>
  <c r="AG10" i="18" a="1"/>
  <c r="AH10" i="18" a="1"/>
  <c r="E10" i="18" a="1"/>
  <c r="D10" i="18" a="1"/>
  <c r="C10" i="18" a="1"/>
  <c r="B10" i="18" a="1"/>
  <c r="Y3" i="18" a="1"/>
  <c r="W3" i="18" a="1"/>
  <c r="U3" i="18" a="1"/>
  <c r="AA3" i="18" a="1"/>
  <c r="B10" i="19" a="1"/>
  <c r="K3" i="19" a="1"/>
  <c r="I3" i="19" a="1"/>
  <c r="C10" i="19" a="1"/>
  <c r="BZ13" i="18" l="1"/>
  <c r="AI18" i="18"/>
  <c r="AI17" i="18"/>
  <c r="AI21" i="18"/>
  <c r="AI20" i="18"/>
  <c r="AI35" i="18"/>
  <c r="AI33" i="18"/>
  <c r="AI31" i="18"/>
  <c r="AI29" i="18"/>
  <c r="AO27" i="18"/>
  <c r="AI26" i="18"/>
  <c r="AI22" i="18"/>
  <c r="AI19" i="18"/>
  <c r="AI34" i="18"/>
  <c r="AI32" i="18"/>
  <c r="AI30" i="18"/>
  <c r="AI28" i="18"/>
  <c r="AI27" i="18"/>
  <c r="AI25" i="18"/>
  <c r="AI23" i="18"/>
  <c r="AO18" i="18"/>
  <c r="AI16" i="18"/>
  <c r="AI49" i="18"/>
  <c r="AI48" i="18"/>
  <c r="AI44" i="18"/>
  <c r="AI46" i="18"/>
  <c r="AI15" i="18"/>
  <c r="AI43" i="18"/>
  <c r="AI45" i="18"/>
  <c r="AI42" i="18"/>
  <c r="AI37" i="18"/>
  <c r="AI41" i="18"/>
  <c r="AO49" i="18"/>
  <c r="AI47" i="18"/>
  <c r="AI38" i="18"/>
  <c r="AI36" i="18"/>
  <c r="AI40" i="18"/>
  <c r="AG39" i="18"/>
  <c r="AG47" i="18"/>
  <c r="AG21" i="18"/>
  <c r="AG34" i="18"/>
  <c r="AG23" i="18"/>
  <c r="AG43" i="18"/>
  <c r="AG32" i="18"/>
  <c r="AG42" i="18"/>
  <c r="AG44" i="18"/>
  <c r="AG29" i="18"/>
  <c r="AG41" i="18"/>
  <c r="AG17" i="18"/>
  <c r="AG26" i="18"/>
  <c r="AG28" i="18"/>
  <c r="AG36" i="18"/>
  <c r="AG25" i="18"/>
  <c r="AG16" i="18"/>
  <c r="AG27" i="18"/>
  <c r="AG45" i="18"/>
  <c r="AG19" i="18"/>
  <c r="AG30" i="18"/>
  <c r="AG49" i="18"/>
  <c r="AG15" i="18"/>
  <c r="AG18" i="18"/>
  <c r="AG38" i="18"/>
  <c r="AG40" i="18"/>
  <c r="AG50" i="18"/>
  <c r="AG31" i="18"/>
  <c r="AG22" i="18"/>
  <c r="AG37" i="18"/>
  <c r="AG35" i="18"/>
  <c r="AG14" i="18"/>
  <c r="AO4" i="18" s="1"/>
  <c r="AG48" i="18"/>
  <c r="AG20" i="18"/>
  <c r="AG24" i="18"/>
  <c r="AG46" i="18"/>
  <c r="AG33" i="18"/>
  <c r="AJ37" i="18"/>
  <c r="AJ45" i="18"/>
  <c r="AJ23" i="18"/>
  <c r="AJ24" i="18"/>
  <c r="AJ26" i="18"/>
  <c r="AJ21" i="18"/>
  <c r="AJ47" i="18"/>
  <c r="AJ25" i="18"/>
  <c r="AJ16" i="18"/>
  <c r="AJ50" i="18"/>
  <c r="AJ19" i="18"/>
  <c r="AJ32" i="18"/>
  <c r="AJ49" i="18"/>
  <c r="AJ38" i="18"/>
  <c r="AJ40" i="18"/>
  <c r="AJ39" i="18"/>
  <c r="AJ41" i="18"/>
  <c r="AJ43" i="18"/>
  <c r="AJ17" i="18"/>
  <c r="AJ28" i="18"/>
  <c r="AJ36" i="18"/>
  <c r="AJ15" i="18"/>
  <c r="AJ30" i="18"/>
  <c r="AJ34" i="18"/>
  <c r="AJ46" i="18"/>
  <c r="AJ48" i="18"/>
  <c r="AJ35" i="18"/>
  <c r="AJ29" i="18"/>
  <c r="AJ20" i="18"/>
  <c r="AJ31" i="18"/>
  <c r="AJ22" i="18"/>
  <c r="AJ33" i="18"/>
  <c r="AJ42" i="18"/>
  <c r="AJ44" i="18"/>
  <c r="AJ18" i="18"/>
  <c r="AJ27" i="18"/>
  <c r="AS29" i="18"/>
  <c r="AS41" i="18"/>
  <c r="AS19" i="18"/>
  <c r="AT19" i="18" s="1"/>
  <c r="AS47" i="18"/>
  <c r="AS21" i="18"/>
  <c r="AS31" i="18"/>
  <c r="AS33" i="18"/>
  <c r="AS24" i="18"/>
  <c r="AS37" i="18"/>
  <c r="AS43" i="18"/>
  <c r="AS17" i="18"/>
  <c r="AS15" i="18"/>
  <c r="AS28" i="18"/>
  <c r="AS45" i="18"/>
  <c r="AS20" i="18"/>
  <c r="AS46" i="18"/>
  <c r="AS50" i="18"/>
  <c r="AS35" i="18"/>
  <c r="AS26" i="18"/>
  <c r="AS48" i="18"/>
  <c r="AS22" i="18"/>
  <c r="AS39" i="18"/>
  <c r="AS32" i="18"/>
  <c r="AS30" i="18"/>
  <c r="AS18" i="18"/>
  <c r="AS25" i="18"/>
  <c r="AS38" i="18"/>
  <c r="AS23" i="18"/>
  <c r="AS49" i="18"/>
  <c r="AS34" i="18"/>
  <c r="AS36" i="18"/>
  <c r="AS27" i="18"/>
  <c r="AS44" i="18"/>
  <c r="AS14" i="18"/>
  <c r="AU24" i="18" s="1"/>
  <c r="AS40" i="18"/>
  <c r="AT40" i="18" s="1"/>
  <c r="AS42" i="18"/>
  <c r="AS16" i="18"/>
  <c r="AV42" i="18"/>
  <c r="AV29" i="18"/>
  <c r="AV31" i="18"/>
  <c r="AV39" i="18"/>
  <c r="AV41" i="18"/>
  <c r="AV43" i="18"/>
  <c r="AV19" i="18"/>
  <c r="AV27" i="18"/>
  <c r="AV24" i="18"/>
  <c r="AV37" i="18"/>
  <c r="AV44" i="18"/>
  <c r="AV18" i="18"/>
  <c r="AV48" i="18"/>
  <c r="AV50" i="18"/>
  <c r="AV28" i="18"/>
  <c r="AV20" i="18"/>
  <c r="AV22" i="18"/>
  <c r="AV35" i="18"/>
  <c r="AV17" i="18"/>
  <c r="AV26" i="18"/>
  <c r="AV30" i="18"/>
  <c r="AV45" i="18"/>
  <c r="AV46" i="18"/>
  <c r="AV33" i="18"/>
  <c r="AV15" i="18"/>
  <c r="AV14" i="18"/>
  <c r="AX50" i="18" s="1"/>
  <c r="AV23" i="18"/>
  <c r="AV21" i="18"/>
  <c r="AV16" i="18"/>
  <c r="AV34" i="18"/>
  <c r="AV38" i="18"/>
  <c r="AW38" i="18" s="1"/>
  <c r="AV25" i="18"/>
  <c r="AV36" i="18"/>
  <c r="AV49" i="18"/>
  <c r="AV40" i="18"/>
  <c r="AV47" i="18"/>
  <c r="AV32" i="18"/>
  <c r="AP46" i="18"/>
  <c r="AP33" i="18"/>
  <c r="AP48" i="18"/>
  <c r="AP21" i="18"/>
  <c r="AP34" i="18"/>
  <c r="AP22" i="18"/>
  <c r="AP19" i="18"/>
  <c r="AP35" i="18"/>
  <c r="AP30" i="18"/>
  <c r="AP32" i="18"/>
  <c r="AP24" i="18"/>
  <c r="AP50" i="18"/>
  <c r="AP43" i="18"/>
  <c r="AP45" i="18"/>
  <c r="AP47" i="18"/>
  <c r="AP36" i="18"/>
  <c r="AP37" i="18"/>
  <c r="AP41" i="18"/>
  <c r="AP17" i="18"/>
  <c r="AP39" i="18"/>
  <c r="AP15" i="18"/>
  <c r="AP26" i="18"/>
  <c r="AP28" i="18"/>
  <c r="AP18" i="18"/>
  <c r="AP44" i="18"/>
  <c r="AP38" i="18"/>
  <c r="AP31" i="18"/>
  <c r="AP27" i="18"/>
  <c r="AP40" i="18"/>
  <c r="AP20" i="18"/>
  <c r="AP29" i="18"/>
  <c r="AP25" i="18"/>
  <c r="AP16" i="18"/>
  <c r="AP42" i="18"/>
  <c r="AP49" i="18"/>
  <c r="AP23" i="18"/>
  <c r="AM48" i="18"/>
  <c r="AN48" i="18" s="1"/>
  <c r="AM22" i="18"/>
  <c r="AN22" i="18" s="1"/>
  <c r="AM35" i="18"/>
  <c r="AN35" i="18" s="1"/>
  <c r="AM24" i="18"/>
  <c r="AN24" i="18" s="1"/>
  <c r="AM37" i="18"/>
  <c r="AM28" i="18"/>
  <c r="AM45" i="18"/>
  <c r="AM19" i="18"/>
  <c r="AM32" i="18"/>
  <c r="AM36" i="18"/>
  <c r="AM23" i="18"/>
  <c r="AM43" i="18"/>
  <c r="AM15" i="18"/>
  <c r="AM49" i="18"/>
  <c r="AM50" i="18"/>
  <c r="AM30" i="18"/>
  <c r="AM21" i="18"/>
  <c r="AM47" i="18"/>
  <c r="AM39" i="18"/>
  <c r="AM41" i="18"/>
  <c r="AM26" i="18"/>
  <c r="AM17" i="18"/>
  <c r="AM34" i="18"/>
  <c r="AM33" i="18"/>
  <c r="AM29" i="18"/>
  <c r="AM25" i="18"/>
  <c r="AM20" i="18"/>
  <c r="AM16" i="18"/>
  <c r="AM42" i="18"/>
  <c r="AM40" i="18"/>
  <c r="AM14" i="18"/>
  <c r="AP4" i="18" s="1"/>
  <c r="AM27" i="18"/>
  <c r="AN27" i="18" s="1"/>
  <c r="AM18" i="18"/>
  <c r="AN18" i="18" s="1"/>
  <c r="AM46" i="18"/>
  <c r="AN46" i="18" s="1"/>
  <c r="AM31" i="18"/>
  <c r="AN31" i="18" s="1"/>
  <c r="AM44" i="18"/>
  <c r="AN44" i="18" s="1"/>
  <c r="AM38" i="18"/>
  <c r="AO20" i="18"/>
  <c r="AO40" i="18"/>
  <c r="AO25" i="18"/>
  <c r="AO29" i="18"/>
  <c r="AO16" i="18"/>
  <c r="AO31" i="18"/>
  <c r="AO42" i="18"/>
  <c r="AO46" i="18"/>
  <c r="AO33" i="18"/>
  <c r="AO15" i="18"/>
  <c r="AO21" i="18"/>
  <c r="AO36" i="18"/>
  <c r="AO48" i="18"/>
  <c r="AO22" i="18"/>
  <c r="AO35" i="18"/>
  <c r="AO39" i="18"/>
  <c r="AO26" i="18"/>
  <c r="AO19" i="18"/>
  <c r="AO28" i="18"/>
  <c r="AO30" i="18"/>
  <c r="AO24" i="18"/>
  <c r="AO37" i="18"/>
  <c r="AO34" i="18"/>
  <c r="AO23" i="18"/>
  <c r="AO50" i="18"/>
  <c r="AO41" i="18"/>
  <c r="AO43" i="18"/>
  <c r="AO17" i="18"/>
  <c r="AO32" i="18"/>
  <c r="AO47" i="18"/>
  <c r="AO45" i="18"/>
  <c r="AO44" i="18"/>
  <c r="AI39" i="18"/>
  <c r="AI50" i="18"/>
  <c r="J71" i="18"/>
  <c r="D64" i="18"/>
  <c r="D59" i="18"/>
  <c r="D56" i="18"/>
  <c r="D51" i="18"/>
  <c r="D39" i="18"/>
  <c r="D31" i="18"/>
  <c r="D80" i="18"/>
  <c r="D67" i="18"/>
  <c r="D30" i="18"/>
  <c r="J47" i="18"/>
  <c r="J56" i="18"/>
  <c r="J55" i="18"/>
  <c r="J30" i="18"/>
  <c r="J63" i="18"/>
  <c r="J43" i="18"/>
  <c r="J80" i="18"/>
  <c r="J72" i="18"/>
  <c r="J42" i="18"/>
  <c r="D72" i="18"/>
  <c r="K72" i="18"/>
  <c r="K33" i="18"/>
  <c r="K75" i="18"/>
  <c r="K53" i="18"/>
  <c r="K64" i="18"/>
  <c r="K56" i="18"/>
  <c r="K78" i="18"/>
  <c r="K48" i="18"/>
  <c r="K59" i="18"/>
  <c r="K84" i="18"/>
  <c r="K25" i="18"/>
  <c r="K28" i="18"/>
  <c r="K81" i="18"/>
  <c r="K51" i="18"/>
  <c r="K31" i="18"/>
  <c r="K62" i="18"/>
  <c r="K34" i="18"/>
  <c r="K22" i="18"/>
  <c r="K70" i="18"/>
  <c r="K73" i="18"/>
  <c r="K57" i="18"/>
  <c r="K65" i="18"/>
  <c r="K77" i="18"/>
  <c r="K66" i="18"/>
  <c r="K49" i="18"/>
  <c r="K27" i="18"/>
  <c r="K41" i="18"/>
  <c r="K74" i="18"/>
  <c r="K58" i="18"/>
  <c r="K86" i="18"/>
  <c r="K61" i="18"/>
  <c r="K69" i="18"/>
  <c r="K85" i="18"/>
  <c r="K23" i="18"/>
  <c r="K32" i="18"/>
  <c r="K36" i="18"/>
  <c r="K45" i="18"/>
  <c r="K54" i="18"/>
  <c r="K50" i="18"/>
  <c r="K29" i="18"/>
  <c r="K37" i="18"/>
  <c r="K46" i="18"/>
  <c r="K82" i="18"/>
  <c r="K24" i="18"/>
  <c r="K43" i="18"/>
  <c r="K76" i="18"/>
  <c r="K52" i="18"/>
  <c r="K35" i="18"/>
  <c r="K38" i="18"/>
  <c r="K83" i="18"/>
  <c r="K40" i="18"/>
  <c r="K67" i="18"/>
  <c r="K68" i="18"/>
  <c r="K44" i="18"/>
  <c r="K55" i="18"/>
  <c r="K42" i="18"/>
  <c r="K63" i="18"/>
  <c r="K60" i="18"/>
  <c r="K79" i="18"/>
  <c r="K47" i="18"/>
  <c r="K39" i="18"/>
  <c r="K26" i="18"/>
  <c r="K71" i="18"/>
  <c r="K30" i="18"/>
  <c r="K80" i="18"/>
  <c r="B22" i="18"/>
  <c r="B70" i="18"/>
  <c r="B51" i="18"/>
  <c r="B62" i="18"/>
  <c r="B31" i="18"/>
  <c r="B84" i="18"/>
  <c r="B37" i="18"/>
  <c r="B54" i="18"/>
  <c r="B65" i="18"/>
  <c r="B76" i="18"/>
  <c r="B40" i="18"/>
  <c r="B43" i="18"/>
  <c r="B46" i="18"/>
  <c r="B79" i="18"/>
  <c r="B14" i="18"/>
  <c r="G5" i="18" s="1"/>
  <c r="B52" i="18"/>
  <c r="B26" i="18"/>
  <c r="B57" i="18"/>
  <c r="B68" i="18"/>
  <c r="B49" i="18"/>
  <c r="B60" i="18"/>
  <c r="B29" i="18"/>
  <c r="B82" i="18"/>
  <c r="B23" i="18"/>
  <c r="B81" i="18"/>
  <c r="B36" i="18"/>
  <c r="B41" i="18"/>
  <c r="B66" i="18"/>
  <c r="B74" i="18"/>
  <c r="B55" i="18"/>
  <c r="B75" i="18"/>
  <c r="B45" i="18"/>
  <c r="B58" i="18"/>
  <c r="B78" i="18"/>
  <c r="B24" i="18"/>
  <c r="B59" i="18"/>
  <c r="B50" i="18"/>
  <c r="B28" i="18"/>
  <c r="B86" i="18"/>
  <c r="B67" i="18"/>
  <c r="B83" i="18"/>
  <c r="B33" i="18"/>
  <c r="B63" i="18"/>
  <c r="B38" i="18"/>
  <c r="B42" i="18"/>
  <c r="B47" i="18"/>
  <c r="B71" i="18"/>
  <c r="B77" i="18"/>
  <c r="B48" i="18"/>
  <c r="B32" i="18"/>
  <c r="B34" i="18"/>
  <c r="B35" i="18"/>
  <c r="B61" i="18"/>
  <c r="B53" i="18"/>
  <c r="B39" i="18"/>
  <c r="B80" i="18"/>
  <c r="B25" i="18"/>
  <c r="B44" i="18"/>
  <c r="B64" i="18"/>
  <c r="B72" i="18"/>
  <c r="B27" i="18"/>
  <c r="B56" i="18"/>
  <c r="B73" i="18"/>
  <c r="B69" i="18"/>
  <c r="B85" i="18"/>
  <c r="B30" i="18"/>
  <c r="E56" i="18"/>
  <c r="E59" i="18"/>
  <c r="E25" i="18"/>
  <c r="E28" i="18"/>
  <c r="E48" i="18"/>
  <c r="E81" i="18"/>
  <c r="E22" i="18"/>
  <c r="E31" i="18"/>
  <c r="E84" i="18"/>
  <c r="E34" i="18"/>
  <c r="E73" i="18"/>
  <c r="E79" i="18"/>
  <c r="E49" i="18"/>
  <c r="E46" i="18"/>
  <c r="E57" i="18"/>
  <c r="E68" i="18"/>
  <c r="E37" i="18"/>
  <c r="E54" i="18"/>
  <c r="E65" i="18"/>
  <c r="E76" i="18"/>
  <c r="E43" i="18"/>
  <c r="E14" i="18"/>
  <c r="G68" i="18" s="1"/>
  <c r="E26" i="18"/>
  <c r="E40" i="18"/>
  <c r="E61" i="18"/>
  <c r="E23" i="18"/>
  <c r="E36" i="18"/>
  <c r="E50" i="18"/>
  <c r="E33" i="18"/>
  <c r="E63" i="18"/>
  <c r="E55" i="18"/>
  <c r="E32" i="18"/>
  <c r="E53" i="18"/>
  <c r="E41" i="18"/>
  <c r="E82" i="18"/>
  <c r="E62" i="18"/>
  <c r="E45" i="18"/>
  <c r="E66" i="18"/>
  <c r="E74" i="18"/>
  <c r="E58" i="18"/>
  <c r="E70" i="18"/>
  <c r="E29" i="18"/>
  <c r="E78" i="18"/>
  <c r="E86" i="18"/>
  <c r="E38" i="18"/>
  <c r="E71" i="18"/>
  <c r="E42" i="18"/>
  <c r="E24" i="18"/>
  <c r="E60" i="18"/>
  <c r="E27" i="18"/>
  <c r="E69" i="18"/>
  <c r="E64" i="18"/>
  <c r="E83" i="18"/>
  <c r="E72" i="18"/>
  <c r="E52" i="18"/>
  <c r="E44" i="18"/>
  <c r="E35" i="18"/>
  <c r="E77" i="18"/>
  <c r="E85" i="18"/>
  <c r="E67" i="18"/>
  <c r="E47" i="18"/>
  <c r="E39" i="18"/>
  <c r="E30" i="18"/>
  <c r="E80" i="18"/>
  <c r="E75" i="18"/>
  <c r="E51" i="18"/>
  <c r="H36" i="18"/>
  <c r="H39" i="18"/>
  <c r="H42" i="18"/>
  <c r="H67" i="18"/>
  <c r="H86" i="18"/>
  <c r="H45" i="18"/>
  <c r="H56" i="18"/>
  <c r="H78" i="18"/>
  <c r="H22" i="18"/>
  <c r="H70" i="18"/>
  <c r="H37" i="18"/>
  <c r="H54" i="18"/>
  <c r="H43" i="18"/>
  <c r="H31" i="18"/>
  <c r="H51" i="18"/>
  <c r="H62" i="18"/>
  <c r="H73" i="18"/>
  <c r="H76" i="18"/>
  <c r="H34" i="18"/>
  <c r="H84" i="18"/>
  <c r="H14" i="18"/>
  <c r="H5" i="18" s="1"/>
  <c r="H40" i="18"/>
  <c r="H65" i="18"/>
  <c r="H46" i="18"/>
  <c r="H27" i="18"/>
  <c r="H77" i="18"/>
  <c r="H23" i="18"/>
  <c r="H28" i="18"/>
  <c r="H50" i="18"/>
  <c r="H79" i="18"/>
  <c r="H69" i="18"/>
  <c r="H81" i="18"/>
  <c r="H85" i="18"/>
  <c r="H61" i="18"/>
  <c r="H32" i="18"/>
  <c r="H74" i="18"/>
  <c r="H24" i="18"/>
  <c r="H53" i="18"/>
  <c r="H41" i="18"/>
  <c r="H82" i="18"/>
  <c r="H66" i="18"/>
  <c r="H29" i="18"/>
  <c r="H58" i="18"/>
  <c r="H38" i="18"/>
  <c r="H75" i="18"/>
  <c r="H68" i="18"/>
  <c r="H71" i="18"/>
  <c r="H48" i="18"/>
  <c r="H80" i="18"/>
  <c r="H25" i="18"/>
  <c r="H83" i="18"/>
  <c r="H63" i="18"/>
  <c r="H60" i="18"/>
  <c r="H55" i="18"/>
  <c r="H44" i="18"/>
  <c r="H47" i="18"/>
  <c r="H64" i="18"/>
  <c r="H59" i="18"/>
  <c r="H26" i="18"/>
  <c r="H52" i="18"/>
  <c r="H35" i="18"/>
  <c r="H30" i="18"/>
  <c r="H49" i="18"/>
  <c r="H33" i="18"/>
  <c r="H72" i="18"/>
  <c r="H57" i="18"/>
  <c r="D27" i="18"/>
  <c r="J26" i="18"/>
  <c r="J15" i="18"/>
  <c r="D61" i="18"/>
  <c r="D77" i="18"/>
  <c r="J83" i="18"/>
  <c r="J60" i="18"/>
  <c r="D44" i="18"/>
  <c r="D85" i="18"/>
  <c r="J68" i="18"/>
  <c r="D20" i="18"/>
  <c r="D25" i="18"/>
  <c r="D28" i="18"/>
  <c r="D48" i="18"/>
  <c r="D81" i="18"/>
  <c r="D22" i="18"/>
  <c r="D70" i="18"/>
  <c r="D34" i="18"/>
  <c r="D73" i="18"/>
  <c r="D23" i="18"/>
  <c r="D37" i="18"/>
  <c r="D54" i="18"/>
  <c r="D65" i="18"/>
  <c r="D76" i="18"/>
  <c r="D79" i="18"/>
  <c r="D26" i="18"/>
  <c r="D57" i="18"/>
  <c r="D21" i="18"/>
  <c r="D40" i="18"/>
  <c r="D43" i="18"/>
  <c r="D46" i="18"/>
  <c r="D49" i="18"/>
  <c r="D68" i="18"/>
  <c r="D60" i="18"/>
  <c r="D29" i="18"/>
  <c r="D32" i="18"/>
  <c r="D53" i="18"/>
  <c r="D36" i="18"/>
  <c r="D82" i="18"/>
  <c r="D45" i="18"/>
  <c r="D78" i="18"/>
  <c r="D42" i="18"/>
  <c r="D41" i="18"/>
  <c r="D55" i="18"/>
  <c r="D75" i="18"/>
  <c r="D66" i="18"/>
  <c r="D74" i="18"/>
  <c r="D58" i="18"/>
  <c r="D50" i="18"/>
  <c r="D62" i="18"/>
  <c r="D71" i="18"/>
  <c r="D86" i="18"/>
  <c r="D24" i="18"/>
  <c r="D38" i="18"/>
  <c r="D33" i="18"/>
  <c r="D19" i="18"/>
  <c r="D63" i="18"/>
  <c r="D47" i="18"/>
  <c r="J79" i="18"/>
  <c r="D69" i="18"/>
  <c r="J44" i="18"/>
  <c r="J52" i="18"/>
  <c r="J33" i="18"/>
  <c r="J75" i="18"/>
  <c r="J53" i="18"/>
  <c r="J64" i="18"/>
  <c r="J36" i="18"/>
  <c r="J39" i="18"/>
  <c r="J25" i="18"/>
  <c r="J48" i="18"/>
  <c r="J59" i="18"/>
  <c r="J28" i="18"/>
  <c r="J81" i="18"/>
  <c r="J22" i="18"/>
  <c r="J31" i="18"/>
  <c r="J62" i="18"/>
  <c r="J84" i="18"/>
  <c r="J40" i="18"/>
  <c r="J51" i="18"/>
  <c r="J70" i="18"/>
  <c r="J34" i="18"/>
  <c r="J73" i="18"/>
  <c r="J20" i="18"/>
  <c r="J57" i="18"/>
  <c r="J65" i="18"/>
  <c r="J49" i="18"/>
  <c r="J61" i="18"/>
  <c r="J69" i="18"/>
  <c r="J85" i="18"/>
  <c r="J37" i="18"/>
  <c r="J82" i="18"/>
  <c r="J86" i="18"/>
  <c r="J29" i="18"/>
  <c r="J54" i="18"/>
  <c r="J27" i="18"/>
  <c r="J77" i="18"/>
  <c r="J23" i="18"/>
  <c r="J32" i="18"/>
  <c r="J45" i="18"/>
  <c r="J41" i="18"/>
  <c r="J46" i="18"/>
  <c r="J50" i="18"/>
  <c r="J18" i="18"/>
  <c r="J66" i="18"/>
  <c r="J74" i="18"/>
  <c r="J58" i="18"/>
  <c r="J78" i="18"/>
  <c r="J38" i="18"/>
  <c r="J35" i="18"/>
  <c r="J67" i="18"/>
  <c r="D52" i="18"/>
  <c r="D16" i="18"/>
  <c r="D18" i="18"/>
  <c r="D35" i="18"/>
  <c r="D83" i="18"/>
  <c r="J24" i="18"/>
  <c r="AH10" i="18"/>
  <c r="AG10" i="18"/>
  <c r="AI10" i="18"/>
  <c r="AJ10" i="18"/>
  <c r="AK10" i="18"/>
  <c r="BE3" i="18"/>
  <c r="AL10" i="18"/>
  <c r="BG3" i="18"/>
  <c r="AJ14" i="18" s="1"/>
  <c r="AL32" i="18" s="1"/>
  <c r="BM3" i="18"/>
  <c r="BO3" i="18"/>
  <c r="BK3" i="18"/>
  <c r="AP14" i="18" s="1"/>
  <c r="BI3" i="18"/>
  <c r="K17" i="18"/>
  <c r="K19" i="18"/>
  <c r="K21" i="18"/>
  <c r="K16" i="18"/>
  <c r="K20" i="18"/>
  <c r="AA3" i="18"/>
  <c r="K15" i="18" s="1"/>
  <c r="K18" i="18"/>
  <c r="B18" i="18"/>
  <c r="B20" i="18"/>
  <c r="B15" i="18"/>
  <c r="U3" i="18"/>
  <c r="B17" i="18"/>
  <c r="B16" i="18"/>
  <c r="B19" i="18"/>
  <c r="B21" i="18"/>
  <c r="E20" i="18"/>
  <c r="E15" i="18"/>
  <c r="E17" i="18"/>
  <c r="E19" i="18"/>
  <c r="E21" i="18"/>
  <c r="E16" i="18"/>
  <c r="W3" i="18"/>
  <c r="E18" i="18"/>
  <c r="H20" i="18"/>
  <c r="H15" i="18"/>
  <c r="H17" i="18"/>
  <c r="H19" i="18"/>
  <c r="Y3" i="18"/>
  <c r="H21" i="18"/>
  <c r="H16" i="18"/>
  <c r="H18" i="18"/>
  <c r="B10" i="18"/>
  <c r="C10" i="18"/>
  <c r="D10" i="18"/>
  <c r="E10" i="18"/>
  <c r="J16" i="18"/>
  <c r="J21" i="18"/>
  <c r="D17" i="18"/>
  <c r="J19" i="18"/>
  <c r="D15" i="18"/>
  <c r="J17" i="18"/>
  <c r="C10" i="19"/>
  <c r="B19" i="19"/>
  <c r="C19" i="19" s="1"/>
  <c r="B16" i="19"/>
  <c r="C16" i="19" s="1"/>
  <c r="I3" i="19"/>
  <c r="B18" i="19"/>
  <c r="C18" i="19" s="1"/>
  <c r="B17" i="19"/>
  <c r="C17" i="19" s="1"/>
  <c r="B15" i="19"/>
  <c r="C15" i="19" s="1"/>
  <c r="E15" i="19"/>
  <c r="F15" i="19" s="1"/>
  <c r="E19" i="19"/>
  <c r="F19" i="19" s="1"/>
  <c r="K3" i="19"/>
  <c r="E18" i="19"/>
  <c r="F18" i="19" s="1"/>
  <c r="E17" i="19"/>
  <c r="F17" i="19" s="1"/>
  <c r="E16" i="19"/>
  <c r="F16" i="19" s="1"/>
  <c r="B10" i="19"/>
  <c r="I55" i="18" l="1"/>
  <c r="I40" i="18"/>
  <c r="AN38" i="18"/>
  <c r="AN37" i="18"/>
  <c r="BB42" i="18"/>
  <c r="BB45" i="18"/>
  <c r="BB17" i="18"/>
  <c r="BB18" i="18"/>
  <c r="BB19" i="18"/>
  <c r="BB20" i="18"/>
  <c r="BB23" i="18"/>
  <c r="BB28" i="18"/>
  <c r="BB32" i="18"/>
  <c r="BB34" i="18"/>
  <c r="BB37" i="18"/>
  <c r="BB38" i="18"/>
  <c r="BB41" i="18"/>
  <c r="BB43" i="18"/>
  <c r="BB46" i="18"/>
  <c r="BB15" i="18"/>
  <c r="BB48" i="18"/>
  <c r="BB49" i="18"/>
  <c r="BB50" i="18"/>
  <c r="BB14" i="18"/>
  <c r="BC14" i="18" s="1"/>
  <c r="BT13" i="18" s="1"/>
  <c r="BB21" i="18"/>
  <c r="BB26" i="18"/>
  <c r="BB31" i="18"/>
  <c r="BB44" i="18"/>
  <c r="BB47" i="18"/>
  <c r="BB16" i="18"/>
  <c r="BB22" i="18"/>
  <c r="BB24" i="18"/>
  <c r="BB25" i="18"/>
  <c r="BB27" i="18"/>
  <c r="BB29" i="18"/>
  <c r="BB30" i="18"/>
  <c r="BB33" i="18"/>
  <c r="BB35" i="18"/>
  <c r="BB36" i="18"/>
  <c r="BB39" i="18"/>
  <c r="BB40" i="18"/>
  <c r="AT31" i="18"/>
  <c r="I44" i="18"/>
  <c r="I65" i="18"/>
  <c r="Q50" i="18"/>
  <c r="Q82" i="18"/>
  <c r="Q73" i="18"/>
  <c r="Q75" i="18"/>
  <c r="Q51" i="18"/>
  <c r="Q83" i="18"/>
  <c r="Q60" i="18"/>
  <c r="Q29" i="18"/>
  <c r="Q21" i="18"/>
  <c r="Q31" i="18"/>
  <c r="Q63" i="18"/>
  <c r="Q32" i="18"/>
  <c r="Q33" i="18"/>
  <c r="Q34" i="18"/>
  <c r="Q26" i="18"/>
  <c r="Q67" i="18"/>
  <c r="Q68" i="18"/>
  <c r="Q38" i="18"/>
  <c r="Q70" i="18"/>
  <c r="Q39" i="18"/>
  <c r="Q71" i="18"/>
  <c r="Q40" i="18"/>
  <c r="Q72" i="18"/>
  <c r="Q41" i="18"/>
  <c r="Q43" i="18"/>
  <c r="Q78" i="18"/>
  <c r="Q79" i="18"/>
  <c r="Q80" i="18"/>
  <c r="Q49" i="18"/>
  <c r="Q81" i="18"/>
  <c r="Q52" i="18"/>
  <c r="Q84" i="18"/>
  <c r="Q53" i="18"/>
  <c r="Q85" i="18"/>
  <c r="Q54" i="18"/>
  <c r="Q86" i="18"/>
  <c r="Q55" i="18"/>
  <c r="Q15" i="18"/>
  <c r="Q56" i="18"/>
  <c r="Q16" i="18"/>
  <c r="Q57" i="18"/>
  <c r="Q17" i="18"/>
  <c r="Q58" i="18"/>
  <c r="Q18" i="18"/>
  <c r="Q27" i="18"/>
  <c r="Q59" i="18"/>
  <c r="Q19" i="18"/>
  <c r="Q28" i="18"/>
  <c r="Q20" i="18"/>
  <c r="Q61" i="18"/>
  <c r="Q30" i="18"/>
  <c r="Q62" i="18"/>
  <c r="Q22" i="18"/>
  <c r="Q23" i="18"/>
  <c r="Q64" i="18"/>
  <c r="Q65" i="18"/>
  <c r="Q35" i="18"/>
  <c r="Q14" i="18"/>
  <c r="R14" i="18" s="1"/>
  <c r="Q36" i="18"/>
  <c r="Q37" i="18"/>
  <c r="Q69" i="18"/>
  <c r="Q44" i="18"/>
  <c r="Q76" i="18"/>
  <c r="Q45" i="18"/>
  <c r="Q77" i="18"/>
  <c r="Q46" i="18"/>
  <c r="Q47" i="18"/>
  <c r="Q48" i="18"/>
  <c r="Q24" i="18"/>
  <c r="Q25" i="18"/>
  <c r="Q66" i="18"/>
  <c r="Q42" i="18"/>
  <c r="Q74" i="18"/>
  <c r="AW36" i="18"/>
  <c r="AW42" i="18"/>
  <c r="AW25" i="18"/>
  <c r="AT16" i="18"/>
  <c r="AT21" i="18"/>
  <c r="AW34" i="18"/>
  <c r="AW16" i="18"/>
  <c r="AW21" i="18"/>
  <c r="AW23" i="18"/>
  <c r="AX34" i="18"/>
  <c r="AX35" i="18"/>
  <c r="AN45" i="18"/>
  <c r="AN28" i="18"/>
  <c r="C57" i="18"/>
  <c r="C26" i="18"/>
  <c r="AW49" i="18"/>
  <c r="AW29" i="18"/>
  <c r="AT33" i="18"/>
  <c r="AU34" i="18"/>
  <c r="AX44" i="18"/>
  <c r="AX16" i="18"/>
  <c r="AU39" i="18"/>
  <c r="AU25" i="18"/>
  <c r="AX40" i="18"/>
  <c r="AX48" i="18"/>
  <c r="AX33" i="18"/>
  <c r="AU16" i="18"/>
  <c r="AX15" i="18"/>
  <c r="AX43" i="18"/>
  <c r="AR17" i="18"/>
  <c r="AR34" i="18"/>
  <c r="AR49" i="18"/>
  <c r="AR40" i="18"/>
  <c r="AR42" i="18"/>
  <c r="AR38" i="18"/>
  <c r="AR31" i="18"/>
  <c r="AR44" i="18"/>
  <c r="AT41" i="18"/>
  <c r="AU20" i="18"/>
  <c r="AU40" i="18"/>
  <c r="AW33" i="18"/>
  <c r="AU18" i="18"/>
  <c r="AU44" i="18"/>
  <c r="AU22" i="18"/>
  <c r="AU28" i="18"/>
  <c r="AQ50" i="18"/>
  <c r="AW22" i="18"/>
  <c r="AT39" i="18"/>
  <c r="AK48" i="18"/>
  <c r="AX19" i="18"/>
  <c r="AX21" i="18"/>
  <c r="AQ24" i="18"/>
  <c r="AW20" i="18"/>
  <c r="AT22" i="18"/>
  <c r="AU29" i="18"/>
  <c r="AU17" i="18"/>
  <c r="AQ32" i="18"/>
  <c r="AX26" i="18"/>
  <c r="AT26" i="18"/>
  <c r="AW48" i="18"/>
  <c r="AT50" i="18"/>
  <c r="AW37" i="18"/>
  <c r="AQ21" i="18"/>
  <c r="AT45" i="18"/>
  <c r="C52" i="18"/>
  <c r="AX41" i="18"/>
  <c r="AQ48" i="18"/>
  <c r="AW27" i="18"/>
  <c r="AT28" i="18"/>
  <c r="AU31" i="18"/>
  <c r="AX30" i="18"/>
  <c r="AQ35" i="18"/>
  <c r="AQ19" i="18"/>
  <c r="AW44" i="18"/>
  <c r="AQ23" i="18"/>
  <c r="AT20" i="18"/>
  <c r="AX29" i="18"/>
  <c r="AQ49" i="18"/>
  <c r="AW24" i="18"/>
  <c r="AX24" i="18"/>
  <c r="AW19" i="18"/>
  <c r="AT15" i="18"/>
  <c r="AU27" i="18"/>
  <c r="AU45" i="18"/>
  <c r="AW15" i="18"/>
  <c r="AU15" i="18"/>
  <c r="AW28" i="18"/>
  <c r="AW18" i="18"/>
  <c r="AQ22" i="18"/>
  <c r="AX31" i="18"/>
  <c r="AX23" i="18"/>
  <c r="AX42" i="18"/>
  <c r="AW32" i="18"/>
  <c r="AW41" i="18"/>
  <c r="AT43" i="18"/>
  <c r="AT48" i="18"/>
  <c r="AQ30" i="18"/>
  <c r="AX46" i="18"/>
  <c r="AT46" i="18"/>
  <c r="AQ34" i="18"/>
  <c r="AX18" i="18"/>
  <c r="AT17" i="18"/>
  <c r="AU49" i="18"/>
  <c r="AX28" i="18"/>
  <c r="AW47" i="18"/>
  <c r="AW39" i="18"/>
  <c r="AW50" i="18"/>
  <c r="AX22" i="18"/>
  <c r="AT35" i="18"/>
  <c r="AX20" i="18"/>
  <c r="AW43" i="18"/>
  <c r="AX49" i="18"/>
  <c r="AW40" i="18"/>
  <c r="AW31" i="18"/>
  <c r="AH18" i="18"/>
  <c r="AH37" i="18"/>
  <c r="AN40" i="18"/>
  <c r="AH49" i="18"/>
  <c r="AR32" i="18"/>
  <c r="AR50" i="18"/>
  <c r="AL43" i="18"/>
  <c r="AN20" i="18"/>
  <c r="AQ25" i="18"/>
  <c r="AK40" i="18"/>
  <c r="AH19" i="18"/>
  <c r="AL46" i="18"/>
  <c r="AR41" i="18"/>
  <c r="AL49" i="18"/>
  <c r="AN25" i="18"/>
  <c r="AQ29" i="18"/>
  <c r="AT37" i="18"/>
  <c r="AK38" i="18"/>
  <c r="AH45" i="18"/>
  <c r="AU21" i="18"/>
  <c r="AR45" i="18"/>
  <c r="AL30" i="18"/>
  <c r="AN29" i="18"/>
  <c r="AQ20" i="18"/>
  <c r="AT24" i="18"/>
  <c r="AK49" i="18"/>
  <c r="AH27" i="18"/>
  <c r="AH35" i="18"/>
  <c r="AK34" i="18"/>
  <c r="AK15" i="18"/>
  <c r="AH38" i="18"/>
  <c r="AH30" i="18"/>
  <c r="AL23" i="18"/>
  <c r="AR35" i="18"/>
  <c r="AL36" i="18"/>
  <c r="AN17" i="18"/>
  <c r="AQ31" i="18"/>
  <c r="AK50" i="18"/>
  <c r="AH36" i="18"/>
  <c r="AU50" i="18"/>
  <c r="AR22" i="18"/>
  <c r="AL21" i="18"/>
  <c r="AN26" i="18"/>
  <c r="AQ38" i="18"/>
  <c r="AT42" i="18"/>
  <c r="AT47" i="18"/>
  <c r="AK16" i="18"/>
  <c r="AH28" i="18"/>
  <c r="AL33" i="18"/>
  <c r="AL19" i="18"/>
  <c r="AL20" i="18"/>
  <c r="AL34" i="18"/>
  <c r="AN34" i="18"/>
  <c r="AH26" i="18"/>
  <c r="AH41" i="18"/>
  <c r="AU35" i="18"/>
  <c r="AN30" i="18"/>
  <c r="AQ15" i="18"/>
  <c r="AX36" i="18"/>
  <c r="AX47" i="18"/>
  <c r="AX32" i="18"/>
  <c r="AT36" i="18"/>
  <c r="AK18" i="18"/>
  <c r="AK24" i="18"/>
  <c r="AH44" i="18"/>
  <c r="AH22" i="18"/>
  <c r="AR18" i="18"/>
  <c r="AR23" i="18"/>
  <c r="AR27" i="18"/>
  <c r="AQ16" i="18"/>
  <c r="AN33" i="18"/>
  <c r="AK25" i="18"/>
  <c r="AK21" i="18"/>
  <c r="AU26" i="18"/>
  <c r="AR26" i="18"/>
  <c r="AN50" i="18"/>
  <c r="AQ39" i="18"/>
  <c r="AT34" i="18"/>
  <c r="AK44" i="18"/>
  <c r="AK23" i="18"/>
  <c r="AH42" i="18"/>
  <c r="AL39" i="18"/>
  <c r="AH15" i="18"/>
  <c r="AL24" i="18"/>
  <c r="AL35" i="18"/>
  <c r="AH50" i="18"/>
  <c r="AK28" i="18"/>
  <c r="AQ42" i="18"/>
  <c r="AK32" i="18"/>
  <c r="AQ18" i="18"/>
  <c r="AT29" i="18"/>
  <c r="AH29" i="18"/>
  <c r="AN49" i="18"/>
  <c r="AH32" i="18"/>
  <c r="AU46" i="18"/>
  <c r="AR33" i="18"/>
  <c r="AX17" i="18"/>
  <c r="AX45" i="18"/>
  <c r="AN15" i="18"/>
  <c r="AQ41" i="18"/>
  <c r="AW46" i="18"/>
  <c r="AT23" i="18"/>
  <c r="AK33" i="18"/>
  <c r="AK37" i="18"/>
  <c r="AH43" i="18"/>
  <c r="AK43" i="18"/>
  <c r="AN42" i="18"/>
  <c r="AK39" i="18"/>
  <c r="AH16" i="18"/>
  <c r="AN39" i="18"/>
  <c r="AT44" i="18"/>
  <c r="AU37" i="18"/>
  <c r="AK27" i="18"/>
  <c r="AU33" i="18"/>
  <c r="AK42" i="18"/>
  <c r="C85" i="18"/>
  <c r="AU19" i="18"/>
  <c r="AR46" i="18"/>
  <c r="AX39" i="18"/>
  <c r="AU38" i="18"/>
  <c r="AN43" i="18"/>
  <c r="AQ37" i="18"/>
  <c r="AW45" i="18"/>
  <c r="AT38" i="18"/>
  <c r="AK22" i="18"/>
  <c r="AH33" i="18"/>
  <c r="AH23" i="18"/>
  <c r="AH31" i="18"/>
  <c r="AH40" i="18"/>
  <c r="AL25" i="18"/>
  <c r="AL45" i="18"/>
  <c r="AK17" i="18"/>
  <c r="AR29" i="18"/>
  <c r="AL16" i="18"/>
  <c r="AL17" i="18"/>
  <c r="AQ40" i="18"/>
  <c r="AH25" i="18"/>
  <c r="C67" i="18"/>
  <c r="AU30" i="18"/>
  <c r="AL28" i="18"/>
  <c r="AK26" i="18"/>
  <c r="AR37" i="18"/>
  <c r="AK45" i="18"/>
  <c r="C69" i="18"/>
  <c r="AU43" i="18"/>
  <c r="AR28" i="18"/>
  <c r="AX37" i="18"/>
  <c r="AN23" i="18"/>
  <c r="AQ36" i="18"/>
  <c r="AW30" i="18"/>
  <c r="AT25" i="18"/>
  <c r="AK31" i="18"/>
  <c r="AH46" i="18"/>
  <c r="AH34" i="18"/>
  <c r="AK46" i="18"/>
  <c r="AL40" i="18"/>
  <c r="AK30" i="18"/>
  <c r="AK36" i="18"/>
  <c r="AQ33" i="18"/>
  <c r="AQ46" i="18"/>
  <c r="G63" i="18"/>
  <c r="AR25" i="18"/>
  <c r="AR30" i="18"/>
  <c r="AL50" i="18"/>
  <c r="AK19" i="18"/>
  <c r="AH17" i="18"/>
  <c r="AR47" i="18"/>
  <c r="AN47" i="18"/>
  <c r="AT49" i="18"/>
  <c r="I26" i="18"/>
  <c r="I23" i="18"/>
  <c r="C73" i="18"/>
  <c r="AU41" i="18"/>
  <c r="AR39" i="18"/>
  <c r="AX27" i="18"/>
  <c r="AR16" i="18"/>
  <c r="AN36" i="18"/>
  <c r="AQ47" i="18"/>
  <c r="AW26" i="18"/>
  <c r="AT18" i="18"/>
  <c r="AK20" i="18"/>
  <c r="AH24" i="18"/>
  <c r="AH21" i="18"/>
  <c r="AL22" i="18"/>
  <c r="AL18" i="18"/>
  <c r="AL48" i="18"/>
  <c r="AL38" i="18"/>
  <c r="AL44" i="18"/>
  <c r="AL27" i="18"/>
  <c r="AL31" i="18"/>
  <c r="AR15" i="18"/>
  <c r="AQ27" i="18"/>
  <c r="AR48" i="18"/>
  <c r="AN41" i="18"/>
  <c r="AR21" i="18"/>
  <c r="AK47" i="18"/>
  <c r="AR19" i="18"/>
  <c r="AT27" i="18"/>
  <c r="I59" i="18"/>
  <c r="I77" i="18"/>
  <c r="AR24" i="18"/>
  <c r="AX38" i="18"/>
  <c r="AL42" i="18"/>
  <c r="AN32" i="18"/>
  <c r="AQ45" i="18"/>
  <c r="AW17" i="18"/>
  <c r="AT30" i="18"/>
  <c r="AK29" i="18"/>
  <c r="AH20" i="18"/>
  <c r="AH47" i="18"/>
  <c r="AL37" i="18"/>
  <c r="AL41" i="18"/>
  <c r="AL29" i="18"/>
  <c r="AL47" i="18"/>
  <c r="AL26" i="18"/>
  <c r="AR43" i="18"/>
  <c r="AK41" i="18"/>
  <c r="AN16" i="18"/>
  <c r="AR36" i="18"/>
  <c r="AQ44" i="18"/>
  <c r="AL15" i="18"/>
  <c r="AU32" i="18"/>
  <c r="AU36" i="18"/>
  <c r="AU23" i="18"/>
  <c r="AU42" i="18"/>
  <c r="AQ28" i="18"/>
  <c r="AN21" i="18"/>
  <c r="AQ26" i="18"/>
  <c r="AQ17" i="18"/>
  <c r="I64" i="18"/>
  <c r="I27" i="18"/>
  <c r="AU48" i="18"/>
  <c r="AR20" i="18"/>
  <c r="AX25" i="18"/>
  <c r="AU47" i="18"/>
  <c r="AN19" i="18"/>
  <c r="AQ43" i="18"/>
  <c r="AW35" i="18"/>
  <c r="AT32" i="18"/>
  <c r="AK35" i="18"/>
  <c r="AH48" i="18"/>
  <c r="AH39" i="18"/>
  <c r="I52" i="18"/>
  <c r="I28" i="18"/>
  <c r="C30" i="18"/>
  <c r="C83" i="18"/>
  <c r="C68" i="18"/>
  <c r="G85" i="18"/>
  <c r="G40" i="18"/>
  <c r="G73" i="18"/>
  <c r="G70" i="18"/>
  <c r="G46" i="18"/>
  <c r="G84" i="18"/>
  <c r="G21" i="18"/>
  <c r="G62" i="18"/>
  <c r="I20" i="18"/>
  <c r="G34" i="18"/>
  <c r="G51" i="18"/>
  <c r="G31" i="18"/>
  <c r="G43" i="18"/>
  <c r="G75" i="18"/>
  <c r="G54" i="18"/>
  <c r="G17" i="18"/>
  <c r="C21" i="18"/>
  <c r="G25" i="18"/>
  <c r="G50" i="18"/>
  <c r="G74" i="18"/>
  <c r="I39" i="18"/>
  <c r="C71" i="18"/>
  <c r="I85" i="18"/>
  <c r="C82" i="18"/>
  <c r="G47" i="18"/>
  <c r="I33" i="18"/>
  <c r="C29" i="18"/>
  <c r="G82" i="18"/>
  <c r="G26" i="18"/>
  <c r="I49" i="18"/>
  <c r="I69" i="18"/>
  <c r="C38" i="18"/>
  <c r="C60" i="18"/>
  <c r="C19" i="18"/>
  <c r="G15" i="18"/>
  <c r="G19" i="18"/>
  <c r="I57" i="18"/>
  <c r="C23" i="18"/>
  <c r="G38" i="18"/>
  <c r="I36" i="18"/>
  <c r="I81" i="18"/>
  <c r="G41" i="18"/>
  <c r="G52" i="18"/>
  <c r="I30" i="18"/>
  <c r="I79" i="18"/>
  <c r="C63" i="18"/>
  <c r="C49" i="18"/>
  <c r="G29" i="18"/>
  <c r="G16" i="18"/>
  <c r="I61" i="18"/>
  <c r="G66" i="18"/>
  <c r="I72" i="18"/>
  <c r="C47" i="18"/>
  <c r="C42" i="18"/>
  <c r="G53" i="18"/>
  <c r="I35" i="18"/>
  <c r="I50" i="18"/>
  <c r="C33" i="18"/>
  <c r="F41" i="18"/>
  <c r="F19" i="18"/>
  <c r="F67" i="18"/>
  <c r="F50" i="18"/>
  <c r="F32" i="18"/>
  <c r="F30" i="18"/>
  <c r="F85" i="18"/>
  <c r="F28" i="18"/>
  <c r="F16" i="18"/>
  <c r="F39" i="18"/>
  <c r="F36" i="18"/>
  <c r="I47" i="18"/>
  <c r="I46" i="18"/>
  <c r="F77" i="18"/>
  <c r="F23" i="18"/>
  <c r="F82" i="18"/>
  <c r="F21" i="18"/>
  <c r="F20" i="18"/>
  <c r="F72" i="18"/>
  <c r="F75" i="18"/>
  <c r="F80" i="18"/>
  <c r="I76" i="18"/>
  <c r="F64" i="18"/>
  <c r="F76" i="18"/>
  <c r="G36" i="18"/>
  <c r="G59" i="18"/>
  <c r="I80" i="18"/>
  <c r="I73" i="18"/>
  <c r="F69" i="18"/>
  <c r="F65" i="18"/>
  <c r="F59" i="18"/>
  <c r="F40" i="18"/>
  <c r="G33" i="18"/>
  <c r="G78" i="18"/>
  <c r="I48" i="18"/>
  <c r="I62" i="18"/>
  <c r="F27" i="18"/>
  <c r="F54" i="18"/>
  <c r="F62" i="18"/>
  <c r="F35" i="18"/>
  <c r="I83" i="18"/>
  <c r="G79" i="18"/>
  <c r="G56" i="18"/>
  <c r="I71" i="18"/>
  <c r="I51" i="18"/>
  <c r="F60" i="18"/>
  <c r="F37" i="18"/>
  <c r="F25" i="18"/>
  <c r="G24" i="18"/>
  <c r="G45" i="18"/>
  <c r="F56" i="18"/>
  <c r="F61" i="18"/>
  <c r="F44" i="18"/>
  <c r="G58" i="18"/>
  <c r="F42" i="18"/>
  <c r="F57" i="18"/>
  <c r="F33" i="18"/>
  <c r="I34" i="18"/>
  <c r="G28" i="18"/>
  <c r="G42" i="18"/>
  <c r="F71" i="18"/>
  <c r="F46" i="18"/>
  <c r="F47" i="18"/>
  <c r="G32" i="18"/>
  <c r="F43" i="18"/>
  <c r="F55" i="18"/>
  <c r="F26" i="18"/>
  <c r="G23" i="18"/>
  <c r="F18" i="18"/>
  <c r="F53" i="18"/>
  <c r="F17" i="18"/>
  <c r="F63" i="18"/>
  <c r="F83" i="18"/>
  <c r="I25" i="18"/>
  <c r="G61" i="18"/>
  <c r="G18" i="18"/>
  <c r="G35" i="18"/>
  <c r="G60" i="18"/>
  <c r="F51" i="18"/>
  <c r="F15" i="18"/>
  <c r="I60" i="18"/>
  <c r="F52" i="18"/>
  <c r="C17" i="18"/>
  <c r="C27" i="18"/>
  <c r="C28" i="18"/>
  <c r="C79" i="18"/>
  <c r="C50" i="18"/>
  <c r="C46" i="18"/>
  <c r="K14" i="18"/>
  <c r="L28" i="18" s="1"/>
  <c r="C15" i="18"/>
  <c r="I63" i="18"/>
  <c r="I84" i="18"/>
  <c r="G30" i="18"/>
  <c r="G64" i="18"/>
  <c r="G48" i="18"/>
  <c r="G80" i="18"/>
  <c r="G72" i="18"/>
  <c r="G57" i="18"/>
  <c r="G39" i="18"/>
  <c r="G49" i="18"/>
  <c r="C72" i="18"/>
  <c r="C59" i="18"/>
  <c r="C58" i="18"/>
  <c r="I68" i="18"/>
  <c r="I31" i="18"/>
  <c r="F24" i="18"/>
  <c r="F68" i="18"/>
  <c r="C39" i="18"/>
  <c r="C54" i="18"/>
  <c r="G81" i="18"/>
  <c r="G86" i="18"/>
  <c r="I58" i="18"/>
  <c r="I37" i="18"/>
  <c r="F38" i="18"/>
  <c r="F49" i="18"/>
  <c r="C61" i="18"/>
  <c r="C55" i="18"/>
  <c r="C84" i="18"/>
  <c r="G83" i="18"/>
  <c r="G69" i="18"/>
  <c r="G67" i="18"/>
  <c r="I29" i="18"/>
  <c r="I70" i="18"/>
  <c r="F86" i="18"/>
  <c r="F79" i="18"/>
  <c r="C31" i="18"/>
  <c r="C40" i="18"/>
  <c r="I66" i="18"/>
  <c r="I22" i="18"/>
  <c r="F78" i="18"/>
  <c r="F73" i="18"/>
  <c r="C35" i="18"/>
  <c r="C74" i="18"/>
  <c r="C62" i="18"/>
  <c r="I16" i="18"/>
  <c r="G77" i="18"/>
  <c r="G20" i="18"/>
  <c r="I82" i="18"/>
  <c r="I78" i="18"/>
  <c r="F29" i="18"/>
  <c r="F34" i="18"/>
  <c r="C34" i="18"/>
  <c r="C66" i="18"/>
  <c r="C51" i="18"/>
  <c r="C65" i="18"/>
  <c r="I75" i="18"/>
  <c r="C37" i="18"/>
  <c r="I21" i="18"/>
  <c r="I41" i="18"/>
  <c r="F70" i="18"/>
  <c r="C32" i="18"/>
  <c r="I53" i="18"/>
  <c r="I45" i="18"/>
  <c r="F58" i="18"/>
  <c r="F31" i="18"/>
  <c r="C48" i="18"/>
  <c r="C41" i="18"/>
  <c r="C70" i="18"/>
  <c r="C56" i="18"/>
  <c r="C16" i="18"/>
  <c r="C20" i="18"/>
  <c r="C64" i="18"/>
  <c r="C18" i="18"/>
  <c r="C44" i="18"/>
  <c r="C78" i="18"/>
  <c r="C80" i="18"/>
  <c r="C45" i="18"/>
  <c r="C75" i="18"/>
  <c r="G44" i="18"/>
  <c r="I19" i="18"/>
  <c r="G65" i="18"/>
  <c r="G55" i="18"/>
  <c r="I24" i="18"/>
  <c r="I86" i="18"/>
  <c r="F74" i="18"/>
  <c r="F22" i="18"/>
  <c r="C36" i="18"/>
  <c r="C22" i="18"/>
  <c r="C43" i="18"/>
  <c r="C25" i="18"/>
  <c r="I43" i="18"/>
  <c r="I38" i="18"/>
  <c r="I18" i="18"/>
  <c r="I56" i="18"/>
  <c r="F84" i="18"/>
  <c r="I17" i="18"/>
  <c r="G37" i="18"/>
  <c r="I74" i="18"/>
  <c r="I67" i="18"/>
  <c r="F66" i="18"/>
  <c r="F81" i="18"/>
  <c r="C77" i="18"/>
  <c r="C86" i="18"/>
  <c r="C24" i="18"/>
  <c r="C76" i="18"/>
  <c r="I54" i="18"/>
  <c r="C53" i="18"/>
  <c r="G22" i="18"/>
  <c r="G71" i="18"/>
  <c r="I15" i="18"/>
  <c r="G27" i="18"/>
  <c r="G76" i="18"/>
  <c r="I32" i="18"/>
  <c r="I42" i="18"/>
  <c r="F45" i="18"/>
  <c r="F48" i="18"/>
  <c r="C81" i="18"/>
  <c r="G15" i="19"/>
  <c r="G16" i="19"/>
  <c r="G18" i="19"/>
  <c r="G17" i="19"/>
  <c r="G19" i="19"/>
  <c r="V3" i="8" a="1"/>
  <c r="R3" i="8" a="1"/>
  <c r="R3" i="10" a="1"/>
  <c r="V3" i="14" a="1"/>
  <c r="Z3" i="12" a="1"/>
  <c r="Z3" i="14" a="1"/>
  <c r="AD3" i="12" a="1"/>
  <c r="V3" i="10" a="1"/>
  <c r="M3" i="1" a="1"/>
  <c r="T3" i="8" a="1"/>
  <c r="J3" i="9" a="1"/>
  <c r="J3" i="3" a="1"/>
  <c r="AB3" i="14" a="1"/>
  <c r="AF3" i="12" a="1"/>
  <c r="O3" i="2" a="1"/>
  <c r="T3" i="10" a="1"/>
  <c r="L3" i="3" a="1"/>
  <c r="J3" i="5" a="1"/>
  <c r="X3" i="12" a="1"/>
  <c r="AB3" i="12" a="1"/>
  <c r="V3" i="12" a="1"/>
  <c r="P3" i="10" a="1"/>
  <c r="L3" i="5" a="1"/>
  <c r="AD3" i="14" a="1"/>
  <c r="AF3" i="14" a="1"/>
  <c r="X3" i="14" a="1"/>
  <c r="P3" i="8" a="1"/>
  <c r="Q3" i="2" a="1"/>
  <c r="M3" i="2" a="1"/>
  <c r="L3" i="9" a="1"/>
  <c r="K3" i="1" a="1"/>
  <c r="B10" i="14" a="1"/>
  <c r="AY35" i="18" l="1"/>
  <c r="BC35" i="18" s="1"/>
  <c r="BT34" i="18" s="1"/>
  <c r="AY30" i="18"/>
  <c r="BC30" i="18" s="1"/>
  <c r="BT29" i="18" s="1"/>
  <c r="AY29" i="18"/>
  <c r="BC29" i="18" s="1"/>
  <c r="BT28" i="18" s="1"/>
  <c r="AY50" i="18"/>
  <c r="BC50" i="18" s="1"/>
  <c r="BT49" i="18" s="1"/>
  <c r="AY18" i="18"/>
  <c r="BC18" i="18" s="1"/>
  <c r="BT17" i="18" s="1"/>
  <c r="AY27" i="18"/>
  <c r="BC27" i="18" s="1"/>
  <c r="BT26" i="18" s="1"/>
  <c r="AY21" i="18"/>
  <c r="BC21" i="18" s="1"/>
  <c r="BT20" i="18" s="1"/>
  <c r="AY45" i="18"/>
  <c r="BC45" i="18" s="1"/>
  <c r="BT44" i="18" s="1"/>
  <c r="AY24" i="18"/>
  <c r="BC24" i="18" s="1"/>
  <c r="BT23" i="18" s="1"/>
  <c r="AY42" i="18"/>
  <c r="BC42" i="18" s="1"/>
  <c r="BT41" i="18" s="1"/>
  <c r="AY16" i="18"/>
  <c r="BC16" i="18" s="1"/>
  <c r="BT15" i="18" s="1"/>
  <c r="BV15" i="18" s="1"/>
  <c r="AY32" i="18"/>
  <c r="BC32" i="18" s="1"/>
  <c r="BT31" i="18" s="1"/>
  <c r="BV31" i="18" s="1"/>
  <c r="AY26" i="18"/>
  <c r="BC26" i="18" s="1"/>
  <c r="BT25" i="18" s="1"/>
  <c r="BV25" i="18" s="1"/>
  <c r="AY41" i="18"/>
  <c r="BC41" i="18" s="1"/>
  <c r="BT40" i="18" s="1"/>
  <c r="AY39" i="18"/>
  <c r="BC39" i="18" s="1"/>
  <c r="BT38" i="18" s="1"/>
  <c r="AY38" i="18"/>
  <c r="BC38" i="18" s="1"/>
  <c r="BT37" i="18" s="1"/>
  <c r="AY23" i="18"/>
  <c r="BC23" i="18" s="1"/>
  <c r="BT22" i="18" s="1"/>
  <c r="AY33" i="18"/>
  <c r="BC33" i="18" s="1"/>
  <c r="BT32" i="18" s="1"/>
  <c r="BV32" i="18" s="1"/>
  <c r="AY28" i="18"/>
  <c r="BC28" i="18" s="1"/>
  <c r="BT27" i="18" s="1"/>
  <c r="BV27" i="18" s="1"/>
  <c r="AY19" i="18"/>
  <c r="BC19" i="18" s="1"/>
  <c r="BT18" i="18" s="1"/>
  <c r="BV18" i="18" s="1"/>
  <c r="AY20" i="18"/>
  <c r="BC20" i="18" s="1"/>
  <c r="BT19" i="18" s="1"/>
  <c r="AY17" i="18"/>
  <c r="BC17" i="18" s="1"/>
  <c r="BT16" i="18" s="1"/>
  <c r="BV16" i="18" s="1"/>
  <c r="AY49" i="18"/>
  <c r="BC49" i="18" s="1"/>
  <c r="BT48" i="18" s="1"/>
  <c r="AY34" i="18"/>
  <c r="BC34" i="18" s="1"/>
  <c r="BT33" i="18" s="1"/>
  <c r="BV33" i="18" s="1"/>
  <c r="AY47" i="18"/>
  <c r="BC47" i="18" s="1"/>
  <c r="BT46" i="18" s="1"/>
  <c r="BV46" i="18" s="1"/>
  <c r="AY22" i="18"/>
  <c r="BC22" i="18" s="1"/>
  <c r="BT21" i="18" s="1"/>
  <c r="BV21" i="18" s="1"/>
  <c r="AY48" i="18"/>
  <c r="BC48" i="18" s="1"/>
  <c r="BT47" i="18" s="1"/>
  <c r="BV47" i="18" s="1"/>
  <c r="AY43" i="18"/>
  <c r="BC43" i="18" s="1"/>
  <c r="BT42" i="18" s="1"/>
  <c r="BV42" i="18" s="1"/>
  <c r="AY36" i="18"/>
  <c r="BC36" i="18" s="1"/>
  <c r="BT35" i="18" s="1"/>
  <c r="BV35" i="18" s="1"/>
  <c r="AY40" i="18"/>
  <c r="BC40" i="18" s="1"/>
  <c r="BT39" i="18" s="1"/>
  <c r="BV39" i="18" s="1"/>
  <c r="AY44" i="18"/>
  <c r="BC44" i="18" s="1"/>
  <c r="BT43" i="18" s="1"/>
  <c r="BV43" i="18" s="1"/>
  <c r="AY37" i="18"/>
  <c r="BC37" i="18" s="1"/>
  <c r="BT36" i="18" s="1"/>
  <c r="AY46" i="18"/>
  <c r="BC46" i="18" s="1"/>
  <c r="BT45" i="18" s="1"/>
  <c r="AY25" i="18"/>
  <c r="BC25" i="18" s="1"/>
  <c r="BT24" i="18" s="1"/>
  <c r="AY31" i="18"/>
  <c r="BC31" i="18" s="1"/>
  <c r="BT30" i="18" s="1"/>
  <c r="BV30" i="18" s="1"/>
  <c r="L57" i="18"/>
  <c r="L34" i="18"/>
  <c r="L62" i="18"/>
  <c r="L31" i="18"/>
  <c r="AY15" i="18"/>
  <c r="BC15" i="18" s="1"/>
  <c r="BT14" i="18" s="1"/>
  <c r="BV14" i="18" s="1"/>
  <c r="L64" i="18"/>
  <c r="L67" i="18"/>
  <c r="L76" i="18"/>
  <c r="L20" i="18"/>
  <c r="L36" i="18"/>
  <c r="L65" i="18"/>
  <c r="L22" i="18"/>
  <c r="L50" i="18"/>
  <c r="L16" i="18"/>
  <c r="L29" i="18"/>
  <c r="L25" i="18"/>
  <c r="L33" i="18"/>
  <c r="L71" i="18"/>
  <c r="L56" i="18"/>
  <c r="L60" i="18"/>
  <c r="L37" i="18"/>
  <c r="M15" i="18"/>
  <c r="M38" i="18"/>
  <c r="M63" i="18"/>
  <c r="M55" i="18"/>
  <c r="M79" i="18"/>
  <c r="M64" i="18"/>
  <c r="M47" i="18"/>
  <c r="M71" i="18"/>
  <c r="M80" i="18"/>
  <c r="M50" i="18"/>
  <c r="M52" i="18"/>
  <c r="M22" i="18"/>
  <c r="M74" i="18"/>
  <c r="M58" i="18"/>
  <c r="M65" i="18"/>
  <c r="M72" i="18"/>
  <c r="M16" i="18"/>
  <c r="M37" i="18"/>
  <c r="M68" i="18"/>
  <c r="M51" i="18"/>
  <c r="M29" i="18"/>
  <c r="M75" i="18"/>
  <c r="M20" i="18"/>
  <c r="M69" i="18"/>
  <c r="M56" i="18"/>
  <c r="M41" i="18"/>
  <c r="M28" i="18"/>
  <c r="N28" i="18" s="1"/>
  <c r="R28" i="18" s="1"/>
  <c r="M44" i="18"/>
  <c r="M83" i="18"/>
  <c r="M49" i="18"/>
  <c r="M39" i="18"/>
  <c r="M40" i="18"/>
  <c r="M24" i="18"/>
  <c r="M35" i="18"/>
  <c r="M42" i="18"/>
  <c r="M21" i="18"/>
  <c r="M45" i="18"/>
  <c r="M36" i="18"/>
  <c r="M81" i="18"/>
  <c r="M43" i="18"/>
  <c r="M59" i="18"/>
  <c r="M77" i="18"/>
  <c r="M70" i="18"/>
  <c r="M84" i="18"/>
  <c r="M57" i="18"/>
  <c r="M30" i="18"/>
  <c r="M54" i="18"/>
  <c r="M85" i="18"/>
  <c r="M61" i="18"/>
  <c r="M23" i="18"/>
  <c r="M26" i="18"/>
  <c r="M34" i="18"/>
  <c r="M62" i="18"/>
  <c r="M76" i="18"/>
  <c r="M17" i="18"/>
  <c r="M32" i="18"/>
  <c r="M33" i="18"/>
  <c r="M73" i="18"/>
  <c r="M18" i="18"/>
  <c r="M25" i="18"/>
  <c r="M66" i="18"/>
  <c r="M67" i="18"/>
  <c r="M82" i="18"/>
  <c r="M78" i="18"/>
  <c r="M86" i="18"/>
  <c r="M27" i="18"/>
  <c r="M19" i="18"/>
  <c r="M53" i="18"/>
  <c r="M46" i="18"/>
  <c r="M48" i="18"/>
  <c r="M60" i="18"/>
  <c r="M31" i="18"/>
  <c r="L17" i="18"/>
  <c r="L45" i="18"/>
  <c r="L70" i="18"/>
  <c r="L66" i="18"/>
  <c r="L41" i="18"/>
  <c r="L69" i="18"/>
  <c r="L49" i="18"/>
  <c r="L73" i="18"/>
  <c r="L39" i="18"/>
  <c r="L47" i="18"/>
  <c r="L23" i="18"/>
  <c r="L86" i="18"/>
  <c r="L83" i="18"/>
  <c r="L19" i="18"/>
  <c r="L82" i="18"/>
  <c r="L77" i="18"/>
  <c r="L84" i="18"/>
  <c r="L42" i="18"/>
  <c r="L51" i="18"/>
  <c r="L46" i="18"/>
  <c r="L38" i="18"/>
  <c r="L75" i="18"/>
  <c r="L52" i="18"/>
  <c r="L78" i="18"/>
  <c r="L15" i="18"/>
  <c r="L59" i="18"/>
  <c r="L21" i="18"/>
  <c r="L35" i="18"/>
  <c r="L74" i="18"/>
  <c r="L24" i="18"/>
  <c r="L40" i="18"/>
  <c r="L72" i="18"/>
  <c r="L48" i="18"/>
  <c r="L85" i="18"/>
  <c r="L61" i="18"/>
  <c r="L43" i="18"/>
  <c r="L79" i="18"/>
  <c r="L68" i="18"/>
  <c r="L54" i="18"/>
  <c r="L58" i="18"/>
  <c r="L63" i="18"/>
  <c r="L30" i="18"/>
  <c r="L18" i="18"/>
  <c r="L26" i="18"/>
  <c r="L44" i="18"/>
  <c r="L80" i="18"/>
  <c r="L53" i="18"/>
  <c r="L55" i="18"/>
  <c r="L32" i="18"/>
  <c r="L27" i="18"/>
  <c r="L81" i="18"/>
  <c r="V3" i="8"/>
  <c r="R3" i="8"/>
  <c r="R3" i="10"/>
  <c r="Z3" i="12"/>
  <c r="V3" i="14"/>
  <c r="AD3" i="12"/>
  <c r="Z3" i="14"/>
  <c r="M3" i="1"/>
  <c r="V3" i="10"/>
  <c r="T3" i="8"/>
  <c r="J3" i="9"/>
  <c r="T3" i="10"/>
  <c r="O3" i="2"/>
  <c r="AF3" i="12"/>
  <c r="AB3" i="14"/>
  <c r="J3" i="3"/>
  <c r="L3" i="3"/>
  <c r="AB3" i="12"/>
  <c r="X3" i="12"/>
  <c r="J3" i="5"/>
  <c r="P3" i="10"/>
  <c r="V3" i="12"/>
  <c r="AF3" i="14"/>
  <c r="AD3" i="14"/>
  <c r="L3" i="5"/>
  <c r="X3" i="14"/>
  <c r="Q3" i="2"/>
  <c r="P3" i="8"/>
  <c r="M3" i="2"/>
  <c r="K3" i="1"/>
  <c r="L3" i="9"/>
  <c r="B10" i="14"/>
  <c r="D10" i="12" a="1"/>
  <c r="BV19" i="18" l="1"/>
  <c r="BV37" i="18"/>
  <c r="BV23" i="18"/>
  <c r="BV26" i="18"/>
  <c r="BV44" i="18"/>
  <c r="BV17" i="18"/>
  <c r="BV48" i="18"/>
  <c r="BV22" i="18"/>
  <c r="BV40" i="18"/>
  <c r="BV49" i="18"/>
  <c r="BV28" i="18"/>
  <c r="BV41" i="18"/>
  <c r="BV20" i="18"/>
  <c r="BV24" i="18"/>
  <c r="BV29" i="18"/>
  <c r="BV38" i="18"/>
  <c r="BV45" i="18"/>
  <c r="BV34" i="18"/>
  <c r="BV36" i="18"/>
  <c r="BY10" i="18"/>
  <c r="N57" i="18"/>
  <c r="R57" i="18" s="1"/>
  <c r="BS20" i="18" s="1"/>
  <c r="BU20" i="18" s="1"/>
  <c r="BW20" i="18" s="1"/>
  <c r="N22" i="18"/>
  <c r="R22" i="18" s="1"/>
  <c r="N51" i="18"/>
  <c r="R51" i="18" s="1"/>
  <c r="BS14" i="18" s="1"/>
  <c r="BU14" i="18" s="1"/>
  <c r="BW14" i="18" s="1"/>
  <c r="N25" i="18"/>
  <c r="R25" i="18" s="1"/>
  <c r="N82" i="18"/>
  <c r="R82" i="18" s="1"/>
  <c r="BS45" i="18" s="1"/>
  <c r="N80" i="18"/>
  <c r="R80" i="18" s="1"/>
  <c r="BS43" i="18" s="1"/>
  <c r="BU43" i="18" s="1"/>
  <c r="BW43" i="18" s="1"/>
  <c r="N39" i="18"/>
  <c r="R39" i="18" s="1"/>
  <c r="N81" i="18"/>
  <c r="R81" i="18" s="1"/>
  <c r="BS44" i="18" s="1"/>
  <c r="N64" i="18"/>
  <c r="R64" i="18" s="1"/>
  <c r="BS27" i="18" s="1"/>
  <c r="N68" i="18"/>
  <c r="R68" i="18" s="1"/>
  <c r="BS31" i="18" s="1"/>
  <c r="BU31" i="18" s="1"/>
  <c r="BW31" i="18" s="1"/>
  <c r="N63" i="18"/>
  <c r="R63" i="18" s="1"/>
  <c r="BS26" i="18" s="1"/>
  <c r="BU26" i="18" s="1"/>
  <c r="BW26" i="18" s="1"/>
  <c r="N71" i="18"/>
  <c r="R71" i="18" s="1"/>
  <c r="BS34" i="18" s="1"/>
  <c r="BU34" i="18" s="1"/>
  <c r="BW34" i="18" s="1"/>
  <c r="N19" i="18"/>
  <c r="R19" i="18" s="1"/>
  <c r="N72" i="18"/>
  <c r="R72" i="18" s="1"/>
  <c r="BS35" i="18" s="1"/>
  <c r="N79" i="18"/>
  <c r="R79" i="18" s="1"/>
  <c r="BS42" i="18" s="1"/>
  <c r="N67" i="18"/>
  <c r="R67" i="18" s="1"/>
  <c r="BS30" i="18" s="1"/>
  <c r="N23" i="18"/>
  <c r="R23" i="18" s="1"/>
  <c r="N77" i="18"/>
  <c r="R77" i="18" s="1"/>
  <c r="BS40" i="18" s="1"/>
  <c r="N40" i="18"/>
  <c r="R40" i="18" s="1"/>
  <c r="N24" i="18"/>
  <c r="R24" i="18" s="1"/>
  <c r="N50" i="18"/>
  <c r="R50" i="18" s="1"/>
  <c r="BS13" i="18" s="1"/>
  <c r="N78" i="18"/>
  <c r="R78" i="18" s="1"/>
  <c r="BS41" i="18" s="1"/>
  <c r="BU41" i="18" s="1"/>
  <c r="BW41" i="18" s="1"/>
  <c r="N36" i="18"/>
  <c r="R36" i="18" s="1"/>
  <c r="N86" i="18"/>
  <c r="R86" i="18" s="1"/>
  <c r="BS49" i="18" s="1"/>
  <c r="N59" i="18"/>
  <c r="R59" i="18" s="1"/>
  <c r="BS22" i="18" s="1"/>
  <c r="N32" i="18"/>
  <c r="R32" i="18" s="1"/>
  <c r="N18" i="18"/>
  <c r="R18" i="18" s="1"/>
  <c r="N37" i="18"/>
  <c r="R37" i="18" s="1"/>
  <c r="N35" i="18"/>
  <c r="R35" i="18" s="1"/>
  <c r="N27" i="18"/>
  <c r="R27" i="18" s="1"/>
  <c r="N55" i="18"/>
  <c r="R55" i="18" s="1"/>
  <c r="BS18" i="18" s="1"/>
  <c r="BU18" i="18" s="1"/>
  <c r="BW18" i="18" s="1"/>
  <c r="N53" i="18"/>
  <c r="R53" i="18" s="1"/>
  <c r="BS16" i="18" s="1"/>
  <c r="BU16" i="18" s="1"/>
  <c r="BW16" i="18" s="1"/>
  <c r="N46" i="18"/>
  <c r="R46" i="18" s="1"/>
  <c r="N70" i="18"/>
  <c r="R70" i="18" s="1"/>
  <c r="BS33" i="18" s="1"/>
  <c r="N58" i="18"/>
  <c r="R58" i="18" s="1"/>
  <c r="BS21" i="18" s="1"/>
  <c r="BU21" i="18" s="1"/>
  <c r="BW21" i="18" s="1"/>
  <c r="N75" i="18"/>
  <c r="R75" i="18" s="1"/>
  <c r="BS38" i="18" s="1"/>
  <c r="N74" i="18"/>
  <c r="R74" i="18" s="1"/>
  <c r="BS37" i="18" s="1"/>
  <c r="N20" i="18"/>
  <c r="R20" i="18" s="1"/>
  <c r="N26" i="18"/>
  <c r="R26" i="18" s="1"/>
  <c r="N84" i="18"/>
  <c r="R84" i="18" s="1"/>
  <c r="BS47" i="18" s="1"/>
  <c r="BU47" i="18" s="1"/>
  <c r="BW47" i="18" s="1"/>
  <c r="N15" i="18"/>
  <c r="R15" i="18" s="1"/>
  <c r="N16" i="18"/>
  <c r="R16" i="18" s="1"/>
  <c r="N73" i="18"/>
  <c r="R73" i="18" s="1"/>
  <c r="BS36" i="18" s="1"/>
  <c r="N38" i="18"/>
  <c r="R38" i="18" s="1"/>
  <c r="N29" i="18"/>
  <c r="R29" i="18" s="1"/>
  <c r="N45" i="18"/>
  <c r="R45" i="18" s="1"/>
  <c r="N17" i="18"/>
  <c r="R17" i="18" s="1"/>
  <c r="N43" i="18"/>
  <c r="R43" i="18" s="1"/>
  <c r="N61" i="18"/>
  <c r="R61" i="18" s="1"/>
  <c r="BS24" i="18" s="1"/>
  <c r="N66" i="18"/>
  <c r="R66" i="18" s="1"/>
  <c r="BS29" i="18" s="1"/>
  <c r="N56" i="18"/>
  <c r="R56" i="18" s="1"/>
  <c r="BS19" i="18" s="1"/>
  <c r="N21" i="18"/>
  <c r="R21" i="18" s="1"/>
  <c r="N34" i="18"/>
  <c r="R34" i="18" s="1"/>
  <c r="N31" i="18"/>
  <c r="R31" i="18" s="1"/>
  <c r="N76" i="18"/>
  <c r="R76" i="18" s="1"/>
  <c r="BS39" i="18" s="1"/>
  <c r="N48" i="18"/>
  <c r="R48" i="18" s="1"/>
  <c r="N62" i="18"/>
  <c r="R62" i="18" s="1"/>
  <c r="BS25" i="18" s="1"/>
  <c r="BU25" i="18" s="1"/>
  <c r="BW25" i="18" s="1"/>
  <c r="N41" i="18"/>
  <c r="R41" i="18" s="1"/>
  <c r="N54" i="18"/>
  <c r="R54" i="18" s="1"/>
  <c r="BS17" i="18" s="1"/>
  <c r="N44" i="18"/>
  <c r="R44" i="18" s="1"/>
  <c r="N83" i="18"/>
  <c r="R83" i="18" s="1"/>
  <c r="BS46" i="18" s="1"/>
  <c r="N52" i="18"/>
  <c r="R52" i="18" s="1"/>
  <c r="BS15" i="18" s="1"/>
  <c r="N47" i="18"/>
  <c r="R47" i="18" s="1"/>
  <c r="N49" i="18"/>
  <c r="R49" i="18" s="1"/>
  <c r="N69" i="18"/>
  <c r="R69" i="18" s="1"/>
  <c r="BS32" i="18" s="1"/>
  <c r="N85" i="18"/>
  <c r="R85" i="18" s="1"/>
  <c r="BS48" i="18" s="1"/>
  <c r="N33" i="18"/>
  <c r="R33" i="18" s="1"/>
  <c r="N60" i="18"/>
  <c r="R60" i="18" s="1"/>
  <c r="BS23" i="18" s="1"/>
  <c r="BU23" i="18" s="1"/>
  <c r="BW23" i="18" s="1"/>
  <c r="N30" i="18"/>
  <c r="R30" i="18" s="1"/>
  <c r="N42" i="18"/>
  <c r="R42" i="18" s="1"/>
  <c r="N65" i="18"/>
  <c r="R65" i="18" s="1"/>
  <c r="BS28" i="18" s="1"/>
  <c r="D10" i="12"/>
  <c r="D10" i="10" a="1"/>
  <c r="BU44" i="18" l="1"/>
  <c r="BW44" i="18" s="1"/>
  <c r="BZ14" i="18"/>
  <c r="BZ17" i="18"/>
  <c r="BZ18" i="18"/>
  <c r="BZ34" i="18"/>
  <c r="BZ49" i="18"/>
  <c r="BZ33" i="18"/>
  <c r="BZ47" i="18"/>
  <c r="BZ48" i="18"/>
  <c r="BU35" i="18"/>
  <c r="BW35" i="18" s="1"/>
  <c r="BU45" i="18"/>
  <c r="BW45" i="18" s="1"/>
  <c r="BU32" i="18"/>
  <c r="BW32" i="18" s="1"/>
  <c r="BU46" i="18"/>
  <c r="BW46" i="18" s="1"/>
  <c r="BU22" i="18"/>
  <c r="BW22" i="18" s="1"/>
  <c r="BU27" i="18"/>
  <c r="BW27" i="18" s="1"/>
  <c r="BU48" i="18"/>
  <c r="BW48" i="18" s="1"/>
  <c r="BU15" i="18"/>
  <c r="BW15" i="18" s="1"/>
  <c r="BZ32" i="18" s="1"/>
  <c r="BU17" i="18"/>
  <c r="BW17" i="18" s="1"/>
  <c r="BU29" i="18"/>
  <c r="BW29" i="18" s="1"/>
  <c r="BU19" i="18"/>
  <c r="BW19" i="18" s="1"/>
  <c r="BZ44" i="18" s="1"/>
  <c r="BU36" i="18"/>
  <c r="BW36" i="18" s="1"/>
  <c r="BU28" i="18"/>
  <c r="BW28" i="18" s="1"/>
  <c r="BU37" i="18"/>
  <c r="BW37" i="18" s="1"/>
  <c r="BU49" i="18"/>
  <c r="BW49" i="18" s="1"/>
  <c r="BX10" i="18"/>
  <c r="BY11" i="18" s="1"/>
  <c r="BU30" i="18"/>
  <c r="BW30" i="18" s="1"/>
  <c r="BU38" i="18"/>
  <c r="BW38" i="18" s="1"/>
  <c r="BU33" i="18"/>
  <c r="BW33" i="18" s="1"/>
  <c r="BU39" i="18"/>
  <c r="BW39" i="18" s="1"/>
  <c r="BU40" i="18"/>
  <c r="BW40" i="18" s="1"/>
  <c r="BU24" i="18"/>
  <c r="BW24" i="18" s="1"/>
  <c r="BZ42" i="18" s="1"/>
  <c r="BU42" i="18"/>
  <c r="BW42" i="18" s="1"/>
  <c r="D10" i="10"/>
  <c r="E10" i="8" a="1"/>
  <c r="BZ27" i="18" l="1"/>
  <c r="BZ30" i="18"/>
  <c r="BZ28" i="18"/>
  <c r="BZ36" i="18"/>
  <c r="BZ43" i="18"/>
  <c r="BZ23" i="18"/>
  <c r="BZ25" i="18"/>
  <c r="BZ37" i="18"/>
  <c r="BZ35" i="18"/>
  <c r="BZ39" i="18"/>
  <c r="BZ45" i="18"/>
  <c r="BZ41" i="18"/>
  <c r="BZ22" i="18"/>
  <c r="BZ29" i="18"/>
  <c r="BZ24" i="18"/>
  <c r="BZ31" i="18"/>
  <c r="BZ20" i="18"/>
  <c r="BZ46" i="18"/>
  <c r="BZ26" i="18"/>
  <c r="BZ21" i="18"/>
  <c r="BZ40" i="18"/>
  <c r="BZ15" i="18"/>
  <c r="BZ19" i="18"/>
  <c r="BZ38" i="18"/>
  <c r="BZ16" i="18"/>
  <c r="BX18" i="18"/>
  <c r="BX34" i="18"/>
  <c r="BX36" i="18"/>
  <c r="BX21" i="18"/>
  <c r="BX22" i="18"/>
  <c r="BX23" i="18"/>
  <c r="BX43" i="18"/>
  <c r="BX44" i="18"/>
  <c r="BX45" i="18"/>
  <c r="BX14" i="18"/>
  <c r="BX30" i="18"/>
  <c r="BX46" i="18"/>
  <c r="BX15" i="18"/>
  <c r="BX31" i="18"/>
  <c r="BX47" i="18"/>
  <c r="BX16" i="18"/>
  <c r="BX32" i="18"/>
  <c r="BX48" i="18"/>
  <c r="BX17" i="18"/>
  <c r="BX33" i="18"/>
  <c r="BX49" i="18"/>
  <c r="BX13" i="18"/>
  <c r="BX19" i="18"/>
  <c r="BX35" i="18"/>
  <c r="BX20" i="18"/>
  <c r="BX37" i="18"/>
  <c r="BX38" i="18"/>
  <c r="BX39" i="18"/>
  <c r="BX24" i="18"/>
  <c r="BX41" i="18"/>
  <c r="BX42" i="18"/>
  <c r="BX40" i="18"/>
  <c r="BX25" i="18"/>
  <c r="BX26" i="18"/>
  <c r="BX27" i="18"/>
  <c r="BX28" i="18"/>
  <c r="BX29" i="18"/>
  <c r="E10" i="8"/>
  <c r="E10" i="10" a="1"/>
  <c r="CA37" i="18" l="1"/>
  <c r="CA41" i="18"/>
  <c r="CA26" i="18"/>
  <c r="CA20" i="18"/>
  <c r="CA22" i="18"/>
  <c r="CA38" i="18"/>
  <c r="CA40" i="18"/>
  <c r="CA25" i="18"/>
  <c r="CA27" i="18"/>
  <c r="CA44" i="18"/>
  <c r="CA29" i="18"/>
  <c r="CA45" i="18"/>
  <c r="CA31" i="18"/>
  <c r="CA36" i="18"/>
  <c r="CA21" i="18"/>
  <c r="CA23" i="18"/>
  <c r="CA39" i="18"/>
  <c r="CA24" i="18"/>
  <c r="CA42" i="18"/>
  <c r="CA43" i="18"/>
  <c r="CA28" i="18"/>
  <c r="CA14" i="18"/>
  <c r="CA35" i="18"/>
  <c r="CA34" i="18"/>
  <c r="CA16" i="18"/>
  <c r="CA30" i="18"/>
  <c r="CA33" i="18"/>
  <c r="CA48" i="18"/>
  <c r="CA17" i="18"/>
  <c r="CA46" i="18"/>
  <c r="CA32" i="18"/>
  <c r="CA47" i="18"/>
  <c r="CA19" i="18"/>
  <c r="CA49" i="18"/>
  <c r="CA18" i="18"/>
  <c r="CA13" i="18"/>
  <c r="CA15" i="18"/>
  <c r="E10" i="10"/>
  <c r="B10" i="2" a="1"/>
  <c r="B10" i="2"/>
  <c r="D10" i="2" a="1"/>
  <c r="D10" i="2"/>
  <c r="E10" i="14" a="1"/>
  <c r="E10" i="14"/>
  <c r="G10" i="12" a="1"/>
  <c r="G10" i="12"/>
  <c r="B10" i="3" a="1"/>
  <c r="B10" i="3"/>
  <c r="C10" i="9" a="1"/>
  <c r="C10" i="9"/>
  <c r="B10" i="9" a="1"/>
  <c r="B10" i="9"/>
  <c r="C10" i="8" a="1"/>
  <c r="C10" i="8"/>
  <c r="B10" i="12" a="1"/>
  <c r="B10" i="12"/>
  <c r="E10" i="12" a="1"/>
  <c r="E10" i="12"/>
  <c r="C10" i="12" a="1"/>
  <c r="C10" i="12"/>
  <c r="C10" i="10" a="1"/>
  <c r="C10" i="10"/>
  <c r="B10" i="10" a="1"/>
  <c r="B10" i="10"/>
  <c r="B10" i="8" a="1"/>
  <c r="B10" i="8"/>
  <c r="B10" i="5" a="1"/>
  <c r="B10" i="5"/>
  <c r="C10" i="2" a="1"/>
  <c r="C10" i="2"/>
  <c r="G10" i="14" a="1"/>
  <c r="G10" i="14"/>
  <c r="D10" i="8" a="1"/>
  <c r="D10" i="8"/>
  <c r="D10" i="14" a="1"/>
  <c r="D10" i="14"/>
  <c r="F10" i="12" a="1"/>
  <c r="F10" i="12"/>
  <c r="C10" i="5" a="1"/>
  <c r="C10" i="5"/>
  <c r="F10" i="14" a="1"/>
  <c r="F10" i="14"/>
  <c r="B10" i="1" a="1"/>
  <c r="B10" i="1"/>
  <c r="C10" i="1" a="1"/>
  <c r="C10" i="1"/>
  <c r="C10" i="14" a="1"/>
  <c r="C10" i="14"/>
  <c r="C10" i="3" a="1"/>
  <c r="C10" i="3"/>
  <c r="C19" i="17"/>
  <c r="D19" i="17"/>
  <c r="C20" i="17"/>
  <c r="D20" i="17"/>
  <c r="D29" i="14"/>
  <c r="G29" i="14"/>
  <c r="J29" i="14"/>
  <c r="M29" i="14"/>
  <c r="P29" i="14"/>
  <c r="S29" i="14"/>
  <c r="D30" i="14"/>
  <c r="G30" i="14"/>
  <c r="J30" i="14"/>
  <c r="M30" i="14"/>
  <c r="P30" i="14"/>
  <c r="S30" i="14"/>
  <c r="D37" i="12"/>
  <c r="G37" i="12"/>
  <c r="J37" i="12"/>
  <c r="M37" i="12"/>
  <c r="P37" i="12"/>
  <c r="S37" i="12"/>
  <c r="D38" i="12"/>
  <c r="G38" i="12"/>
  <c r="J38" i="12"/>
  <c r="M38" i="12"/>
  <c r="P38" i="12"/>
  <c r="S38" i="12"/>
  <c r="D21" i="10"/>
  <c r="G21" i="10"/>
  <c r="J21" i="10"/>
  <c r="M21" i="10"/>
  <c r="D22" i="10"/>
  <c r="G22" i="10"/>
  <c r="J22" i="10"/>
  <c r="M22" i="10"/>
  <c r="D23" i="9"/>
  <c r="G23" i="9"/>
  <c r="D24" i="9"/>
  <c r="G24" i="9"/>
  <c r="D25" i="8"/>
  <c r="G25" i="8"/>
  <c r="J25" i="8"/>
  <c r="M25" i="8"/>
  <c r="D26" i="8"/>
  <c r="G26" i="8"/>
  <c r="J26" i="8"/>
  <c r="M26" i="8"/>
  <c r="D26" i="5"/>
  <c r="G26" i="5"/>
  <c r="D27" i="5"/>
  <c r="G27" i="5"/>
  <c r="J31" i="2"/>
  <c r="D29" i="3"/>
  <c r="G29" i="3"/>
  <c r="D30" i="3"/>
  <c r="G30" i="3"/>
  <c r="D30" i="2"/>
  <c r="G30" i="2"/>
  <c r="J30" i="2"/>
  <c r="G31" i="2"/>
  <c r="D31" i="2"/>
  <c r="E46" i="1"/>
  <c r="H46" i="1"/>
  <c r="E47" i="1"/>
  <c r="H47" i="1"/>
  <c r="B30" i="2" l="1"/>
  <c r="C30" i="2" s="1"/>
  <c r="K21" i="10"/>
  <c r="L21" i="10" s="1"/>
  <c r="N37" i="12"/>
  <c r="O37" i="12" s="1"/>
  <c r="E30" i="2"/>
  <c r="F30" i="2" s="1"/>
  <c r="K37" i="12"/>
  <c r="L37" i="12" s="1"/>
  <c r="E37" i="12"/>
  <c r="F37" i="12" s="1"/>
  <c r="B46" i="1"/>
  <c r="C46" i="1" s="1"/>
  <c r="D46" i="1" s="1"/>
  <c r="E26" i="5"/>
  <c r="F26" i="5" s="1"/>
  <c r="H29" i="14"/>
  <c r="I29" i="14" s="1"/>
  <c r="Q37" i="12"/>
  <c r="R37" i="12" s="1"/>
  <c r="E25" i="8"/>
  <c r="F25" i="8" s="1"/>
  <c r="E23" i="9"/>
  <c r="F23" i="9" s="1"/>
  <c r="B21" i="10"/>
  <c r="C21" i="10" s="1"/>
  <c r="H25" i="8"/>
  <c r="I25" i="8" s="1"/>
  <c r="B26" i="5"/>
  <c r="C26" i="5" s="1"/>
  <c r="K29" i="14"/>
  <c r="L29" i="14" s="1"/>
  <c r="E29" i="3"/>
  <c r="F29" i="3" s="1"/>
  <c r="K25" i="8"/>
  <c r="L25" i="8" s="1"/>
  <c r="H30" i="2"/>
  <c r="I30" i="2" s="1"/>
  <c r="F46" i="1"/>
  <c r="G46" i="1" s="1"/>
  <c r="E21" i="10"/>
  <c r="F21" i="10" s="1"/>
  <c r="N29" i="14"/>
  <c r="O29" i="14" s="1"/>
  <c r="H21" i="10"/>
  <c r="I21" i="10" s="1"/>
  <c r="Q29" i="14"/>
  <c r="R29" i="14" s="1"/>
  <c r="H37" i="12"/>
  <c r="I37" i="12" s="1"/>
  <c r="B29" i="14"/>
  <c r="C29" i="14" s="1"/>
  <c r="B29" i="3"/>
  <c r="C29" i="3" s="1"/>
  <c r="B37" i="12"/>
  <c r="C37" i="12" s="1"/>
  <c r="E29" i="14"/>
  <c r="F29" i="14" s="1"/>
  <c r="B23" i="9"/>
  <c r="C23" i="9" s="1"/>
  <c r="B25" i="8"/>
  <c r="C25" i="8" s="1"/>
  <c r="F47" i="1"/>
  <c r="G47" i="1" s="1"/>
  <c r="H29" i="3" l="1"/>
  <c r="T37" i="12"/>
  <c r="H26" i="5"/>
  <c r="H23" i="9"/>
  <c r="B26" i="8"/>
  <c r="C26" i="8" s="1"/>
  <c r="K38" i="12"/>
  <c r="L38" i="12" s="1"/>
  <c r="K22" i="10"/>
  <c r="L22" i="10" s="1"/>
  <c r="Q30" i="14"/>
  <c r="R30" i="14" s="1"/>
  <c r="E38" i="12"/>
  <c r="F38" i="12" s="1"/>
  <c r="E30" i="14"/>
  <c r="F30" i="14" s="1"/>
  <c r="H31" i="2"/>
  <c r="I31" i="2" s="1"/>
  <c r="B31" i="2"/>
  <c r="C31" i="2" s="1"/>
  <c r="H26" i="8"/>
  <c r="I26" i="8" s="1"/>
  <c r="H38" i="12"/>
  <c r="I38" i="12" s="1"/>
  <c r="B38" i="12"/>
  <c r="C38" i="12" s="1"/>
  <c r="B30" i="14"/>
  <c r="C30" i="14" s="1"/>
  <c r="E26" i="8"/>
  <c r="F26" i="8" s="1"/>
  <c r="E22" i="10"/>
  <c r="F22" i="10" s="1"/>
  <c r="B27" i="5"/>
  <c r="C27" i="5" s="1"/>
  <c r="B24" i="9"/>
  <c r="C24" i="9" s="1"/>
  <c r="B22" i="10"/>
  <c r="C22" i="10" s="1"/>
  <c r="H22" i="10"/>
  <c r="I22" i="10" s="1"/>
  <c r="E24" i="9"/>
  <c r="F24" i="9" s="1"/>
  <c r="N30" i="14"/>
  <c r="O30" i="14" s="1"/>
  <c r="N38" i="12"/>
  <c r="O38" i="12" s="1"/>
  <c r="E30" i="3"/>
  <c r="F30" i="3" s="1"/>
  <c r="H30" i="14"/>
  <c r="I30" i="14" s="1"/>
  <c r="E27" i="5"/>
  <c r="F27" i="5" s="1"/>
  <c r="K26" i="8"/>
  <c r="L26" i="8" s="1"/>
  <c r="B47" i="1"/>
  <c r="C47" i="1" s="1"/>
  <c r="D47" i="1" s="1"/>
  <c r="I47" i="1" s="1"/>
  <c r="B30" i="3"/>
  <c r="C30" i="3" s="1"/>
  <c r="H30" i="3" s="1"/>
  <c r="Q38" i="12"/>
  <c r="R38" i="12" s="1"/>
  <c r="K30" i="14"/>
  <c r="L30" i="14" s="1"/>
  <c r="E31" i="2"/>
  <c r="F31" i="2" s="1"/>
  <c r="N21" i="10"/>
  <c r="T29" i="14"/>
  <c r="N25" i="8"/>
  <c r="E15" i="3"/>
  <c r="H17" i="10"/>
  <c r="H18" i="10"/>
  <c r="H19" i="10"/>
  <c r="H20" i="10"/>
  <c r="H15" i="10"/>
  <c r="H16" i="10"/>
  <c r="B15" i="1"/>
  <c r="B19" i="1"/>
  <c r="B26" i="1"/>
  <c r="B32" i="1"/>
  <c r="B34" i="1"/>
  <c r="B36" i="1"/>
  <c r="B43" i="1"/>
  <c r="B35" i="1"/>
  <c r="B44" i="1"/>
  <c r="B41" i="1"/>
  <c r="B30" i="1"/>
  <c r="B20" i="1"/>
  <c r="B29" i="1"/>
  <c r="B16" i="1"/>
  <c r="B38" i="1"/>
  <c r="B17" i="1"/>
  <c r="B18" i="1"/>
  <c r="B24" i="1"/>
  <c r="B31" i="1"/>
  <c r="B39" i="1"/>
  <c r="B25" i="1"/>
  <c r="B42" i="1"/>
  <c r="B21" i="1"/>
  <c r="B22" i="1"/>
  <c r="B23" i="1"/>
  <c r="B28" i="1"/>
  <c r="B33" i="1"/>
  <c r="B37" i="1"/>
  <c r="B18" i="2"/>
  <c r="B22" i="2"/>
  <c r="B25" i="2"/>
  <c r="E19" i="5"/>
  <c r="E20" i="8"/>
  <c r="E18" i="8"/>
  <c r="E21" i="8"/>
  <c r="N28" i="12"/>
  <c r="E30" i="12"/>
  <c r="B22" i="8"/>
  <c r="H16" i="8"/>
  <c r="H17" i="8"/>
  <c r="H18" i="8"/>
  <c r="H19" i="8"/>
  <c r="H20" i="8"/>
  <c r="H21" i="8"/>
  <c r="H23" i="8"/>
  <c r="H24" i="8"/>
  <c r="H22" i="8"/>
  <c r="H15" i="8"/>
  <c r="F36" i="1"/>
  <c r="F41" i="1"/>
  <c r="F45" i="1"/>
  <c r="F40" i="1"/>
  <c r="F42" i="1"/>
  <c r="F43" i="1"/>
  <c r="F27" i="1"/>
  <c r="F22" i="1"/>
  <c r="F17" i="1"/>
  <c r="F23" i="1"/>
  <c r="F28" i="1"/>
  <c r="F20" i="1"/>
  <c r="F21" i="1"/>
  <c r="F25" i="1"/>
  <c r="F31" i="1"/>
  <c r="F34" i="1"/>
  <c r="F35" i="1"/>
  <c r="F26" i="1"/>
  <c r="F18" i="1"/>
  <c r="F19" i="1"/>
  <c r="F29" i="1"/>
  <c r="E18" i="2"/>
  <c r="E24" i="2"/>
  <c r="E25" i="2"/>
  <c r="E27" i="2"/>
  <c r="E28" i="2"/>
  <c r="E19" i="2"/>
  <c r="E15" i="2"/>
  <c r="E16" i="2"/>
  <c r="E26" i="2"/>
  <c r="E20" i="2"/>
  <c r="E23" i="2"/>
  <c r="E29" i="2"/>
  <c r="H24" i="2"/>
  <c r="H26" i="2"/>
  <c r="H17" i="2"/>
  <c r="H19" i="2"/>
  <c r="H21" i="2"/>
  <c r="H23" i="2"/>
  <c r="H25" i="2"/>
  <c r="H22" i="2"/>
  <c r="H16" i="2"/>
  <c r="H18" i="2"/>
  <c r="H27" i="2"/>
  <c r="H28" i="2"/>
  <c r="H15" i="2"/>
  <c r="H29" i="2"/>
  <c r="H20" i="2"/>
  <c r="B28" i="3"/>
  <c r="B17" i="3"/>
  <c r="B24" i="3"/>
  <c r="B15" i="3"/>
  <c r="B20" i="3"/>
  <c r="B22" i="3"/>
  <c r="B23" i="3"/>
  <c r="K21" i="8"/>
  <c r="K24" i="8"/>
  <c r="B22" i="5"/>
  <c r="Q36" i="12"/>
  <c r="K26" i="12"/>
  <c r="H23" i="12"/>
  <c r="E18" i="9"/>
  <c r="E21" i="9"/>
  <c r="E16" i="9"/>
  <c r="E19" i="9"/>
  <c r="E22" i="9"/>
  <c r="E17" i="9"/>
  <c r="E20" i="9"/>
  <c r="E15" i="9"/>
  <c r="B16" i="9"/>
  <c r="B15" i="9"/>
  <c r="B17" i="9"/>
  <c r="B18" i="9"/>
  <c r="B20" i="9"/>
  <c r="B19" i="9"/>
  <c r="B22" i="9"/>
  <c r="B21" i="9"/>
  <c r="B18" i="10"/>
  <c r="B20" i="10"/>
  <c r="B15" i="10"/>
  <c r="E16" i="10"/>
  <c r="E20" i="10"/>
  <c r="E15" i="10"/>
  <c r="E17" i="10"/>
  <c r="E18" i="10"/>
  <c r="E19" i="10"/>
  <c r="K16" i="10"/>
  <c r="B29" i="12"/>
  <c r="B33" i="12"/>
  <c r="B19" i="12"/>
  <c r="B22" i="12"/>
  <c r="B28" i="12"/>
  <c r="B30" i="12"/>
  <c r="B31" i="12"/>
  <c r="B36" i="12"/>
  <c r="H29" i="12"/>
  <c r="H19" i="12"/>
  <c r="H20" i="12"/>
  <c r="H34" i="12"/>
  <c r="H31" i="12"/>
  <c r="H35" i="12"/>
  <c r="H36" i="12"/>
  <c r="H22" i="12"/>
  <c r="H28" i="12"/>
  <c r="K29" i="12"/>
  <c r="K30" i="12"/>
  <c r="K22" i="12"/>
  <c r="K24" i="12"/>
  <c r="K25" i="12"/>
  <c r="K31" i="12"/>
  <c r="K15" i="12"/>
  <c r="K17" i="12"/>
  <c r="E36" i="12"/>
  <c r="E16" i="12"/>
  <c r="E27" i="12"/>
  <c r="E19" i="12"/>
  <c r="E23" i="12"/>
  <c r="E29" i="12"/>
  <c r="E32" i="12"/>
  <c r="E17" i="12"/>
  <c r="E28" i="12"/>
  <c r="E31" i="12"/>
  <c r="E35" i="12"/>
  <c r="E24" i="12"/>
  <c r="Q21" i="12"/>
  <c r="Q23" i="12"/>
  <c r="Q28" i="12"/>
  <c r="Q30" i="12"/>
  <c r="Q34" i="12"/>
  <c r="Q16" i="12"/>
  <c r="Q22" i="12"/>
  <c r="Q25" i="12"/>
  <c r="Q26" i="12"/>
  <c r="Q27" i="12"/>
  <c r="Q19" i="12"/>
  <c r="Q24" i="12"/>
  <c r="Q17" i="12"/>
  <c r="N20" i="12"/>
  <c r="N26" i="12"/>
  <c r="N34" i="12"/>
  <c r="N17" i="12"/>
  <c r="N27" i="12"/>
  <c r="N29" i="12"/>
  <c r="N16" i="12"/>
  <c r="N18" i="12"/>
  <c r="N19" i="12"/>
  <c r="N22" i="12"/>
  <c r="N24" i="12"/>
  <c r="N25" i="12"/>
  <c r="N23" i="12"/>
  <c r="N31" i="12"/>
  <c r="N32" i="12"/>
  <c r="E20" i="12"/>
  <c r="H16" i="12"/>
  <c r="B17" i="12"/>
  <c r="N22" i="10" l="1"/>
  <c r="H24" i="9"/>
  <c r="H27" i="5"/>
  <c r="K31" i="2"/>
  <c r="T30" i="14"/>
  <c r="T38" i="12"/>
  <c r="N26" i="8"/>
  <c r="K17" i="8"/>
  <c r="B20" i="2"/>
  <c r="E25" i="5"/>
  <c r="K19" i="12"/>
  <c r="B21" i="2"/>
  <c r="H27" i="12"/>
  <c r="B18" i="3"/>
  <c r="F37" i="1"/>
  <c r="B17" i="2"/>
  <c r="B15" i="5"/>
  <c r="B16" i="3"/>
  <c r="F24" i="1"/>
  <c r="B27" i="2"/>
  <c r="B21" i="5"/>
  <c r="B17" i="5"/>
  <c r="E16" i="8"/>
  <c r="B17" i="10"/>
  <c r="B23" i="5"/>
  <c r="B19" i="3"/>
  <c r="F39" i="1"/>
  <c r="E15" i="8"/>
  <c r="B23" i="2"/>
  <c r="E23" i="8"/>
  <c r="B16" i="5"/>
  <c r="H33" i="12"/>
  <c r="B19" i="10"/>
  <c r="B20" i="5"/>
  <c r="E19" i="8"/>
  <c r="B29" i="2"/>
  <c r="E22" i="12"/>
  <c r="H30" i="12"/>
  <c r="B16" i="10"/>
  <c r="B25" i="5"/>
  <c r="F32" i="1"/>
  <c r="E24" i="8"/>
  <c r="B26" i="2"/>
  <c r="N21" i="12"/>
  <c r="E21" i="12"/>
  <c r="B24" i="5"/>
  <c r="F30" i="1"/>
  <c r="E22" i="8"/>
  <c r="B16" i="2"/>
  <c r="B19" i="5"/>
  <c r="B18" i="5"/>
  <c r="E17" i="8"/>
  <c r="K18" i="12"/>
  <c r="K18" i="8"/>
  <c r="E24" i="5"/>
  <c r="E20" i="5"/>
  <c r="E24" i="3"/>
  <c r="E22" i="3"/>
  <c r="K16" i="8"/>
  <c r="E28" i="3"/>
  <c r="E27" i="3"/>
  <c r="E25" i="3"/>
  <c r="K22" i="8"/>
  <c r="F16" i="1"/>
  <c r="B21" i="8"/>
  <c r="E18" i="5"/>
  <c r="E23" i="3"/>
  <c r="K19" i="8"/>
  <c r="B20" i="8"/>
  <c r="E17" i="5"/>
  <c r="E17" i="3"/>
  <c r="K15" i="8"/>
  <c r="E23" i="5"/>
  <c r="K21" i="12"/>
  <c r="K35" i="12"/>
  <c r="E16" i="3"/>
  <c r="E21" i="3"/>
  <c r="E15" i="5"/>
  <c r="B24" i="8"/>
  <c r="K33" i="12"/>
  <c r="B23" i="8"/>
  <c r="Q32" i="12"/>
  <c r="K36" i="12"/>
  <c r="Q15" i="12"/>
  <c r="K20" i="12"/>
  <c r="Q35" i="12"/>
  <c r="E21" i="2"/>
  <c r="F38" i="1"/>
  <c r="B17" i="8"/>
  <c r="B28" i="2"/>
  <c r="N33" i="12"/>
  <c r="Q31" i="12"/>
  <c r="K32" i="12"/>
  <c r="K17" i="10"/>
  <c r="B26" i="3"/>
  <c r="E22" i="2"/>
  <c r="F33" i="1"/>
  <c r="B15" i="8"/>
  <c r="B19" i="2"/>
  <c r="B45" i="1"/>
  <c r="E20" i="3"/>
  <c r="K20" i="8"/>
  <c r="K23" i="8"/>
  <c r="K18" i="10"/>
  <c r="K15" i="10"/>
  <c r="B21" i="3"/>
  <c r="B18" i="8"/>
  <c r="K19" i="10"/>
  <c r="B25" i="3"/>
  <c r="E17" i="2"/>
  <c r="F15" i="1"/>
  <c r="B19" i="8"/>
  <c r="B15" i="2"/>
  <c r="B40" i="1"/>
  <c r="E19" i="3"/>
  <c r="K23" i="12"/>
  <c r="E22" i="5"/>
  <c r="E21" i="5"/>
  <c r="K20" i="10"/>
  <c r="E16" i="5"/>
  <c r="K34" i="12"/>
  <c r="B27" i="3"/>
  <c r="N30" i="12"/>
  <c r="E15" i="12"/>
  <c r="K28" i="12"/>
  <c r="K27" i="12"/>
  <c r="F44" i="1"/>
  <c r="B16" i="8"/>
  <c r="B24" i="2"/>
  <c r="E18" i="3"/>
  <c r="E26" i="3"/>
  <c r="B26" i="12"/>
  <c r="B23" i="12"/>
  <c r="B20" i="12"/>
  <c r="B16" i="12"/>
  <c r="B35" i="12"/>
  <c r="B34" i="12"/>
  <c r="B32" i="12"/>
  <c r="B18" i="12"/>
  <c r="E26" i="12"/>
  <c r="Q20" i="12"/>
  <c r="N15" i="12"/>
  <c r="Q33" i="12"/>
  <c r="N36" i="12"/>
  <c r="Q29" i="12"/>
  <c r="E18" i="12"/>
  <c r="H24" i="12"/>
  <c r="B27" i="12"/>
  <c r="H32" i="12"/>
  <c r="E25" i="12"/>
  <c r="H25" i="12"/>
  <c r="N35" i="12"/>
  <c r="Q18" i="12"/>
  <c r="K16" i="12"/>
  <c r="H21" i="12"/>
  <c r="B25" i="12"/>
  <c r="H18" i="12"/>
  <c r="B24" i="12"/>
  <c r="E34" i="12"/>
  <c r="H17" i="12"/>
  <c r="B21" i="12"/>
  <c r="E33" i="12"/>
  <c r="H15" i="12"/>
  <c r="B15" i="12"/>
  <c r="H26" i="12"/>
  <c r="Q14" i="12" l="1"/>
  <c r="N14" i="12"/>
  <c r="K14" i="12"/>
  <c r="E14" i="12"/>
  <c r="E6" i="12" l="1"/>
  <c r="C6" i="12"/>
  <c r="G5" i="12"/>
  <c r="F5" i="12"/>
  <c r="E5" i="12"/>
  <c r="D5" i="12"/>
  <c r="C5" i="12"/>
  <c r="B5" i="12"/>
  <c r="R16" i="12" l="1"/>
  <c r="R21" i="12"/>
  <c r="R19" i="12"/>
  <c r="R26" i="12"/>
  <c r="R31" i="12"/>
  <c r="R17" i="12"/>
  <c r="R36" i="12"/>
  <c r="R22" i="12"/>
  <c r="R33" i="12"/>
  <c r="R24" i="12"/>
  <c r="R29" i="12"/>
  <c r="R20" i="12"/>
  <c r="R34" i="12"/>
  <c r="R18" i="12"/>
  <c r="R23" i="12"/>
  <c r="R27" i="12"/>
  <c r="R32" i="12"/>
  <c r="R15" i="12"/>
  <c r="R30" i="12"/>
  <c r="R28" i="12"/>
  <c r="R25" i="12"/>
  <c r="R35" i="12"/>
  <c r="J26" i="12"/>
  <c r="J18" i="12"/>
  <c r="J21" i="12"/>
  <c r="J23" i="12"/>
  <c r="J19" i="12"/>
  <c r="J22" i="12"/>
  <c r="J28" i="12"/>
  <c r="J31" i="12"/>
  <c r="J33" i="12"/>
  <c r="J16" i="12"/>
  <c r="J27" i="12"/>
  <c r="J29" i="12"/>
  <c r="J25" i="12"/>
  <c r="J15" i="12"/>
  <c r="J24" i="12"/>
  <c r="J34" i="12"/>
  <c r="J36" i="12"/>
  <c r="J30" i="12"/>
  <c r="J20" i="12"/>
  <c r="J35" i="12"/>
  <c r="J17" i="12"/>
  <c r="J32" i="12"/>
  <c r="S26" i="12"/>
  <c r="S25" i="12"/>
  <c r="S33" i="12"/>
  <c r="S31" i="12"/>
  <c r="S36" i="12"/>
  <c r="S17" i="12"/>
  <c r="S28" i="12"/>
  <c r="S16" i="12"/>
  <c r="S29" i="12"/>
  <c r="S32" i="12"/>
  <c r="S19" i="12"/>
  <c r="S30" i="12"/>
  <c r="S21" i="12"/>
  <c r="S24" i="12"/>
  <c r="S34" i="12"/>
  <c r="S35" i="12"/>
  <c r="S18" i="12"/>
  <c r="S23" i="12"/>
  <c r="S22" i="12"/>
  <c r="S27" i="12"/>
  <c r="S15" i="12"/>
  <c r="S20" i="12"/>
  <c r="G30" i="12"/>
  <c r="G33" i="12"/>
  <c r="G19" i="12"/>
  <c r="G35" i="12"/>
  <c r="G34" i="12"/>
  <c r="G18" i="12"/>
  <c r="G16" i="12"/>
  <c r="G23" i="12"/>
  <c r="G36" i="12"/>
  <c r="G28" i="12"/>
  <c r="G21" i="12"/>
  <c r="G29" i="12"/>
  <c r="G15" i="12"/>
  <c r="G17" i="12"/>
  <c r="G20" i="12"/>
  <c r="G22" i="12"/>
  <c r="G27" i="12"/>
  <c r="G26" i="12"/>
  <c r="G31" i="12"/>
  <c r="G24" i="12"/>
  <c r="G32" i="12"/>
  <c r="G25" i="12"/>
  <c r="D15" i="12"/>
  <c r="D16" i="12"/>
  <c r="D26" i="12"/>
  <c r="D17" i="12"/>
  <c r="D32" i="12"/>
  <c r="D20" i="12"/>
  <c r="D28" i="12"/>
  <c r="D31" i="12"/>
  <c r="D25" i="12"/>
  <c r="D36" i="12"/>
  <c r="D29" i="12"/>
  <c r="D30" i="12"/>
  <c r="D35" i="12"/>
  <c r="D22" i="12"/>
  <c r="D27" i="12"/>
  <c r="D18" i="12"/>
  <c r="D23" i="12"/>
  <c r="D34" i="12"/>
  <c r="D33" i="12"/>
  <c r="D19" i="12"/>
  <c r="D24" i="12"/>
  <c r="D21" i="12"/>
  <c r="P16" i="12"/>
  <c r="P27" i="12"/>
  <c r="P30" i="12"/>
  <c r="P22" i="12"/>
  <c r="P21" i="12"/>
  <c r="P26" i="12"/>
  <c r="P18" i="12"/>
  <c r="P31" i="12"/>
  <c r="P19" i="12"/>
  <c r="P15" i="12"/>
  <c r="P36" i="12"/>
  <c r="P29" i="12"/>
  <c r="P20" i="12"/>
  <c r="P35" i="12"/>
  <c r="P32" i="12"/>
  <c r="P17" i="12"/>
  <c r="P24" i="12"/>
  <c r="P33" i="12"/>
  <c r="P28" i="12"/>
  <c r="P34" i="12"/>
  <c r="P25" i="12"/>
  <c r="P23" i="12"/>
  <c r="M28" i="12"/>
  <c r="M34" i="12"/>
  <c r="M18" i="12"/>
  <c r="M33" i="12"/>
  <c r="M31" i="12"/>
  <c r="M16" i="12"/>
  <c r="M15" i="12"/>
  <c r="M21" i="12"/>
  <c r="M27" i="12"/>
  <c r="M26" i="12"/>
  <c r="M17" i="12"/>
  <c r="M35" i="12"/>
  <c r="M23" i="12"/>
  <c r="M36" i="12"/>
  <c r="M20" i="12"/>
  <c r="M25" i="12"/>
  <c r="M19" i="12"/>
  <c r="M32" i="12"/>
  <c r="M24" i="12"/>
  <c r="M30" i="12"/>
  <c r="M29" i="12"/>
  <c r="M22" i="12"/>
  <c r="J4" i="12"/>
  <c r="K4" i="12"/>
  <c r="O33" i="12" l="1"/>
  <c r="O19" i="12"/>
  <c r="O15" i="12"/>
  <c r="O25" i="12"/>
  <c r="O20" i="12"/>
  <c r="O35" i="12"/>
  <c r="O16" i="12"/>
  <c r="O21" i="12"/>
  <c r="O24" i="12"/>
  <c r="O32" i="12"/>
  <c r="O30" i="12"/>
  <c r="O26" i="12"/>
  <c r="O17" i="12"/>
  <c r="O31" i="12"/>
  <c r="O36" i="12"/>
  <c r="O23" i="12"/>
  <c r="O22" i="12"/>
  <c r="O28" i="12"/>
  <c r="O29" i="12"/>
  <c r="O34" i="12"/>
  <c r="O18" i="12"/>
  <c r="O27" i="12"/>
  <c r="J9" i="12"/>
  <c r="L18" i="12" l="1"/>
  <c r="L27" i="12"/>
  <c r="L23" i="12"/>
  <c r="L30" i="12"/>
  <c r="L28" i="12"/>
  <c r="L35" i="12"/>
  <c r="L33" i="12"/>
  <c r="L21" i="12"/>
  <c r="L26" i="12"/>
  <c r="L34" i="12"/>
  <c r="L20" i="12"/>
  <c r="L16" i="12"/>
  <c r="L22" i="12"/>
  <c r="L31" i="12"/>
  <c r="L24" i="12"/>
  <c r="L29" i="12"/>
  <c r="L32" i="12"/>
  <c r="L36" i="12"/>
  <c r="L17" i="12"/>
  <c r="L19" i="12"/>
  <c r="L15" i="12"/>
  <c r="L25" i="12"/>
  <c r="I35" i="12" l="1"/>
  <c r="I26" i="12"/>
  <c r="I17" i="12"/>
  <c r="I27" i="12"/>
  <c r="I30" i="12"/>
  <c r="I18" i="12"/>
  <c r="I23" i="12"/>
  <c r="I16" i="12"/>
  <c r="I21" i="12"/>
  <c r="I15" i="12"/>
  <c r="I25" i="12"/>
  <c r="I28" i="12"/>
  <c r="I33" i="12"/>
  <c r="I24" i="12"/>
  <c r="I19" i="12"/>
  <c r="I22" i="12"/>
  <c r="I32" i="12"/>
  <c r="I31" i="12"/>
  <c r="I36" i="12"/>
  <c r="I29" i="12"/>
  <c r="I34" i="12"/>
  <c r="I20" i="12"/>
  <c r="F20" i="12" l="1"/>
  <c r="F17" i="12"/>
  <c r="F15" i="12"/>
  <c r="F25" i="12"/>
  <c r="F26" i="12"/>
  <c r="F29" i="12"/>
  <c r="F30" i="12"/>
  <c r="F21" i="12"/>
  <c r="F24" i="12"/>
  <c r="F35" i="12"/>
  <c r="F36" i="12"/>
  <c r="F32" i="12"/>
  <c r="F23" i="12"/>
  <c r="F28" i="12"/>
  <c r="F34" i="12"/>
  <c r="F18" i="12"/>
  <c r="F31" i="12"/>
  <c r="F27" i="12"/>
  <c r="F19" i="12"/>
  <c r="F33" i="12"/>
  <c r="F16" i="12"/>
  <c r="F22" i="12"/>
  <c r="C23" i="12" l="1"/>
  <c r="T23" i="12" s="1"/>
  <c r="C21" i="12"/>
  <c r="T21" i="12" s="1"/>
  <c r="C15" i="12"/>
  <c r="T15" i="12" s="1"/>
  <c r="C20" i="12"/>
  <c r="T20" i="12" s="1"/>
  <c r="C25" i="12"/>
  <c r="T25" i="12" s="1"/>
  <c r="C16" i="12"/>
  <c r="T16" i="12" s="1"/>
  <c r="C30" i="12"/>
  <c r="T30" i="12" s="1"/>
  <c r="C26" i="12"/>
  <c r="T26" i="12" s="1"/>
  <c r="C27" i="12"/>
  <c r="T27" i="12" s="1"/>
  <c r="C35" i="12"/>
  <c r="T35" i="12" s="1"/>
  <c r="C18" i="12"/>
  <c r="T18" i="12" s="1"/>
  <c r="C34" i="12"/>
  <c r="T34" i="12" s="1"/>
  <c r="C28" i="12"/>
  <c r="T28" i="12" s="1"/>
  <c r="C22" i="12"/>
  <c r="T22" i="12" s="1"/>
  <c r="C19" i="12"/>
  <c r="T19" i="12" s="1"/>
  <c r="C17" i="12"/>
  <c r="T17" i="12" s="1"/>
  <c r="C24" i="12"/>
  <c r="T24" i="12" s="1"/>
  <c r="C32" i="12"/>
  <c r="T32" i="12" s="1"/>
  <c r="C33" i="12"/>
  <c r="T33" i="12" s="1"/>
  <c r="C36" i="12"/>
  <c r="T36" i="12" s="1"/>
  <c r="C31" i="12"/>
  <c r="T31" i="12" s="1"/>
  <c r="C29" i="12"/>
  <c r="T29" i="12" s="1"/>
  <c r="H27" i="14" l="1"/>
  <c r="H16" i="14"/>
  <c r="N25" i="14"/>
  <c r="N26" i="14"/>
  <c r="N23" i="14"/>
  <c r="N24" i="14"/>
  <c r="B21" i="14"/>
  <c r="E16" i="14"/>
  <c r="Q24" i="14"/>
  <c r="N27" i="14"/>
  <c r="K25" i="14"/>
  <c r="H19" i="14"/>
  <c r="K22" i="14" l="1"/>
  <c r="K27" i="14"/>
  <c r="Q21" i="14"/>
  <c r="K19" i="14"/>
  <c r="K24" i="14"/>
  <c r="Q20" i="14"/>
  <c r="B18" i="14"/>
  <c r="H26" i="14"/>
  <c r="K21" i="14"/>
  <c r="E23" i="14"/>
  <c r="K20" i="14"/>
  <c r="K28" i="14"/>
  <c r="Q18" i="14"/>
  <c r="Q17" i="14"/>
  <c r="Q16" i="14"/>
  <c r="Q26" i="14"/>
  <c r="H15" i="14"/>
  <c r="B25" i="14"/>
  <c r="B23" i="14"/>
  <c r="N22" i="14"/>
  <c r="N21" i="14"/>
  <c r="N20" i="14"/>
  <c r="K17" i="14"/>
  <c r="K26" i="14"/>
  <c r="Q23" i="14"/>
  <c r="E27" i="14"/>
  <c r="E24" i="14"/>
  <c r="B20" i="14"/>
  <c r="E17" i="14"/>
  <c r="B15" i="14"/>
  <c r="B28" i="14"/>
  <c r="H28" i="14"/>
  <c r="H25" i="14"/>
  <c r="N19" i="14"/>
  <c r="N18" i="14"/>
  <c r="N16" i="14"/>
  <c r="H21" i="14"/>
  <c r="B19" i="14"/>
  <c r="K23" i="14"/>
  <c r="N15" i="14"/>
  <c r="Q15" i="14"/>
  <c r="K16" i="14"/>
  <c r="Q25" i="14"/>
  <c r="E18" i="14"/>
  <c r="Q22" i="14"/>
  <c r="E25" i="14"/>
  <c r="Q19" i="14"/>
  <c r="E19" i="14"/>
  <c r="B16" i="14"/>
  <c r="E15" i="14"/>
  <c r="E28" i="14"/>
  <c r="E26" i="14"/>
  <c r="E21" i="14"/>
  <c r="H24" i="14"/>
  <c r="H23" i="14"/>
  <c r="H22" i="14"/>
  <c r="N28" i="14"/>
  <c r="H20" i="14"/>
  <c r="B22" i="14"/>
  <c r="H17" i="14"/>
  <c r="K15" i="14"/>
  <c r="K18" i="14"/>
  <c r="Q28" i="14"/>
  <c r="Q27" i="14"/>
  <c r="E20" i="14"/>
  <c r="E22" i="14"/>
  <c r="B17" i="14"/>
  <c r="H18" i="14"/>
  <c r="B27" i="14"/>
  <c r="B26" i="14"/>
  <c r="B24" i="14"/>
  <c r="N17" i="14"/>
  <c r="Q14" i="14" l="1"/>
  <c r="K14" i="14"/>
  <c r="H14" i="14"/>
  <c r="E14" i="14"/>
  <c r="G6" i="14" l="1"/>
  <c r="C6" i="14"/>
  <c r="G5" i="14"/>
  <c r="F5" i="14"/>
  <c r="E5" i="14"/>
  <c r="D5" i="14"/>
  <c r="C5" i="14"/>
  <c r="B5" i="14"/>
  <c r="F18" i="14" l="1"/>
  <c r="F16" i="14"/>
  <c r="F15" i="14"/>
  <c r="F17" i="14"/>
  <c r="F25" i="14"/>
  <c r="F24" i="14"/>
  <c r="F20" i="14"/>
  <c r="F26" i="14"/>
  <c r="F21" i="14"/>
  <c r="F28" i="14"/>
  <c r="F27" i="14"/>
  <c r="F23" i="14"/>
  <c r="F19" i="14"/>
  <c r="F22" i="14"/>
  <c r="P28" i="14"/>
  <c r="O28" i="14"/>
  <c r="P26" i="14"/>
  <c r="P16" i="14"/>
  <c r="P22" i="14"/>
  <c r="P23" i="14"/>
  <c r="P27" i="14"/>
  <c r="P21" i="14"/>
  <c r="P24" i="14"/>
  <c r="P20" i="14"/>
  <c r="P17" i="14"/>
  <c r="P18" i="14"/>
  <c r="P25" i="14"/>
  <c r="P19" i="14"/>
  <c r="P15" i="14"/>
  <c r="O27" i="14"/>
  <c r="O16" i="14"/>
  <c r="O19" i="14"/>
  <c r="O21" i="14"/>
  <c r="O20" i="14"/>
  <c r="O15" i="14"/>
  <c r="O18" i="14"/>
  <c r="O24" i="14"/>
  <c r="O25" i="14"/>
  <c r="O22" i="14"/>
  <c r="O23" i="14"/>
  <c r="O17" i="14"/>
  <c r="O26" i="14"/>
  <c r="D28" i="14"/>
  <c r="C28" i="14"/>
  <c r="D21" i="14"/>
  <c r="D16" i="14"/>
  <c r="D27" i="14"/>
  <c r="D24" i="14"/>
  <c r="D23" i="14"/>
  <c r="D18" i="14"/>
  <c r="D25" i="14"/>
  <c r="D22" i="14"/>
  <c r="D19" i="14"/>
  <c r="D20" i="14"/>
  <c r="D17" i="14"/>
  <c r="D26" i="14"/>
  <c r="D15" i="14"/>
  <c r="C24" i="14"/>
  <c r="C23" i="14"/>
  <c r="C18" i="14"/>
  <c r="C27" i="14"/>
  <c r="C17" i="14"/>
  <c r="C21" i="14"/>
  <c r="C22" i="14"/>
  <c r="C20" i="14"/>
  <c r="C16" i="14"/>
  <c r="C26" i="14"/>
  <c r="C19" i="14"/>
  <c r="C25" i="14"/>
  <c r="C15" i="14"/>
  <c r="J28" i="14"/>
  <c r="J26" i="14"/>
  <c r="J16" i="14"/>
  <c r="J27" i="14"/>
  <c r="J22" i="14"/>
  <c r="J23" i="14"/>
  <c r="J17" i="14"/>
  <c r="J25" i="14"/>
  <c r="J21" i="14"/>
  <c r="J18" i="14"/>
  <c r="J19" i="14"/>
  <c r="J24" i="14"/>
  <c r="J20" i="14"/>
  <c r="J15" i="14"/>
  <c r="I20" i="14"/>
  <c r="I17" i="14"/>
  <c r="I18" i="14"/>
  <c r="I23" i="14"/>
  <c r="I26" i="14"/>
  <c r="I27" i="14"/>
  <c r="I15" i="14"/>
  <c r="I16" i="14"/>
  <c r="I22" i="14"/>
  <c r="I19" i="14"/>
  <c r="I25" i="14"/>
  <c r="I24" i="14"/>
  <c r="I28" i="14"/>
  <c r="I21" i="14"/>
  <c r="M28" i="14"/>
  <c r="M26" i="14"/>
  <c r="M21" i="14"/>
  <c r="M27" i="14"/>
  <c r="M22" i="14"/>
  <c r="M17" i="14"/>
  <c r="M24" i="14"/>
  <c r="M19" i="14"/>
  <c r="M16" i="14"/>
  <c r="M23" i="14"/>
  <c r="M18" i="14"/>
  <c r="M25" i="14"/>
  <c r="M20" i="14"/>
  <c r="M15" i="14"/>
  <c r="L23" i="14"/>
  <c r="L21" i="14"/>
  <c r="L16" i="14"/>
  <c r="L17" i="14"/>
  <c r="L15" i="14"/>
  <c r="L25" i="14"/>
  <c r="L22" i="14"/>
  <c r="L26" i="14"/>
  <c r="L24" i="14"/>
  <c r="L28" i="14"/>
  <c r="L19" i="14"/>
  <c r="L27" i="14"/>
  <c r="L18" i="14"/>
  <c r="L20" i="14"/>
  <c r="R21" i="14"/>
  <c r="R26" i="14"/>
  <c r="R27" i="14"/>
  <c r="R22" i="14"/>
  <c r="R25" i="14"/>
  <c r="R18" i="14"/>
  <c r="R23" i="14"/>
  <c r="R16" i="14"/>
  <c r="R20" i="14"/>
  <c r="R17" i="14"/>
  <c r="R28" i="14"/>
  <c r="R24" i="14"/>
  <c r="R15" i="14"/>
  <c r="R19" i="14"/>
  <c r="G28" i="14"/>
  <c r="G21" i="14"/>
  <c r="G27" i="14"/>
  <c r="G20" i="14"/>
  <c r="G16" i="14"/>
  <c r="G24" i="14"/>
  <c r="G19" i="14"/>
  <c r="G22" i="14"/>
  <c r="G17" i="14"/>
  <c r="G23" i="14"/>
  <c r="G25" i="14"/>
  <c r="G18" i="14"/>
  <c r="G26" i="14"/>
  <c r="G15" i="14"/>
  <c r="S28" i="14"/>
  <c r="S26" i="14"/>
  <c r="S23" i="14"/>
  <c r="S16" i="14"/>
  <c r="S25" i="14"/>
  <c r="S20" i="14"/>
  <c r="S21" i="14"/>
  <c r="S27" i="14"/>
  <c r="S15" i="14"/>
  <c r="S22" i="14"/>
  <c r="S19" i="14"/>
  <c r="S17" i="14"/>
  <c r="S18" i="14"/>
  <c r="S24" i="14"/>
  <c r="T15" i="14" l="1"/>
  <c r="T16" i="14"/>
  <c r="T17" i="14"/>
  <c r="K4" i="14"/>
  <c r="J4" i="14"/>
  <c r="J9" i="14" l="1"/>
  <c r="T27" i="14"/>
  <c r="T23" i="14"/>
  <c r="T19" i="14"/>
  <c r="T18" i="14"/>
  <c r="T21" i="14"/>
  <c r="T24" i="14"/>
  <c r="T22" i="14"/>
  <c r="T20" i="14"/>
  <c r="T25" i="14"/>
  <c r="T26" i="14"/>
  <c r="T28" i="14" l="1"/>
  <c r="C18" i="17"/>
  <c r="D18" i="17"/>
  <c r="D20" i="10"/>
  <c r="G20" i="10"/>
  <c r="J20" i="10"/>
  <c r="M20" i="10"/>
  <c r="D24" i="8"/>
  <c r="G24" i="8"/>
  <c r="J24" i="8"/>
  <c r="M24" i="8"/>
  <c r="D25" i="5"/>
  <c r="G25" i="5"/>
  <c r="D28" i="3"/>
  <c r="G28" i="3"/>
  <c r="E45" i="1"/>
  <c r="H45" i="1"/>
  <c r="C17" i="17" l="1"/>
  <c r="D17" i="17"/>
  <c r="D19" i="10"/>
  <c r="G19" i="10"/>
  <c r="J19" i="10"/>
  <c r="M19" i="10"/>
  <c r="D23" i="8"/>
  <c r="G23" i="8"/>
  <c r="J23" i="8"/>
  <c r="M23" i="8"/>
  <c r="D24" i="5"/>
  <c r="G24" i="5"/>
  <c r="D27" i="3"/>
  <c r="G27" i="3"/>
  <c r="E44" i="1"/>
  <c r="H44" i="1"/>
  <c r="C15" i="17"/>
  <c r="D15" i="17"/>
  <c r="D16" i="17"/>
  <c r="M1" i="17"/>
  <c r="Q2" i="17" a="1"/>
  <c r="M2" i="17" a="1"/>
  <c r="O2" i="17" a="1"/>
  <c r="O2" i="17" l="1"/>
  <c r="M2" i="17"/>
  <c r="Q2" i="17"/>
  <c r="H20" i="17"/>
  <c r="E20" i="17"/>
  <c r="H18" i="17"/>
  <c r="E18" i="17"/>
  <c r="H14" i="17"/>
  <c r="H17" i="17"/>
  <c r="K112" i="17"/>
  <c r="K113" i="17"/>
  <c r="K114" i="17"/>
  <c r="K115" i="17"/>
  <c r="K111" i="17"/>
  <c r="C16" i="17"/>
  <c r="H16" i="17"/>
  <c r="D5" i="17"/>
  <c r="C5" i="17"/>
  <c r="B5" i="17"/>
  <c r="E14" i="17" l="1"/>
  <c r="F20" i="17" s="1"/>
  <c r="E19" i="17"/>
  <c r="H19" i="17"/>
  <c r="I19" i="17" s="1"/>
  <c r="J20" i="17"/>
  <c r="J19" i="17"/>
  <c r="I20" i="17"/>
  <c r="E17" i="17"/>
  <c r="J18" i="17"/>
  <c r="I18" i="17"/>
  <c r="J16" i="17"/>
  <c r="J15" i="17"/>
  <c r="J17" i="17"/>
  <c r="I16" i="17"/>
  <c r="I17" i="17"/>
  <c r="E16" i="17"/>
  <c r="E15" i="17"/>
  <c r="H15" i="17"/>
  <c r="I15" i="17" s="1"/>
  <c r="F15" i="17" l="1"/>
  <c r="G15" i="17"/>
  <c r="F18" i="17"/>
  <c r="F17" i="17"/>
  <c r="G17" i="17"/>
  <c r="G19" i="17"/>
  <c r="F16" i="17"/>
  <c r="G16" i="17"/>
  <c r="G18" i="17"/>
  <c r="G20" i="17"/>
  <c r="K20" i="17" s="1"/>
  <c r="F19" i="17"/>
  <c r="K19" i="17" s="1"/>
  <c r="K16" i="17"/>
  <c r="K18" i="17"/>
  <c r="K17" i="17"/>
  <c r="K15" i="17"/>
  <c r="D18" i="10"/>
  <c r="G18" i="10"/>
  <c r="J18" i="10"/>
  <c r="M18" i="10"/>
  <c r="D22" i="8"/>
  <c r="G22" i="8"/>
  <c r="J22" i="8"/>
  <c r="M22" i="8"/>
  <c r="D23" i="5"/>
  <c r="G23" i="5"/>
  <c r="D26" i="3"/>
  <c r="G26" i="3"/>
  <c r="E43" i="1"/>
  <c r="H43" i="1"/>
  <c r="B27" i="1"/>
  <c r="F24" i="8" l="1"/>
  <c r="C24" i="8"/>
  <c r="L24" i="8"/>
  <c r="G45" i="1" l="1"/>
  <c r="C26" i="3"/>
  <c r="G43" i="1"/>
  <c r="F23" i="8"/>
  <c r="F26" i="3"/>
  <c r="F25" i="5"/>
  <c r="C27" i="3"/>
  <c r="F24" i="5"/>
  <c r="F23" i="5"/>
  <c r="G44" i="1"/>
  <c r="F27" i="3"/>
  <c r="I24" i="8"/>
  <c r="N24" i="8" s="1"/>
  <c r="C25" i="5"/>
  <c r="C23" i="5"/>
  <c r="C24" i="5"/>
  <c r="I23" i="8"/>
  <c r="C22" i="8"/>
  <c r="C28" i="3"/>
  <c r="F28" i="3"/>
  <c r="F22" i="8"/>
  <c r="I22" i="8"/>
  <c r="L23" i="8"/>
  <c r="C23" i="8"/>
  <c r="L22" i="8"/>
  <c r="H27" i="3" l="1"/>
  <c r="H26" i="3"/>
  <c r="H25" i="5"/>
  <c r="H24" i="5"/>
  <c r="H28" i="3"/>
  <c r="N22" i="8"/>
  <c r="N23" i="8"/>
  <c r="H23" i="5"/>
  <c r="E5" i="10" l="1"/>
  <c r="D5" i="10"/>
  <c r="C5" i="10"/>
  <c r="B5" i="10"/>
  <c r="G16" i="10" l="1"/>
  <c r="F16" i="10"/>
  <c r="G15" i="10"/>
  <c r="F15" i="10"/>
  <c r="G17" i="10"/>
  <c r="J16" i="10"/>
  <c r="I16" i="10"/>
  <c r="J15" i="10"/>
  <c r="I15" i="10"/>
  <c r="J17" i="10"/>
  <c r="D17" i="10"/>
  <c r="D16" i="10"/>
  <c r="C16" i="10"/>
  <c r="D15" i="10"/>
  <c r="C15" i="10"/>
  <c r="M16" i="10"/>
  <c r="L16" i="10"/>
  <c r="M15" i="10"/>
  <c r="L15" i="10"/>
  <c r="M17" i="10"/>
  <c r="N15" i="10" l="1"/>
  <c r="N16" i="10"/>
  <c r="L20" i="10" l="1"/>
  <c r="C20" i="10"/>
  <c r="I20" i="10"/>
  <c r="F20" i="10"/>
  <c r="C19" i="10"/>
  <c r="F19" i="10"/>
  <c r="I19" i="10"/>
  <c r="I18" i="10"/>
  <c r="C18" i="10"/>
  <c r="I17" i="10"/>
  <c r="F17" i="10"/>
  <c r="C17" i="10"/>
  <c r="L18" i="10" l="1"/>
  <c r="L19" i="10"/>
  <c r="N19" i="10" s="1"/>
  <c r="N20" i="10"/>
  <c r="F18" i="10"/>
  <c r="L17" i="10"/>
  <c r="N17" i="10" s="1"/>
  <c r="N18" i="10" l="1"/>
  <c r="C21" i="8" l="1"/>
  <c r="D21" i="8"/>
  <c r="F21" i="8"/>
  <c r="G21" i="8"/>
  <c r="I21" i="8"/>
  <c r="J21" i="8"/>
  <c r="L21" i="8"/>
  <c r="M21" i="8"/>
  <c r="C22" i="5"/>
  <c r="D22" i="5"/>
  <c r="F22" i="5"/>
  <c r="G22" i="5"/>
  <c r="C25" i="3"/>
  <c r="D25" i="3"/>
  <c r="F25" i="3"/>
  <c r="G25" i="3"/>
  <c r="E42" i="1"/>
  <c r="G42" i="1"/>
  <c r="H42" i="1"/>
  <c r="H25" i="3" l="1"/>
  <c r="N21" i="8"/>
  <c r="H22" i="5"/>
  <c r="C20" i="8"/>
  <c r="D20" i="8"/>
  <c r="F20" i="8"/>
  <c r="G20" i="8"/>
  <c r="I20" i="8"/>
  <c r="J20" i="8"/>
  <c r="L20" i="8"/>
  <c r="M20" i="8"/>
  <c r="C21" i="5"/>
  <c r="D21" i="5"/>
  <c r="F21" i="5"/>
  <c r="G21" i="5"/>
  <c r="C24" i="3"/>
  <c r="D24" i="3"/>
  <c r="F24" i="3"/>
  <c r="G24" i="3"/>
  <c r="E41" i="1"/>
  <c r="G41" i="1"/>
  <c r="H41" i="1"/>
  <c r="N20" i="8" l="1"/>
  <c r="H21" i="5"/>
  <c r="H24" i="3"/>
  <c r="C19" i="8" l="1"/>
  <c r="D19" i="8"/>
  <c r="F19" i="8"/>
  <c r="G19" i="8"/>
  <c r="I19" i="8"/>
  <c r="J19" i="8"/>
  <c r="L19" i="8"/>
  <c r="M19" i="8"/>
  <c r="C20" i="5"/>
  <c r="D20" i="5"/>
  <c r="F20" i="5"/>
  <c r="G20" i="5"/>
  <c r="C23" i="3"/>
  <c r="D23" i="3"/>
  <c r="F23" i="3"/>
  <c r="G23" i="3"/>
  <c r="G40" i="1"/>
  <c r="H40" i="1"/>
  <c r="E40" i="1"/>
  <c r="H23" i="3" l="1"/>
  <c r="N19" i="8"/>
  <c r="H20" i="5"/>
  <c r="L18" i="8" l="1"/>
  <c r="M18" i="8"/>
  <c r="I18" i="8"/>
  <c r="J18" i="8"/>
  <c r="F18" i="8"/>
  <c r="G18" i="8"/>
  <c r="C18" i="8"/>
  <c r="D18" i="8"/>
  <c r="G19" i="5"/>
  <c r="F19" i="5"/>
  <c r="D19" i="5"/>
  <c r="C19" i="5"/>
  <c r="G22" i="3"/>
  <c r="F22" i="3"/>
  <c r="D22" i="3"/>
  <c r="C22" i="3"/>
  <c r="H39" i="1"/>
  <c r="E39" i="1"/>
  <c r="G39" i="1"/>
  <c r="L17" i="8"/>
  <c r="M17" i="8"/>
  <c r="I17" i="8"/>
  <c r="J17" i="8"/>
  <c r="F17" i="8"/>
  <c r="G17" i="8"/>
  <c r="C17" i="8"/>
  <c r="D17" i="8"/>
  <c r="F18" i="5"/>
  <c r="G18" i="5"/>
  <c r="C18" i="5"/>
  <c r="D18" i="5"/>
  <c r="G21" i="3"/>
  <c r="D21" i="3"/>
  <c r="F21" i="3"/>
  <c r="C21" i="3"/>
  <c r="H38" i="1"/>
  <c r="E38" i="1"/>
  <c r="G38" i="1"/>
  <c r="C5" i="9"/>
  <c r="F16" i="9" s="1"/>
  <c r="F15" i="9"/>
  <c r="B5" i="9"/>
  <c r="C16" i="9" s="1"/>
  <c r="L16" i="8"/>
  <c r="M16" i="8"/>
  <c r="I16" i="8"/>
  <c r="J16" i="8"/>
  <c r="F16" i="8"/>
  <c r="G16" i="8"/>
  <c r="C16" i="8"/>
  <c r="D16" i="8"/>
  <c r="F17" i="5"/>
  <c r="G17" i="5"/>
  <c r="C17" i="5"/>
  <c r="D17" i="5"/>
  <c r="G20" i="3"/>
  <c r="F20" i="3"/>
  <c r="D20" i="3"/>
  <c r="C20" i="3"/>
  <c r="H37" i="1"/>
  <c r="G37" i="1"/>
  <c r="E37" i="1"/>
  <c r="D22" i="9" l="1"/>
  <c r="D21" i="9"/>
  <c r="D20" i="9"/>
  <c r="C21" i="9"/>
  <c r="C22" i="9"/>
  <c r="C20" i="9"/>
  <c r="C19" i="9"/>
  <c r="D19" i="9"/>
  <c r="C18" i="9"/>
  <c r="D18" i="9"/>
  <c r="C17" i="9"/>
  <c r="D17" i="9"/>
  <c r="G15" i="9"/>
  <c r="G22" i="9"/>
  <c r="G21" i="9"/>
  <c r="G20" i="9"/>
  <c r="F21" i="9"/>
  <c r="F22" i="9"/>
  <c r="F20" i="9"/>
  <c r="F19" i="9"/>
  <c r="G19" i="9"/>
  <c r="G18" i="9"/>
  <c r="F18" i="9"/>
  <c r="F17" i="9"/>
  <c r="G17" i="9"/>
  <c r="D16" i="9"/>
  <c r="G16" i="9"/>
  <c r="N18" i="8"/>
  <c r="H19" i="5"/>
  <c r="H22" i="3"/>
  <c r="N17" i="8"/>
  <c r="H18" i="5"/>
  <c r="H21" i="3"/>
  <c r="N16" i="8"/>
  <c r="H17" i="5"/>
  <c r="H20" i="3"/>
  <c r="C15" i="9"/>
  <c r="D15" i="9"/>
  <c r="H16" i="9" l="1"/>
  <c r="H17" i="9"/>
  <c r="H22" i="9"/>
  <c r="H19" i="9"/>
  <c r="H21" i="9"/>
  <c r="H18" i="9"/>
  <c r="H20" i="9"/>
  <c r="H15" i="9"/>
  <c r="M15" i="8"/>
  <c r="L15" i="8"/>
  <c r="J15" i="8"/>
  <c r="I15" i="8"/>
  <c r="G15" i="8"/>
  <c r="F15" i="8"/>
  <c r="D15" i="8"/>
  <c r="C15" i="8"/>
  <c r="F16" i="5"/>
  <c r="G16" i="5"/>
  <c r="D16" i="5"/>
  <c r="D15" i="5"/>
  <c r="C16" i="5"/>
  <c r="F19" i="3"/>
  <c r="G19" i="3"/>
  <c r="D19" i="3"/>
  <c r="C19" i="3"/>
  <c r="H36" i="1"/>
  <c r="E36" i="1"/>
  <c r="G36" i="1"/>
  <c r="E5" i="8"/>
  <c r="D5" i="8"/>
  <c r="C5" i="8"/>
  <c r="N15" i="8" l="1"/>
  <c r="H16" i="5"/>
  <c r="H19" i="3"/>
  <c r="B5" i="8"/>
  <c r="G15" i="5" l="1"/>
  <c r="F15" i="5"/>
  <c r="C15" i="5"/>
  <c r="H15" i="5" s="1"/>
  <c r="F18" i="3"/>
  <c r="G18" i="3"/>
  <c r="C18" i="3"/>
  <c r="D18" i="3"/>
  <c r="H35" i="1"/>
  <c r="E35" i="1"/>
  <c r="G35" i="1"/>
  <c r="C5" i="5"/>
  <c r="B5" i="5"/>
  <c r="H18" i="3" l="1"/>
  <c r="F17" i="3"/>
  <c r="G17" i="3"/>
  <c r="C17" i="3"/>
  <c r="D17" i="3"/>
  <c r="H34" i="1"/>
  <c r="E34" i="1"/>
  <c r="G34" i="1"/>
  <c r="D16" i="3"/>
  <c r="H17" i="3" l="1"/>
  <c r="G16" i="3"/>
  <c r="G15" i="3"/>
  <c r="F16" i="3"/>
  <c r="C16" i="3"/>
  <c r="C5" i="3"/>
  <c r="H16" i="3" l="1"/>
  <c r="B5" i="3"/>
  <c r="H32" i="1" l="1"/>
  <c r="H33" i="1"/>
  <c r="E31" i="1"/>
  <c r="E32" i="1"/>
  <c r="E33" i="1"/>
  <c r="G33" i="1"/>
  <c r="G32" i="1"/>
  <c r="C15" i="3" l="1"/>
  <c r="D15" i="3" l="1"/>
  <c r="F15" i="3"/>
  <c r="H15" i="3" s="1"/>
  <c r="H16" i="1" l="1"/>
  <c r="H17" i="1"/>
  <c r="H18" i="1"/>
  <c r="H19" i="1"/>
  <c r="H20" i="1"/>
  <c r="H21" i="1"/>
  <c r="H22" i="1"/>
  <c r="H23" i="1"/>
  <c r="H24" i="1"/>
  <c r="H25" i="1"/>
  <c r="H26" i="1"/>
  <c r="H28" i="1"/>
  <c r="H29" i="1"/>
  <c r="H30" i="1"/>
  <c r="H31" i="1"/>
  <c r="H15" i="1"/>
  <c r="G16" i="1"/>
  <c r="G17" i="1"/>
  <c r="G18" i="1"/>
  <c r="G19" i="1"/>
  <c r="G20" i="1"/>
  <c r="G21" i="1"/>
  <c r="G22" i="1"/>
  <c r="G23" i="1"/>
  <c r="G24" i="1"/>
  <c r="G25" i="1"/>
  <c r="G26" i="1"/>
  <c r="G28" i="1"/>
  <c r="G29" i="1"/>
  <c r="G30" i="1"/>
  <c r="G31" i="1"/>
  <c r="G15" i="1"/>
  <c r="H5" i="1" l="1"/>
  <c r="I6" i="1" s="1"/>
  <c r="F8" i="1" s="1"/>
  <c r="I46" i="1" s="1"/>
  <c r="E16" i="1"/>
  <c r="E17" i="1"/>
  <c r="E18" i="1"/>
  <c r="E19" i="1"/>
  <c r="E20" i="1"/>
  <c r="E21" i="1"/>
  <c r="E22" i="1"/>
  <c r="E23" i="1"/>
  <c r="E24" i="1"/>
  <c r="E25" i="1"/>
  <c r="E26" i="1"/>
  <c r="E28" i="1"/>
  <c r="E29" i="1"/>
  <c r="E30" i="1"/>
  <c r="E15" i="1"/>
  <c r="D18" i="1"/>
  <c r="I18" i="1" s="1"/>
  <c r="D19" i="1"/>
  <c r="I19" i="1" s="1"/>
  <c r="D20" i="1"/>
  <c r="I20" i="1" s="1"/>
  <c r="D21" i="1"/>
  <c r="I21" i="1" s="1"/>
  <c r="D22" i="1"/>
  <c r="I22" i="1" s="1"/>
  <c r="D23" i="1"/>
  <c r="I23" i="1" s="1"/>
  <c r="D24" i="1"/>
  <c r="I24" i="1" s="1"/>
  <c r="D25" i="1"/>
  <c r="I25" i="1" s="1"/>
  <c r="D26" i="1"/>
  <c r="I26" i="1" s="1"/>
  <c r="D16" i="1"/>
  <c r="I16" i="1" s="1"/>
  <c r="D17" i="1"/>
  <c r="I17" i="1" s="1"/>
  <c r="D15" i="1"/>
  <c r="I15" i="1" s="1"/>
  <c r="C45" i="1" l="1"/>
  <c r="D45" i="1" s="1"/>
  <c r="I45" i="1" s="1"/>
  <c r="C44" i="1"/>
  <c r="D44" i="1" s="1"/>
  <c r="I44" i="1" s="1"/>
  <c r="C43" i="1"/>
  <c r="D43" i="1" s="1"/>
  <c r="I43" i="1" s="1"/>
  <c r="C42" i="1"/>
  <c r="D42" i="1" s="1"/>
  <c r="I42" i="1" s="1"/>
  <c r="C41" i="1"/>
  <c r="D41" i="1" s="1"/>
  <c r="I41" i="1" s="1"/>
  <c r="C40" i="1"/>
  <c r="D40" i="1" s="1"/>
  <c r="I40" i="1" s="1"/>
  <c r="C37" i="1"/>
  <c r="D37" i="1" s="1"/>
  <c r="I37" i="1" s="1"/>
  <c r="C38" i="1"/>
  <c r="D38" i="1" s="1"/>
  <c r="I38" i="1" s="1"/>
  <c r="C39" i="1"/>
  <c r="D39" i="1" s="1"/>
  <c r="I39" i="1" s="1"/>
  <c r="C36" i="1"/>
  <c r="D36" i="1" s="1"/>
  <c r="I36" i="1" s="1"/>
  <c r="C35" i="1"/>
  <c r="D35" i="1" s="1"/>
  <c r="I35" i="1" s="1"/>
  <c r="C34" i="1"/>
  <c r="D34" i="1" s="1"/>
  <c r="I34" i="1" s="1"/>
  <c r="C33" i="1"/>
  <c r="D33" i="1" s="1"/>
  <c r="I33" i="1" s="1"/>
  <c r="C32" i="1"/>
  <c r="D32" i="1" s="1"/>
  <c r="I32" i="1" s="1"/>
  <c r="C29" i="1"/>
  <c r="D29" i="1" s="1"/>
  <c r="I29" i="1" s="1"/>
  <c r="C30" i="1"/>
  <c r="D30" i="1" s="1"/>
  <c r="I30" i="1" s="1"/>
  <c r="C31" i="1"/>
  <c r="D31" i="1" s="1"/>
  <c r="I31" i="1" s="1"/>
  <c r="C28" i="1"/>
  <c r="D28" i="1" s="1"/>
  <c r="I28" i="1" s="1"/>
  <c r="D5" i="2" l="1"/>
  <c r="C5" i="2"/>
  <c r="B5" i="2"/>
  <c r="G29" i="2" l="1"/>
  <c r="G28" i="2"/>
  <c r="F29" i="2"/>
  <c r="F28" i="2"/>
  <c r="D29" i="2"/>
  <c r="D28" i="2"/>
  <c r="C28" i="2"/>
  <c r="C29" i="2"/>
  <c r="J29" i="2"/>
  <c r="J28" i="2"/>
  <c r="I28" i="2"/>
  <c r="I29" i="2"/>
  <c r="G27" i="2"/>
  <c r="F27" i="2"/>
  <c r="G26" i="2"/>
  <c r="F26" i="2"/>
  <c r="F25" i="2"/>
  <c r="G25" i="2"/>
  <c r="F24" i="2"/>
  <c r="G24" i="2"/>
  <c r="G21" i="2"/>
  <c r="F21" i="2"/>
  <c r="F23" i="2"/>
  <c r="G22" i="2"/>
  <c r="F22" i="2"/>
  <c r="G23" i="2"/>
  <c r="F20" i="2"/>
  <c r="G20" i="2"/>
  <c r="G19" i="2"/>
  <c r="F19" i="2"/>
  <c r="F18" i="2"/>
  <c r="G18" i="2"/>
  <c r="F16" i="2"/>
  <c r="G16" i="2"/>
  <c r="F17" i="2"/>
  <c r="G17" i="2"/>
  <c r="G15" i="2"/>
  <c r="F15" i="2"/>
  <c r="D27" i="2"/>
  <c r="C27" i="2"/>
  <c r="D26" i="2"/>
  <c r="C26" i="2"/>
  <c r="D25" i="2"/>
  <c r="C25" i="2"/>
  <c r="C24" i="2"/>
  <c r="D24" i="2"/>
  <c r="C21" i="2"/>
  <c r="D21" i="2"/>
  <c r="D22" i="2"/>
  <c r="C23" i="2"/>
  <c r="C22" i="2"/>
  <c r="D23" i="2"/>
  <c r="D20" i="2"/>
  <c r="C20" i="2"/>
  <c r="D19" i="2"/>
  <c r="C19" i="2"/>
  <c r="C18" i="2"/>
  <c r="D18" i="2"/>
  <c r="D16" i="2"/>
  <c r="C17" i="2"/>
  <c r="C16" i="2"/>
  <c r="D17" i="2"/>
  <c r="D15" i="2"/>
  <c r="C15" i="2"/>
  <c r="J27" i="2"/>
  <c r="I27" i="2"/>
  <c r="I26" i="2"/>
  <c r="J26" i="2"/>
  <c r="I25" i="2"/>
  <c r="J25" i="2"/>
  <c r="I24" i="2"/>
  <c r="J24" i="2"/>
  <c r="J23" i="2"/>
  <c r="J21" i="2"/>
  <c r="J22" i="2"/>
  <c r="I23" i="2"/>
  <c r="I21" i="2"/>
  <c r="I22" i="2"/>
  <c r="J20" i="2"/>
  <c r="I20" i="2"/>
  <c r="J19" i="2"/>
  <c r="I19" i="2"/>
  <c r="I18" i="2"/>
  <c r="J18" i="2"/>
  <c r="J16" i="2"/>
  <c r="J17" i="2"/>
  <c r="J15" i="2"/>
  <c r="I17" i="2"/>
  <c r="I16" i="2"/>
  <c r="I15" i="2"/>
  <c r="K29" i="2" l="1"/>
  <c r="K28" i="2"/>
  <c r="K30" i="2"/>
  <c r="K25" i="2"/>
  <c r="K26" i="2"/>
  <c r="K15" i="2"/>
  <c r="K19" i="2"/>
  <c r="K16" i="2"/>
  <c r="K22" i="2"/>
  <c r="K23" i="2"/>
  <c r="K18" i="2"/>
  <c r="K27" i="2"/>
  <c r="K21" i="2"/>
  <c r="K20" i="2"/>
  <c r="K24" i="2"/>
  <c r="K17" i="2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<sst xmlns="http://schemas.openxmlformats.org/spreadsheetml/2006/main" count="652" uniqueCount="122">
  <si>
    <t>Long Risk</t>
  </si>
  <si>
    <t>Short Risk</t>
  </si>
  <si>
    <t>CDS Roll:</t>
  </si>
  <si>
    <t>Delta</t>
  </si>
  <si>
    <t>Val on 9/22</t>
  </si>
  <si>
    <t>ACAFP CDS Sub EUR 5Y</t>
  </si>
  <si>
    <t>$ACAFP 6.7% 34 AT1</t>
  </si>
  <si>
    <t>SubFin S43</t>
  </si>
  <si>
    <t>Not'l=</t>
  </si>
  <si>
    <t>Old ACAFP SUB CDS Series</t>
  </si>
  <si>
    <t>Carry=</t>
  </si>
  <si>
    <t>New ACAFP SUB CDS Series</t>
  </si>
  <si>
    <t>Financing Rate=</t>
  </si>
  <si>
    <t>Non-economic sprd =</t>
  </si>
  <si>
    <t>Initial Duration=</t>
  </si>
  <si>
    <t>EUR/USD=</t>
  </si>
  <si>
    <t>Net P/L</t>
  </si>
  <si>
    <t>Price</t>
  </si>
  <si>
    <t>Roll Adj Sprd</t>
  </si>
  <si>
    <t>Sprd P/L</t>
  </si>
  <si>
    <t>Carry P/L</t>
  </si>
  <si>
    <t>Price P/L</t>
  </si>
  <si>
    <t>Date</t>
  </si>
  <si>
    <t>-</t>
  </si>
  <si>
    <t>Sprd</t>
  </si>
  <si>
    <t>LDOIM CDS EUR SR 5Y D14 Corp</t>
  </si>
  <si>
    <t>HOFP CDS EUR SR 5Y D14 Corp</t>
  </si>
  <si>
    <t>ENIIM CDS EUR SR 5Y D14 Corp</t>
  </si>
  <si>
    <t>Live BBG PX=</t>
  </si>
  <si>
    <t>Leonardo</t>
  </si>
  <si>
    <t>Thales</t>
  </si>
  <si>
    <t>Eni</t>
  </si>
  <si>
    <t>Name=</t>
  </si>
  <si>
    <t>BBG Ticker=</t>
  </si>
  <si>
    <t>LCL SA CDS EUR SUB 5Y D14 Corp</t>
  </si>
  <si>
    <t>ACAFP 6.7 PERP REGS Corp</t>
  </si>
  <si>
    <t>Aviva</t>
  </si>
  <si>
    <t>Zurich Insurance</t>
  </si>
  <si>
    <t>AVLN CDS EUR SR 5Y D14 Corp</t>
  </si>
  <si>
    <t>ZURNVXINS CDS EUR SR 5Y D14 Corp</t>
  </si>
  <si>
    <t>BACR 4 ⅜ PERP Corp</t>
  </si>
  <si>
    <t>BACR 7 ⅝ PERP Corp</t>
  </si>
  <si>
    <t>US06738EBT10 Corp</t>
  </si>
  <si>
    <t>US06738EDC66 Corp</t>
  </si>
  <si>
    <t>KSA 4.875% 35</t>
  </si>
  <si>
    <t>T 4.25% 08/15/35</t>
  </si>
  <si>
    <t>PIFKSA 5.375% 54</t>
  </si>
  <si>
    <t>T 4.75% 05/15/55</t>
  </si>
  <si>
    <t>YL816138@IBVL Corp</t>
  </si>
  <si>
    <t>91282CNC@BGN Govt</t>
  </si>
  <si>
    <t>ZF486828@IBVL Corp</t>
  </si>
  <si>
    <t>912810UK@BGN Govt</t>
  </si>
  <si>
    <t>Rabobank</t>
  </si>
  <si>
    <t>Mediobanca</t>
  </si>
  <si>
    <t>RABOBK CDS EUR SUB 5Y D14 Corp</t>
  </si>
  <si>
    <t>BACRED CDS EUR SR 5Y D14 Corp</t>
  </si>
  <si>
    <t>IHYG</t>
  </si>
  <si>
    <t>OBL 2.4% 28</t>
  </si>
  <si>
    <t>IEAC</t>
  </si>
  <si>
    <t>OBL 2.2% 30</t>
  </si>
  <si>
    <t>IHYG LN EQUITY</t>
  </si>
  <si>
    <t>IEAC LN EQUITY</t>
  </si>
  <si>
    <t>ZK885444@BGN Corp</t>
  </si>
  <si>
    <t>YN961570@BGN Corp</t>
  </si>
  <si>
    <t>HYG</t>
  </si>
  <si>
    <t>HYG US EQUITY</t>
  </si>
  <si>
    <t>CT5</t>
  </si>
  <si>
    <t>LQD</t>
  </si>
  <si>
    <t>CT10</t>
  </si>
  <si>
    <t>CT30</t>
  </si>
  <si>
    <t>LQD US EQUITY</t>
  </si>
  <si>
    <t>912810UM@BGN Govt</t>
  </si>
  <si>
    <t>91282CNT@BGN Govt</t>
  </si>
  <si>
    <t>91282CNX@BGN Govt</t>
  </si>
  <si>
    <t>VCIT</t>
  </si>
  <si>
    <t>VCIT US EQUITY</t>
  </si>
  <si>
    <t>CT7</t>
  </si>
  <si>
    <t>91282CNZ@BGN Govt</t>
  </si>
  <si>
    <t>91282CPA@BGN Govt</t>
  </si>
  <si>
    <t>Div:</t>
  </si>
  <si>
    <t>Units Held:</t>
  </si>
  <si>
    <t>Net Div Effect:</t>
  </si>
  <si>
    <t>BAC 5Y CDS</t>
  </si>
  <si>
    <t>BOFA CDS USD SR 5Y D14 Corp</t>
  </si>
  <si>
    <t>BAC 5.464% 5/36</t>
  </si>
  <si>
    <t>BAC 5.464 05/09/36 Corp</t>
  </si>
  <si>
    <t>close_date</t>
  </si>
  <si>
    <t>ticker</t>
  </si>
  <si>
    <t>red</t>
  </si>
  <si>
    <t>tier</t>
  </si>
  <si>
    <t>docclause</t>
  </si>
  <si>
    <t>ccy</t>
  </si>
  <si>
    <t>tenor</t>
  </si>
  <si>
    <t>spread</t>
  </si>
  <si>
    <t>BACORP</t>
  </si>
  <si>
    <t>0G655D</t>
  </si>
  <si>
    <t>SNRFOR</t>
  </si>
  <si>
    <t>XR14</t>
  </si>
  <si>
    <t>USD</t>
  </si>
  <si>
    <t>5y</t>
  </si>
  <si>
    <t xml:space="preserve">Time = </t>
  </si>
  <si>
    <t>Time =</t>
  </si>
  <si>
    <t>s</t>
  </si>
  <si>
    <t>CDX IG 5Y</t>
  </si>
  <si>
    <t>SPX</t>
  </si>
  <si>
    <t>CDX IG CDSI GEN 5Y CORP</t>
  </si>
  <si>
    <t>SPX US 12/19/25 P6750 Index</t>
  </si>
  <si>
    <t>Div Effect</t>
  </si>
  <si>
    <t>Units Held</t>
  </si>
  <si>
    <t>IHYG Div</t>
  </si>
  <si>
    <t>IEAC Div</t>
  </si>
  <si>
    <t>Raw P/L</t>
  </si>
  <si>
    <t>IHYG vs IEAC</t>
  </si>
  <si>
    <t>HYG vs LQD</t>
  </si>
  <si>
    <t>Diff IHYG vs IEAC</t>
  </si>
  <si>
    <t>Diff HYG vs LQD</t>
  </si>
  <si>
    <t>Vol</t>
  </si>
  <si>
    <t>Beta</t>
  </si>
  <si>
    <t>Beta IHYG vs IEAC</t>
  </si>
  <si>
    <t>Beta HYG vs LQD</t>
  </si>
  <si>
    <t>Cum IHYG vs IEAC</t>
  </si>
  <si>
    <t>Cum HYG vs LQD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</si>
</sst>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44" formatCode="_(&quot;$&quot;* #,##0.00_);_(&quot;$&quot;* \(#,##0.00\);_(&quot;$&quot;* &quot;-&quot;??_);_(@_)"/>
    <numFmt numFmtId="164" formatCode="_(&quot;$&quot;* #,##0_);_(&quot;$&quot;* \(#,##0\);_(&quot;$&quot;* &quot;-&quot;??_);_(@_)"/>
    <numFmt numFmtId="165" formatCode="0.000%"/>
    <numFmt numFmtId="166" formatCode="0.000"/>
    <numFmt numFmtId="167" formatCode="[$-409]m/d/yy\ h:mm\ AM/PM;@"/>
    <numFmt numFmtId="168" formatCode="[$-409]d\-mmm\-yy;@"/>
    <numFmt numFmtId="171" formatCode="[$-409]dd\-mmm\-yy;@"/>
  </numFmts>
  <fonts count="8" x14ac:knownFonts="1">
    <font>
      <sz val="11"/>
      <color theme="1"/>
      <name val="Calibri"/>
      <family val="2"/>
      <scheme val="minor"/>
    </font>
    <font>
      <sz val="11"/>
      <color rgb="FF000000"/>
      <name val="Aptos Narrow"/>
      <family val="2"/>
    </font>
    <font>
      <b/>
      <sz val="11"/>
      <color rgb="FF000000"/>
      <name val="Aptos Narrow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Aptos Narrow"/>
      <family val="2"/>
    </font>
    <font>
      <b/>
      <sz val="8"/>
      <color theme="1"/>
      <name val="Segoe UI"/>
      <family val="2"/>
    </font>
    <font>
      <sz val="8"/>
      <color theme="1"/>
      <name val="Segoe UI"/>
      <family val="2"/>
    </font>
  </fonts>
  <fills count="11">
    <fill>
      <patternFill patternType="none"/>
    </fill>
    <fill>
      <patternFill patternType="gray125"/>
    </fill>
    <fill>
      <patternFill patternType="solid">
        <fgColor rgb="FFB5E6A2"/>
        <bgColor rgb="FF000000"/>
      </patternFill>
    </fill>
    <fill>
      <patternFill patternType="solid">
        <fgColor rgb="FFF5C6AB"/>
        <bgColor rgb="FF000000"/>
      </patternFill>
    </fill>
    <fill>
      <patternFill patternType="solid">
        <fgColor rgb="FFF1A983"/>
        <bgColor rgb="FF000000"/>
      </patternFill>
    </fill>
    <fill>
      <patternFill patternType="solid">
        <fgColor rgb="FFFFFF00"/>
        <bgColor rgb="FF000000"/>
      </patternFill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rgb="FF000000"/>
      </patternFill>
    </fill>
    <fill>
      <patternFill patternType="solid">
        <fgColor theme="5" tint="0.59999389629810485"/>
        <bgColor rgb="FF000000"/>
      </patternFill>
    </fill>
    <fill>
      <patternFill patternType="solid">
        <fgColor theme="2" tint="-0.249977111117893"/>
        <bgColor rgb="FF000000"/>
      </patternFill>
    </fill>
    <fill>
      <patternFill patternType="solid">
        <fgColor rgb="FFFFFFFF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</borders>
  <cellStyleXfs count="2">
    <xf numFmtId="0" fontId="0" fillId="0" borderId="0"/>
    <xf numFmtId="44" fontId="3" fillId="0" borderId="0" applyFont="0" applyFill="0" applyBorder="0" applyAlignment="0" applyProtection="0"/>
  </cellStyleXfs>
  <cellXfs count="170">
    <xf numFmtId="0" fontId="0" fillId="0" borderId="0" xfId="0"/>
    <xf numFmtId="0" fontId="1" fillId="0" borderId="0" xfId="0" applyFont="1" applyAlignment="1">
      <alignment horizontal="center" vertical="center"/>
    </xf>
    <xf numFmtId="16" fontId="1" fillId="0" borderId="0" xfId="0" applyNumberFormat="1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164" fontId="1" fillId="0" borderId="0" xfId="0" applyNumberFormat="1" applyFont="1" applyAlignment="1">
      <alignment horizontal="center" vertical="center"/>
    </xf>
    <xf numFmtId="164" fontId="1" fillId="0" borderId="3" xfId="0" applyNumberFormat="1" applyFont="1" applyBorder="1" applyAlignment="1">
      <alignment horizontal="center" vertical="center"/>
    </xf>
    <xf numFmtId="9" fontId="1" fillId="0" borderId="0" xfId="0" applyNumberFormat="1" applyFont="1" applyAlignment="1">
      <alignment horizontal="center" vertical="center"/>
    </xf>
    <xf numFmtId="10" fontId="1" fillId="0" borderId="3" xfId="0" applyNumberFormat="1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0" fillId="0" borderId="8" xfId="0" applyBorder="1" applyAlignment="1">
      <alignment horizontal="center" vertical="center" wrapText="1"/>
    </xf>
    <xf numFmtId="164" fontId="1" fillId="0" borderId="8" xfId="0" applyNumberFormat="1" applyFont="1" applyBorder="1" applyAlignment="1">
      <alignment horizontal="center" vertical="center"/>
    </xf>
    <xf numFmtId="9" fontId="1" fillId="0" borderId="8" xfId="0" applyNumberFormat="1" applyFont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16" fontId="1" fillId="0" borderId="10" xfId="0" applyNumberFormat="1" applyFont="1" applyBorder="1" applyAlignment="1">
      <alignment horizontal="center" vertical="center"/>
    </xf>
    <xf numFmtId="16" fontId="1" fillId="0" borderId="12" xfId="0" applyNumberFormat="1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3" borderId="1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" fontId="1" fillId="0" borderId="0" xfId="0" applyNumberFormat="1" applyFont="1" applyAlignment="1">
      <alignment horizontal="center" vertical="center"/>
    </xf>
    <xf numFmtId="1" fontId="1" fillId="0" borderId="3" xfId="0" applyNumberFormat="1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15" fontId="1" fillId="0" borderId="8" xfId="0" applyNumberFormat="1" applyFont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1" fontId="1" fillId="0" borderId="8" xfId="0" applyNumberFormat="1" applyFont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2" fillId="2" borderId="12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9" fontId="1" fillId="0" borderId="3" xfId="0" applyNumberFormat="1" applyFont="1" applyBorder="1" applyAlignment="1">
      <alignment horizontal="center" vertical="center"/>
    </xf>
    <xf numFmtId="0" fontId="2" fillId="7" borderId="12" xfId="0" applyFont="1" applyFill="1" applyBorder="1" applyAlignment="1">
      <alignment horizontal="center" vertical="center"/>
    </xf>
    <xf numFmtId="2" fontId="1" fillId="0" borderId="2" xfId="0" applyNumberFormat="1" applyFont="1" applyBorder="1" applyAlignment="1">
      <alignment horizontal="center" vertical="center"/>
    </xf>
    <xf numFmtId="2" fontId="1" fillId="0" borderId="0" xfId="0" applyNumberFormat="1" applyFont="1" applyAlignment="1">
      <alignment horizontal="center" vertical="center"/>
    </xf>
    <xf numFmtId="2" fontId="1" fillId="0" borderId="3" xfId="0" applyNumberFormat="1" applyFont="1" applyBorder="1" applyAlignment="1">
      <alignment horizontal="center" vertical="center"/>
    </xf>
    <xf numFmtId="2" fontId="1" fillId="0" borderId="4" xfId="0" applyNumberFormat="1" applyFont="1" applyBorder="1" applyAlignment="1">
      <alignment horizontal="center" vertical="center"/>
    </xf>
    <xf numFmtId="1" fontId="1" fillId="0" borderId="5" xfId="0" applyNumberFormat="1" applyFont="1" applyBorder="1" applyAlignment="1">
      <alignment horizontal="center" vertical="center"/>
    </xf>
    <xf numFmtId="1" fontId="1" fillId="0" borderId="6" xfId="0" applyNumberFormat="1" applyFont="1" applyBorder="1" applyAlignment="1">
      <alignment horizontal="center" vertical="center"/>
    </xf>
    <xf numFmtId="1" fontId="1" fillId="0" borderId="9" xfId="0" applyNumberFormat="1" applyFont="1" applyBorder="1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14" fontId="1" fillId="0" borderId="0" xfId="0" applyNumberFormat="1" applyFont="1" applyAlignment="1">
      <alignment horizontal="center" vertical="center"/>
    </xf>
    <xf numFmtId="0" fontId="0" fillId="0" borderId="0" xfId="0" applyAlignment="1">
      <alignment horizontal="center"/>
    </xf>
    <xf numFmtId="0" fontId="0" fillId="0" borderId="8" xfId="0" applyBorder="1" applyAlignment="1">
      <alignment horizontal="center"/>
    </xf>
    <xf numFmtId="2" fontId="0" fillId="0" borderId="2" xfId="0" applyNumberFormat="1" applyBorder="1" applyAlignment="1">
      <alignment horizontal="center"/>
    </xf>
    <xf numFmtId="1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/>
    </xf>
    <xf numFmtId="2" fontId="0" fillId="0" borderId="2" xfId="0" applyNumberFormat="1" applyBorder="1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1" fontId="0" fillId="0" borderId="3" xfId="0" applyNumberFormat="1" applyBorder="1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165" fontId="1" fillId="0" borderId="3" xfId="0" applyNumberFormat="1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164" fontId="1" fillId="0" borderId="2" xfId="0" applyNumberFormat="1" applyFont="1" applyBorder="1" applyAlignment="1">
      <alignment horizontal="center" vertical="center"/>
    </xf>
    <xf numFmtId="165" fontId="1" fillId="0" borderId="2" xfId="0" applyNumberFormat="1" applyFont="1" applyBorder="1" applyAlignment="1">
      <alignment horizontal="center" vertical="center"/>
    </xf>
    <xf numFmtId="10" fontId="1" fillId="0" borderId="2" xfId="0" applyNumberFormat="1" applyFont="1" applyBorder="1" applyAlignment="1">
      <alignment horizontal="center" vertical="center"/>
    </xf>
    <xf numFmtId="1" fontId="0" fillId="0" borderId="5" xfId="0" applyNumberFormat="1" applyBorder="1" applyAlignment="1">
      <alignment horizontal="center" vertical="center"/>
    </xf>
    <xf numFmtId="0" fontId="2" fillId="8" borderId="12" xfId="0" applyFont="1" applyFill="1" applyBorder="1" applyAlignment="1">
      <alignment horizontal="center" vertical="center"/>
    </xf>
    <xf numFmtId="0" fontId="2" fillId="9" borderId="11" xfId="0" applyFont="1" applyFill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10" fontId="1" fillId="0" borderId="0" xfId="0" applyNumberFormat="1" applyFont="1" applyAlignment="1">
      <alignment horizontal="center" vertical="center"/>
    </xf>
    <xf numFmtId="14" fontId="0" fillId="0" borderId="0" xfId="0" applyNumberFormat="1" applyAlignment="1">
      <alignment horizontal="center"/>
    </xf>
    <xf numFmtId="166" fontId="1" fillId="0" borderId="2" xfId="0" applyNumberFormat="1" applyFont="1" applyBorder="1" applyAlignment="1">
      <alignment horizontal="center" vertical="center"/>
    </xf>
    <xf numFmtId="0" fontId="2" fillId="5" borderId="12" xfId="0" applyFont="1" applyFill="1" applyBorder="1" applyAlignment="1">
      <alignment horizontal="center" vertical="center"/>
    </xf>
    <xf numFmtId="14" fontId="1" fillId="0" borderId="5" xfId="0" applyNumberFormat="1" applyFont="1" applyBorder="1" applyAlignment="1">
      <alignment horizontal="center" vertical="center"/>
    </xf>
    <xf numFmtId="14" fontId="1" fillId="0" borderId="4" xfId="0" applyNumberFormat="1" applyFont="1" applyBorder="1" applyAlignment="1">
      <alignment horizontal="center" vertical="center"/>
    </xf>
    <xf numFmtId="14" fontId="1" fillId="0" borderId="6" xfId="0" applyNumberFormat="1" applyFont="1" applyBorder="1" applyAlignment="1">
      <alignment horizontal="center" vertical="center"/>
    </xf>
    <xf numFmtId="44" fontId="1" fillId="0" borderId="8" xfId="1" applyFont="1" applyBorder="1" applyAlignment="1">
      <alignment horizontal="center" vertical="center"/>
    </xf>
    <xf numFmtId="164" fontId="1" fillId="0" borderId="8" xfId="1" applyNumberFormat="1" applyFont="1" applyBorder="1" applyAlignment="1">
      <alignment horizontal="center" vertical="center"/>
    </xf>
    <xf numFmtId="44" fontId="0" fillId="0" borderId="8" xfId="1" applyFont="1" applyBorder="1" applyAlignment="1">
      <alignment horizontal="center" vertical="center"/>
    </xf>
    <xf numFmtId="44" fontId="0" fillId="0" borderId="9" xfId="1" applyFont="1" applyBorder="1" applyAlignment="1">
      <alignment horizontal="center" vertical="center"/>
    </xf>
    <xf numFmtId="44" fontId="0" fillId="0" borderId="0" xfId="1" applyFont="1" applyAlignment="1">
      <alignment horizontal="center" vertical="center"/>
    </xf>
    <xf numFmtId="0" fontId="0" fillId="0" borderId="15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4" xfId="0" applyBorder="1" applyAlignment="1">
      <alignment horizontal="center"/>
    </xf>
    <xf numFmtId="1" fontId="0" fillId="0" borderId="5" xfId="0" applyNumberFormat="1" applyBorder="1" applyAlignment="1">
      <alignment horizontal="center"/>
    </xf>
    <xf numFmtId="1" fontId="0" fillId="0" borderId="6" xfId="0" applyNumberFormat="1" applyBorder="1" applyAlignment="1">
      <alignment horizontal="center"/>
    </xf>
    <xf numFmtId="14" fontId="1" fillId="0" borderId="14" xfId="0" applyNumberFormat="1" applyFont="1" applyBorder="1" applyAlignment="1">
      <alignment horizontal="center" vertical="center"/>
    </xf>
    <xf numFmtId="2" fontId="1" fillId="0" borderId="6" xfId="0" applyNumberFormat="1" applyFont="1" applyBorder="1" applyAlignment="1">
      <alignment horizontal="center" vertical="center"/>
    </xf>
    <xf numFmtId="164" fontId="1" fillId="0" borderId="11" xfId="1" applyNumberFormat="1" applyFont="1" applyBorder="1" applyAlignment="1">
      <alignment horizontal="center" vertical="center"/>
    </xf>
    <xf numFmtId="0" fontId="4" fillId="0" borderId="13" xfId="0" applyFont="1" applyBorder="1" applyAlignment="1">
      <alignment horizontal="center"/>
    </xf>
    <xf numFmtId="14" fontId="2" fillId="0" borderId="13" xfId="0" applyNumberFormat="1" applyFont="1" applyBorder="1" applyAlignment="1">
      <alignment horizontal="center" vertical="center"/>
    </xf>
    <xf numFmtId="14" fontId="2" fillId="0" borderId="10" xfId="0" applyNumberFormat="1" applyFont="1" applyBorder="1" applyAlignment="1">
      <alignment horizontal="center" vertical="center"/>
    </xf>
    <xf numFmtId="164" fontId="1" fillId="0" borderId="9" xfId="0" applyNumberFormat="1" applyFont="1" applyBorder="1" applyAlignment="1">
      <alignment horizontal="center" vertical="center"/>
    </xf>
    <xf numFmtId="164" fontId="5" fillId="0" borderId="8" xfId="1" applyNumberFormat="1" applyFont="1" applyBorder="1" applyAlignment="1">
      <alignment horizontal="center" vertical="center"/>
    </xf>
    <xf numFmtId="164" fontId="1" fillId="0" borderId="9" xfId="1" applyNumberFormat="1" applyFont="1" applyBorder="1" applyAlignment="1">
      <alignment horizontal="center" vertical="center"/>
    </xf>
    <xf numFmtId="164" fontId="1" fillId="6" borderId="1" xfId="1" applyNumberFormat="1" applyFont="1" applyFill="1" applyBorder="1" applyAlignment="1">
      <alignment horizontal="center" vertical="center"/>
    </xf>
    <xf numFmtId="14" fontId="2" fillId="9" borderId="11" xfId="0" applyNumberFormat="1" applyFont="1" applyFill="1" applyBorder="1" applyAlignment="1">
      <alignment horizontal="center" vertical="center"/>
    </xf>
    <xf numFmtId="14" fontId="2" fillId="2" borderId="1" xfId="0" applyNumberFormat="1" applyFont="1" applyFill="1" applyBorder="1" applyAlignment="1">
      <alignment horizontal="center" vertical="center"/>
    </xf>
    <xf numFmtId="14" fontId="2" fillId="7" borderId="12" xfId="0" applyNumberFormat="1" applyFont="1" applyFill="1" applyBorder="1" applyAlignment="1">
      <alignment horizontal="center" vertical="center"/>
    </xf>
    <xf numFmtId="14" fontId="2" fillId="3" borderId="11" xfId="0" applyNumberFormat="1" applyFont="1" applyFill="1" applyBorder="1" applyAlignment="1">
      <alignment horizontal="center" vertical="center"/>
    </xf>
    <xf numFmtId="14" fontId="2" fillId="5" borderId="12" xfId="0" applyNumberFormat="1" applyFont="1" applyFill="1" applyBorder="1" applyAlignment="1">
      <alignment horizontal="center" vertical="center"/>
    </xf>
    <xf numFmtId="14" fontId="2" fillId="8" borderId="12" xfId="0" applyNumberFormat="1" applyFont="1" applyFill="1" applyBorder="1" applyAlignment="1">
      <alignment horizontal="center" vertical="center"/>
    </xf>
    <xf numFmtId="2" fontId="1" fillId="0" borderId="13" xfId="0" applyNumberFormat="1" applyFont="1" applyBorder="1" applyAlignment="1">
      <alignment horizontal="center" vertical="center"/>
    </xf>
    <xf numFmtId="2" fontId="1" fillId="0" borderId="15" xfId="0" applyNumberFormat="1" applyFont="1" applyBorder="1" applyAlignment="1">
      <alignment horizontal="center" vertical="center"/>
    </xf>
    <xf numFmtId="2" fontId="1" fillId="0" borderId="14" xfId="0" applyNumberFormat="1" applyFont="1" applyBorder="1" applyAlignment="1">
      <alignment horizontal="center" vertical="center"/>
    </xf>
    <xf numFmtId="14" fontId="1" fillId="0" borderId="8" xfId="0" applyNumberFormat="1" applyFont="1" applyBorder="1" applyAlignment="1">
      <alignment horizontal="center" vertical="center"/>
    </xf>
    <xf numFmtId="0" fontId="2" fillId="5" borderId="11" xfId="0" applyFont="1" applyFill="1" applyBorder="1" applyAlignment="1">
      <alignment horizontal="center" vertical="center"/>
    </xf>
    <xf numFmtId="10" fontId="1" fillId="0" borderId="8" xfId="0" applyNumberFormat="1" applyFont="1" applyBorder="1" applyAlignment="1">
      <alignment horizontal="center" vertical="center"/>
    </xf>
    <xf numFmtId="0" fontId="0" fillId="10" borderId="0" xfId="0" applyFill="1"/>
    <xf numFmtId="0" fontId="6" fillId="10" borderId="0" xfId="0" applyFont="1" applyFill="1" applyAlignment="1">
      <alignment horizontal="right" vertical="center" wrapText="1"/>
    </xf>
    <xf numFmtId="14" fontId="7" fillId="10" borderId="0" xfId="0" applyNumberFormat="1" applyFont="1" applyFill="1" applyAlignment="1">
      <alignment horizontal="right" vertical="center" wrapText="1"/>
    </xf>
    <xf numFmtId="0" fontId="7" fillId="10" borderId="0" xfId="0" applyFont="1" applyFill="1" applyAlignment="1">
      <alignment horizontal="right" vertical="center" wrapText="1"/>
    </xf>
    <xf numFmtId="2" fontId="0" fillId="0" borderId="4" xfId="0" applyNumberFormat="1" applyBorder="1" applyAlignment="1">
      <alignment horizontal="center" vertical="center"/>
    </xf>
    <xf numFmtId="14" fontId="0" fillId="0" borderId="0" xfId="0" applyNumberFormat="1" applyAlignment="1">
      <alignment horizontal="center" vertical="center" wrapText="1"/>
    </xf>
    <xf numFmtId="0" fontId="4" fillId="0" borderId="0" xfId="0" applyFont="1" applyAlignment="1">
      <alignment horizontal="center"/>
    </xf>
    <xf numFmtId="18" fontId="4" fillId="0" borderId="0" xfId="0" applyNumberFormat="1" applyFont="1" applyAlignment="1">
      <alignment horizontal="center"/>
    </xf>
    <xf numFmtId="2" fontId="1" fillId="0" borderId="5" xfId="0" applyNumberFormat="1" applyFont="1" applyBorder="1" applyAlignment="1">
      <alignment horizontal="center" vertical="center"/>
    </xf>
    <xf numFmtId="167" fontId="1" fillId="0" borderId="0" xfId="0" applyNumberFormat="1" applyFont="1" applyAlignment="1">
      <alignment horizontal="center" vertical="center"/>
    </xf>
    <xf numFmtId="167" fontId="2" fillId="3" borderId="11" xfId="0" applyNumberFormat="1" applyFont="1" applyFill="1" applyBorder="1" applyAlignment="1">
      <alignment horizontal="center" vertical="center"/>
    </xf>
    <xf numFmtId="167" fontId="0" fillId="0" borderId="0" xfId="0" applyNumberFormat="1" applyAlignment="1">
      <alignment horizontal="center" vertical="center"/>
    </xf>
    <xf numFmtId="167" fontId="0" fillId="0" borderId="0" xfId="0" applyNumberFormat="1" applyAlignment="1">
      <alignment horizontal="center"/>
    </xf>
    <xf numFmtId="22" fontId="0" fillId="0" borderId="0" xfId="0" applyNumberFormat="1" applyAlignment="1">
      <alignment horizontal="center" vertical="center"/>
    </xf>
    <xf numFmtId="0" fontId="2" fillId="0" borderId="0" xfId="0" applyFont="1" applyAlignment="1">
      <alignment horizontal="center" vertical="center"/>
    </xf>
    <xf numFmtId="19" fontId="4" fillId="0" borderId="0" xfId="0" applyNumberFormat="1" applyFont="1" applyAlignment="1">
      <alignment horizontal="center" vertical="center"/>
    </xf>
    <xf numFmtId="22" fontId="0" fillId="0" borderId="0" xfId="0" applyNumberFormat="1" applyAlignment="1">
      <alignment horizontal="center"/>
    </xf>
    <xf numFmtId="22" fontId="1" fillId="0" borderId="0" xfId="0" applyNumberFormat="1" applyFont="1" applyAlignment="1">
      <alignment horizontal="center" vertical="center"/>
    </xf>
    <xf numFmtId="168" fontId="1" fillId="0" borderId="8" xfId="0" applyNumberFormat="1" applyFont="1" applyBorder="1" applyAlignment="1">
      <alignment horizontal="center" vertical="center"/>
    </xf>
    <xf numFmtId="168" fontId="1" fillId="0" borderId="9" xfId="0" applyNumberFormat="1" applyFont="1" applyBorder="1" applyAlignment="1">
      <alignment horizontal="center" vertical="center"/>
    </xf>
    <xf numFmtId="168" fontId="0" fillId="0" borderId="0" xfId="0" applyNumberFormat="1" applyAlignment="1">
      <alignment horizontal="center"/>
    </xf>
    <xf numFmtId="168" fontId="0" fillId="0" borderId="0" xfId="0" applyNumberFormat="1" applyAlignment="1">
      <alignment horizontal="center" vertical="center"/>
    </xf>
    <xf numFmtId="0" fontId="2" fillId="2" borderId="10" xfId="0" applyFont="1" applyFill="1" applyBorder="1" applyAlignment="1">
      <alignment horizontal="center" vertical="center"/>
    </xf>
    <xf numFmtId="0" fontId="2" fillId="2" borderId="12" xfId="0" applyFont="1" applyFill="1" applyBorder="1" applyAlignment="1">
      <alignment horizontal="center" vertical="center"/>
    </xf>
    <xf numFmtId="0" fontId="2" fillId="2" borderId="11" xfId="0" applyFont="1" applyFill="1" applyBorder="1" applyAlignment="1">
      <alignment horizontal="center" vertical="center"/>
    </xf>
    <xf numFmtId="0" fontId="2" fillId="4" borderId="10" xfId="0" applyFont="1" applyFill="1" applyBorder="1" applyAlignment="1">
      <alignment horizontal="center" vertical="center"/>
    </xf>
    <xf numFmtId="0" fontId="2" fillId="4" borderId="12" xfId="0" applyFont="1" applyFill="1" applyBorder="1" applyAlignment="1">
      <alignment horizontal="center" vertical="center"/>
    </xf>
    <xf numFmtId="0" fontId="2" fillId="4" borderId="11" xfId="0" applyFont="1" applyFill="1" applyBorder="1" applyAlignment="1">
      <alignment horizontal="center" vertical="center"/>
    </xf>
    <xf numFmtId="0" fontId="2" fillId="7" borderId="10" xfId="0" applyFont="1" applyFill="1" applyBorder="1" applyAlignment="1">
      <alignment horizontal="center" vertical="center"/>
    </xf>
    <xf numFmtId="0" fontId="2" fillId="7" borderId="12" xfId="0" applyFont="1" applyFill="1" applyBorder="1" applyAlignment="1">
      <alignment horizontal="center" vertical="center"/>
    </xf>
    <xf numFmtId="0" fontId="2" fillId="7" borderId="11" xfId="0" applyFont="1" applyFill="1" applyBorder="1" applyAlignment="1">
      <alignment horizontal="center" vertical="center"/>
    </xf>
    <xf numFmtId="0" fontId="2" fillId="9" borderId="10" xfId="0" applyFont="1" applyFill="1" applyBorder="1" applyAlignment="1">
      <alignment horizontal="center" vertical="center"/>
    </xf>
    <xf numFmtId="0" fontId="2" fillId="9" borderId="12" xfId="0" applyFont="1" applyFill="1" applyBorder="1" applyAlignment="1">
      <alignment horizontal="center" vertical="center"/>
    </xf>
    <xf numFmtId="0" fontId="2" fillId="9" borderId="11" xfId="0" applyFont="1" applyFill="1" applyBorder="1" applyAlignment="1">
      <alignment horizontal="center" vertical="center"/>
    </xf>
    <xf numFmtId="14" fontId="2" fillId="9" borderId="10" xfId="0" applyNumberFormat="1" applyFont="1" applyFill="1" applyBorder="1" applyAlignment="1">
      <alignment horizontal="center" vertical="center"/>
    </xf>
    <xf numFmtId="14" fontId="2" fillId="9" borderId="11" xfId="0" applyNumberFormat="1" applyFont="1" applyFill="1" applyBorder="1" applyAlignment="1">
      <alignment horizontal="center" vertical="center"/>
    </xf>
    <xf numFmtId="14" fontId="2" fillId="4" borderId="12" xfId="0" applyNumberFormat="1" applyFont="1" applyFill="1" applyBorder="1" applyAlignment="1">
      <alignment horizontal="center" vertical="center"/>
    </xf>
    <xf numFmtId="14" fontId="2" fillId="5" borderId="10" xfId="0" applyNumberFormat="1" applyFont="1" applyFill="1" applyBorder="1" applyAlignment="1">
      <alignment horizontal="center" vertical="center"/>
    </xf>
    <xf numFmtId="0" fontId="2" fillId="5" borderId="12" xfId="0" applyFont="1" applyFill="1" applyBorder="1" applyAlignment="1">
      <alignment horizontal="center" vertical="center"/>
    </xf>
    <xf numFmtId="14" fontId="2" fillId="5" borderId="11" xfId="0" applyNumberFormat="1" applyFont="1" applyFill="1" applyBorder="1" applyAlignment="1">
      <alignment horizontal="center" vertical="center"/>
    </xf>
    <xf numFmtId="0" fontId="2" fillId="5" borderId="10" xfId="0" applyFont="1" applyFill="1" applyBorder="1" applyAlignment="1">
      <alignment horizontal="center" vertical="center"/>
    </xf>
    <xf numFmtId="0" fontId="2" fillId="5" borderId="11" xfId="0" applyFont="1" applyFill="1" applyBorder="1" applyAlignment="1">
      <alignment horizontal="center" vertical="center"/>
    </xf>
    <xf numFmtId="14" fontId="0" fillId="0" borderId="0" xfId="1" applyNumberFormat="1" applyFont="1" applyAlignment="1">
      <alignment horizontal="center" vertical="center"/>
    </xf>
    <xf numFmtId="14" fontId="0" fillId="0" borderId="8" xfId="0" applyNumberFormat="1" applyBorder="1" applyAlignment="1">
      <alignment horizontal="center" vertical="center"/>
    </xf>
    <xf numFmtId="0" fontId="1" fillId="5" borderId="2" xfId="0" applyFont="1" applyFill="1" applyBorder="1" applyAlignment="1">
      <alignment horizontal="center" vertical="center"/>
    </xf>
    <xf numFmtId="171" fontId="1" fillId="0" borderId="8" xfId="0" applyNumberFormat="1" applyFont="1" applyBorder="1" applyAlignment="1">
      <alignment horizontal="center" vertical="center"/>
    </xf>
    <xf numFmtId="171" fontId="0" fillId="0" borderId="8" xfId="0" applyNumberFormat="1" applyBorder="1" applyAlignment="1">
      <alignment horizontal="center"/>
    </xf>
    <xf numFmtId="171" fontId="1" fillId="0" borderId="9" xfId="0" applyNumberFormat="1" applyFont="1" applyBorder="1" applyAlignment="1">
      <alignment horizontal="center" vertical="center"/>
    </xf>
    <xf numFmtId="171" fontId="0" fillId="0" borderId="0" xfId="0" applyNumberFormat="1" applyAlignment="1">
      <alignment horizontal="center"/>
    </xf>
    <xf numFmtId="164" fontId="1" fillId="0" borderId="0" xfId="1" applyNumberFormat="1" applyFont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14" fontId="4" fillId="0" borderId="0" xfId="0" applyNumberFormat="1" applyFont="1" applyAlignment="1">
      <alignment horizontal="center"/>
    </xf>
    <xf numFmtId="1" fontId="1" fillId="0" borderId="4" xfId="0" applyNumberFormat="1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171" fontId="4" fillId="0" borderId="0" xfId="0" applyNumberFormat="1" applyFont="1" applyAlignment="1">
      <alignment horizontal="center"/>
    </xf>
    <xf numFmtId="2" fontId="4" fillId="0" borderId="0" xfId="0" applyNumberFormat="1" applyFont="1" applyAlignment="1">
      <alignment horizontal="center"/>
    </xf>
  </cellXfs>
  <cellStyles count="2">
    <cellStyle name="Currency" xfId="1" builtinId="4"/>
    <cellStyle name="Normal" xfId="0" builtinId="0"/>
  </cellStyles>
  <dxfs count="14"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volatileDependencies.xml><?xml version="1.0" encoding="utf-8"?>
<volTypes xmlns="http://schemas.openxmlformats.org/spreadsheetml/2006/main">
  <volType type="realTimeData">
    <main first="bofaddin.rtdserver">
      <tp t="s">
        <v>#N/A Requesting Data...4210756259</v>
        <stp/>
        <stp>BDH|14935268074772348826</stp>
        <tr r="AF3" s="14"/>
      </tp>
      <tp t="s">
        <v>#N/A Requesting Data...4110353409</v>
        <stp/>
        <stp>BDH|12962778500969095462</stp>
        <tr r="Q2" s="17"/>
      </tp>
      <tp t="s">
        <v>#N/A N/A</v>
        <stp/>
        <stp>BDH|11832039174389313731</stp>
        <tr r="I3" s="19"/>
      </tp>
      <tp t="s">
        <v>#N/A Requesting Data...2603661664</v>
        <stp/>
        <stp>BDP|11883986536691201393</stp>
        <tr r="C10" s="18"/>
        <tr r="C10" s="10"/>
      </tp>
      <tp t="s">
        <v>#N/A Requesting Data...3081909275</v>
        <stp/>
        <stp>BDH|16843069983234274367</stp>
        <tr r="AA3" s="18"/>
        <tr r="V3" s="10"/>
      </tp>
      <tp t="s">
        <v>#N/A Requesting Data...3582930946</v>
        <stp/>
        <stp>BDP|18062887627254797806</stp>
        <tr r="AH10" s="18"/>
        <tr r="AJ10" s="18"/>
        <tr r="C10" s="12"/>
        <tr r="E10" s="12"/>
      </tp>
      <tp t="s">
        <v>#N/A Requesting Data...4246689943</v>
        <stp/>
        <stp>BDP|16545953933052450030</stp>
        <tr r="B10" s="5"/>
      </tp>
      <tp t="s">
        <v>#N/A Requesting Data...1425066141</v>
        <stp/>
        <stp>BDP|14650062796027575721</stp>
        <tr r="AL10" s="18"/>
        <tr r="G10" s="12"/>
        <tr r="E10" s="14"/>
      </tp>
      <tp t="s">
        <v>#N/A Requesting Data...2822093523</v>
        <stp/>
        <stp>BDH|11243448991603920239</stp>
        <tr r="M3" s="1"/>
      </tp>
      <tp t="s">
        <v>#N/A Requesting Data...2555216170</v>
        <stp/>
        <stp>BDP|12076286461161277423</stp>
        <tr r="C10" s="5"/>
      </tp>
      <tp t="s">
        <v>#N/A Requesting Data...4053255624</v>
        <stp/>
        <stp>BDP|14602333172280113394</stp>
        <tr r="C10" s="19"/>
      </tp>
      <tp t="s">
        <v>#N/A Requesting Data...3243149862</v>
        <stp/>
        <stp>BDH|15135414629444979492</stp>
        <tr r="L3" s="3"/>
      </tp>
      <tp t="s">
        <v>#N/A Requesting Data...2978615814</v>
        <stp/>
        <stp>BDH|11474375954954911055</stp>
        <tr r="O3" s="2"/>
      </tp>
      <tp t="s">
        <v>#N/A Requesting Data...2620781008</v>
        <stp/>
        <stp>BDP|18219294914923540841</stp>
        <tr r="C10" s="9"/>
      </tp>
      <tp t="s">
        <v>#N/A Requesting Data...2676900383</v>
        <stp/>
        <stp>BDH|11627291771431067517</stp>
        <tr r="M3" s="2"/>
      </tp>
      <tp t="s">
        <v>#N/A Requesting Data...3686318443</v>
        <stp/>
        <stp>BDP|13030111079165378191</stp>
        <tr r="F10" s="14"/>
      </tp>
      <tp t="s">
        <v>#N/A Requesting Data...3173916226</v>
        <stp/>
        <stp>BDP|17674809694487604003</stp>
        <tr r="B10" s="18"/>
        <tr r="B10" s="10"/>
      </tp>
      <tp t="s">
        <v>#N/A Requesting Data...3487251704</v>
        <stp/>
        <stp>BDH|13964635671847154499</stp>
        <tr r="BG3" s="18"/>
        <tr r="BK3" s="18"/>
        <tr r="AB3" s="12"/>
        <tr r="X3" s="12"/>
      </tp>
      <tp t="s">
        <v>#N/A Requesting Data...1248192548</v>
        <stp/>
        <stp>BDH|18162560590571847378</stp>
        <tr r="X3" s="14"/>
      </tp>
      <tp t="s">
        <v>#N/A Requesting Data...1313094852</v>
        <stp/>
        <stp>BDP|11473368239062878490</stp>
        <tr r="AK10" s="18"/>
        <tr r="F10" s="12"/>
        <tr r="D10" s="14"/>
      </tp>
      <tp t="s">
        <v>#N/A Requesting Data...3310867700</v>
        <stp/>
        <stp>BDP|14572736216992007722</stp>
        <tr r="B10" s="2"/>
      </tp>
      <tp t="s">
        <v>#N/A Requesting Data...3051115178</v>
        <stp/>
        <stp>BDH|15267460911865140226</stp>
        <tr r="U3" s="18"/>
        <tr r="P3" s="10"/>
      </tp>
      <tp t="s">
        <v>#N/A Requesting Data...985523853</v>
        <stp/>
        <stp>BDP|13060443244535072213</stp>
        <tr r="B10" s="1"/>
      </tp>
      <tp t="s">
        <v>#N/A Requesting Data...4276765871</v>
        <stp/>
        <stp>BDH|11484576345481562505</stp>
        <tr r="L3" s="5"/>
      </tp>
      <tp t="s">
        <v>#N/A Requesting Data...2753928444</v>
        <stp/>
        <stp>BDP|17166731865344641740</stp>
        <tr r="C10" s="1"/>
      </tp>
      <tp t="s">
        <v>#N/A Requesting Data...2435026130</v>
        <stp/>
        <stp>BDH|10480072156286192651</stp>
        <tr r="M2" s="17"/>
      </tp>
      <tp t="s">
        <v>#N/A Requesting Data...3614511162</v>
        <stp/>
        <stp>BDH|12647009602432219551</stp>
        <tr r="BE3" s="18"/>
        <tr r="V3" s="12"/>
      </tp>
    </main>
    <main first="bofaddin.rtdserver">
      <tp t="s">
        <v>#N/A Requesting Data...3129111819</v>
        <stp/>
        <stp>BDH|9186517077447967092</stp>
        <tr r="L3" s="9"/>
      </tp>
      <tp t="s">
        <v>#N/A N/A</v>
        <stp/>
        <stp>BDH|7345905123703431303</stp>
        <tr r="K3" s="19"/>
      </tp>
      <tp t="s">
        <v>#N/A Requesting Data...1316244439</v>
        <stp/>
        <stp>BDP|9706553668206945454</stp>
        <tr r="D10" s="8"/>
      </tp>
      <tp t="s">
        <v>#N/A Requesting Data...1072938937</v>
        <stp/>
        <stp>BDH|5539333081823417452</stp>
        <tr r="Y3" s="18"/>
        <tr r="T3" s="10"/>
      </tp>
      <tp t="s">
        <v>#N/A Requesting Data...4279508156</v>
        <stp/>
        <stp>BDH|1329569449212382861</stp>
        <tr r="J3" s="5"/>
      </tp>
      <tp t="s">
        <v>#N/A Requesting Data...1739253598</v>
        <stp/>
        <stp>BDH|1638971538329390838</stp>
        <tr r="K3" s="1"/>
      </tp>
      <tp t="s">
        <v>#N/A Requesting Data...3707346322</v>
        <stp/>
        <stp>BDP|4329662592027264695</stp>
        <tr r="AG10" s="18"/>
        <tr r="B10" s="12"/>
      </tp>
      <tp t="s">
        <v>#N/A Requesting Data...3817328388</v>
        <stp/>
        <stp>BDH|2606501181454536025</stp>
        <tr r="BI3" s="18"/>
        <tr r="Z3" s="12"/>
        <tr r="V3" s="14"/>
      </tp>
      <tp t="s">
        <v>#N/A Requesting Data...3959170348</v>
        <stp/>
        <stp>BDP|3445302272426769594</stp>
        <tr r="B10" s="19"/>
      </tp>
      <tp t="s">
        <v>#N/A Requesting Data...2846196888</v>
        <stp/>
        <stp>BDH|5761591176155605677</stp>
        <tr r="BO3" s="18"/>
        <tr r="AF3" s="12"/>
        <tr r="AB3" s="14"/>
      </tp>
      <tp t="s">
        <v>#N/A Requesting Data...3218794060</v>
        <stp/>
        <stp>BDH|4754210311230384391</stp>
        <tr r="BM3" s="18"/>
        <tr r="AD3" s="12"/>
        <tr r="Z3" s="14"/>
      </tp>
      <tp t="s">
        <v>#N/A Requesting Data...1326661203</v>
        <stp/>
        <stp>BDP|6614610459362681385</stp>
        <tr r="E10" s="18"/>
        <tr r="E10" s="10"/>
      </tp>
      <tp t="s">
        <v>#N/A Requesting Data...4050044941</v>
        <stp/>
        <stp>BDH|2223092252715027510</stp>
        <tr r="P3" s="8"/>
      </tp>
      <tp t="s">
        <v>#N/A Requesting Data...1081593068</v>
        <stp/>
        <stp>BDP|3122389811593012513</stp>
        <tr r="C10" s="14"/>
      </tp>
      <tp t="s">
        <v>#N/A Requesting Data...1793246441</v>
        <stp/>
        <stp>BDH|7619174735834178684</stp>
        <tr r="O2" s="17"/>
      </tp>
      <tp t="s">
        <v>#N/A Requesting Data...3086061650</v>
        <stp/>
        <stp>BDH|2149093781559007481</stp>
        <tr r="V3" s="8"/>
      </tp>
      <tp t="s">
        <v>#N/A Requesting Data...1945455869</v>
        <stp/>
        <stp>BDP|1931107217112743305</stp>
        <tr r="D10" s="2"/>
      </tp>
      <tp t="s">
        <v>#N/A Requesting Data...2522824665</v>
        <stp/>
        <stp>BDP|8919074471278682748</stp>
        <tr r="C10" s="3"/>
      </tp>
      <tp t="s">
        <v>#N/A Requesting Data...3921881070</v>
        <stp/>
        <stp>BDP|6499873574608943180</stp>
        <tr r="B10" s="8"/>
      </tp>
      <tp t="s">
        <v>#N/A Requesting Data...1002703702</v>
        <stp/>
        <stp>BDP|9073119891745028595</stp>
        <tr r="E10" s="8"/>
      </tp>
      <tp t="s">
        <v>#N/A Requesting Data...3075097695</v>
        <stp/>
        <stp>BDP|7280882837258491593</stp>
        <tr r="D10" s="18"/>
        <tr r="D10" s="10"/>
      </tp>
      <tp t="s">
        <v>#N/A Requesting Data...2678640278</v>
        <stp/>
        <stp>BDH|4463772806153247286</stp>
        <tr r="Q3" s="2"/>
      </tp>
      <tp t="s">
        <v>#N/A Requesting Data...2312426428</v>
        <stp/>
        <stp>BDH|4510789450054244024</stp>
        <tr r="J3" s="9"/>
      </tp>
      <tp t="s">
        <v>#N/A Requesting Data...3910959069</v>
        <stp/>
        <stp>BDP|4720520890802409863</stp>
        <tr r="B10" s="3"/>
      </tp>
      <tp t="s">
        <v>#N/A Requesting Data...2250832102</v>
        <stp/>
        <stp>BDH|3739880719930641876</stp>
        <tr r="R3" s="8"/>
      </tp>
      <tp t="s">
        <v>#N/A Requesting Data...3805310512</v>
        <stp/>
        <stp>BDP|2192385730727379645</stp>
        <tr r="C10" s="8"/>
      </tp>
      <tp t="s">
        <v>#N/A Requesting Data...3877092759</v>
        <stp/>
        <stp>BDH|3477527779532621052</stp>
        <tr r="AD3" s="14"/>
      </tp>
      <tp t="s">
        <v>#N/A Requesting Data...3137943097</v>
        <stp/>
        <stp>BDP|519161733290183679</stp>
        <tr r="B10" s="9"/>
      </tp>
      <tp t="s">
        <v>#N/A Requesting Data...3096444253</v>
        <stp/>
        <stp>BDH|220464810598007945</stp>
        <tr r="W3" s="18"/>
        <tr r="R3" s="10"/>
      </tp>
      <tp t="s">
        <v>#N/A Requesting Data...2257296964</v>
        <stp/>
        <stp>BDH|706323504421359590</stp>
        <tr r="T3" s="8"/>
      </tp>
      <tp t="s">
        <v>#N/A Requesting Data...2168581933</v>
        <stp/>
        <stp>BDP|332801733094788947</stp>
        <tr r="AI10" s="18"/>
        <tr r="D10" s="12"/>
        <tr r="B10" s="14"/>
      </tp>
      <tp t="s">
        <v>#N/A Requesting Data...2997231829</v>
        <stp/>
        <stp>BDH|929235834849982901</stp>
        <tr r="J3" s="3"/>
      </tp>
      <tp t="s">
        <v>#N/A Requesting Data...1819980219</v>
        <stp/>
        <stp>BDP|416056535068485843</stp>
        <tr r="C10" s="2"/>
      </tp>
      <tp t="s">
        <v>#N/A Requesting Data...3836405648</v>
        <stp/>
        <stp>BDP|967432059673127000</stp>
        <tr r="G10" s="14"/>
      </tp>
    </main>
  </volType>
</volTypes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eetMetadata" Target="metadata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volatileDependencies" Target="volatileDependenci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'Live_ACAFP Basis'!$I$12</c:f>
              <c:strCache>
                <c:ptCount val="1"/>
                <c:pt idx="0">
                  <c:v>Net P/L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'Live_ACAFP Basis'!$A$13:$A$326</c:f>
              <c:numCache>
                <c:formatCode>d\-mmm\-yy</c:formatCode>
                <c:ptCount val="300"/>
                <c:pt idx="1">
                  <c:v>45903</c:v>
                </c:pt>
                <c:pt idx="2">
                  <c:v>45904</c:v>
                </c:pt>
                <c:pt idx="3">
                  <c:v>45905</c:v>
                </c:pt>
                <c:pt idx="4">
                  <c:v>45908</c:v>
                </c:pt>
                <c:pt idx="5">
                  <c:v>45909</c:v>
                </c:pt>
                <c:pt idx="6">
                  <c:v>45910</c:v>
                </c:pt>
                <c:pt idx="7">
                  <c:v>45911</c:v>
                </c:pt>
                <c:pt idx="8">
                  <c:v>45912</c:v>
                </c:pt>
                <c:pt idx="9">
                  <c:v>45915</c:v>
                </c:pt>
                <c:pt idx="10">
                  <c:v>45933</c:v>
                </c:pt>
                <c:pt idx="11">
                  <c:v>45936</c:v>
                </c:pt>
                <c:pt idx="12">
                  <c:v>45937</c:v>
                </c:pt>
                <c:pt idx="13">
                  <c:v>45938</c:v>
                </c:pt>
                <c:pt idx="14">
                  <c:v>45939</c:v>
                </c:pt>
                <c:pt idx="15">
                  <c:v>45940</c:v>
                </c:pt>
                <c:pt idx="16">
                  <c:v>45943</c:v>
                </c:pt>
                <c:pt idx="17">
                  <c:v>45944</c:v>
                </c:pt>
                <c:pt idx="18">
                  <c:v>45945</c:v>
                </c:pt>
                <c:pt idx="19">
                  <c:v>45946</c:v>
                </c:pt>
                <c:pt idx="20">
                  <c:v>45947</c:v>
                </c:pt>
                <c:pt idx="21">
                  <c:v>45950</c:v>
                </c:pt>
                <c:pt idx="22">
                  <c:v>45951</c:v>
                </c:pt>
                <c:pt idx="23">
                  <c:v>45952</c:v>
                </c:pt>
                <c:pt idx="24">
                  <c:v>45953</c:v>
                </c:pt>
                <c:pt idx="25">
                  <c:v>45954</c:v>
                </c:pt>
                <c:pt idx="26">
                  <c:v>45955</c:v>
                </c:pt>
                <c:pt idx="27">
                  <c:v>45956</c:v>
                </c:pt>
              </c:numCache>
            </c:numRef>
          </c:cat>
          <c:val>
            <c:numRef>
              <c:f>'Live_ACAFP Basis'!$I$13:$I$326</c:f>
              <c:numCache>
                <c:formatCode>_("$"* #,##0.00_);_("$"* \(#,##0.00\);_("$"* "-"??_);_(@_)</c:formatCode>
                <c:ptCount val="300"/>
                <c:pt idx="1">
                  <c:v>0</c:v>
                </c:pt>
                <c:pt idx="2" formatCode="_(&quot;$&quot;* #,##0_);_(&quot;$&quot;* \(#,##0\);_(&quot;$&quot;* &quot;-&quot;??_);_(@_)">
                  <c:v>29722.51995833364</c:v>
                </c:pt>
                <c:pt idx="3" formatCode="_(&quot;$&quot;* #,##0_);_(&quot;$&quot;* \(#,##0\);_(&quot;$&quot;* &quot;-&quot;??_);_(@_)">
                  <c:v>18086.583916666765</c:v>
                </c:pt>
                <c:pt idx="4" formatCode="_(&quot;$&quot;* #,##0_);_(&quot;$&quot;* \(#,##0\);_(&quot;$&quot;* &quot;-&quot;??_);_(@_)">
                  <c:v>48157.170791666424</c:v>
                </c:pt>
                <c:pt idx="5" formatCode="_(&quot;$&quot;* #,##0_);_(&quot;$&quot;* \(#,##0\);_(&quot;$&quot;* &quot;-&quot;??_);_(@_)">
                  <c:v>52668.419749999608</c:v>
                </c:pt>
                <c:pt idx="6" formatCode="_(&quot;$&quot;* #,##0_);_(&quot;$&quot;* \(#,##0\);_(&quot;$&quot;* &quot;-&quot;??_);_(@_)">
                  <c:v>65894.388208333519</c:v>
                </c:pt>
                <c:pt idx="7" formatCode="_(&quot;$&quot;* #,##0_);_(&quot;$&quot;* \(#,##0\);_(&quot;$&quot;* &quot;-&quot;??_);_(@_)">
                  <c:v>87248.865666666738</c:v>
                </c:pt>
                <c:pt idx="8" formatCode="_(&quot;$&quot;* #,##0_);_(&quot;$&quot;* \(#,##0\);_(&quot;$&quot;* &quot;-&quot;??_);_(@_)">
                  <c:v>73342.472624999675</c:v>
                </c:pt>
                <c:pt idx="9" formatCode="_(&quot;$&quot;* #,##0_);_(&quot;$&quot;* \(#,##0\);_(&quot;$&quot;* &quot;-&quot;??_);_(@_)">
                  <c:v>90882.740499999694</c:v>
                </c:pt>
                <c:pt idx="10" formatCode="_(&quot;$&quot;* #,##0_);_(&quot;$&quot;* \(#,##0\);_(&quot;$&quot;* &quot;-&quot;??_);_(@_)">
                  <c:v>60255.550749999988</c:v>
                </c:pt>
                <c:pt idx="11" formatCode="_(&quot;$&quot;* #,##0_);_(&quot;$&quot;* \(#,##0\);_(&quot;$&quot;* &quot;-&quot;??_);_(@_)">
                  <c:v>31785.259624999911</c:v>
                </c:pt>
                <c:pt idx="12" formatCode="_(&quot;$&quot;* #,##0_);_(&quot;$&quot;* \(#,##0\);_(&quot;$&quot;* &quot;-&quot;??_);_(@_)">
                  <c:v>35174.781583332726</c:v>
                </c:pt>
                <c:pt idx="13" formatCode="_(&quot;$&quot;* #,##0_);_(&quot;$&quot;* \(#,##0\);_(&quot;$&quot;* &quot;-&quot;??_);_(@_)">
                  <c:v>54870.620541666744</c:v>
                </c:pt>
                <c:pt idx="14" formatCode="_(&quot;$&quot;* #,##0_);_(&quot;$&quot;* \(#,##0\);_(&quot;$&quot;* &quot;-&quot;??_);_(@_)">
                  <c:v>64562.996999999639</c:v>
                </c:pt>
                <c:pt idx="15" formatCode="_(&quot;$&quot;* #,##0_);_(&quot;$&quot;* \(#,##0\);_(&quot;$&quot;* &quot;-&quot;??_);_(@_)">
                  <c:v>62371.666958332899</c:v>
                </c:pt>
                <c:pt idx="16" formatCode="_(&quot;$&quot;* #,##0_);_(&quot;$&quot;* \(#,##0\);_(&quot;$&quot;* &quot;-&quot;??_);_(@_)">
                  <c:v>19374.640833332982</c:v>
                </c:pt>
                <c:pt idx="17" formatCode="_(&quot;$&quot;* #,##0_);_(&quot;$&quot;* \(#,##0\);_(&quot;$&quot;* &quot;-&quot;??_);_(@_)">
                  <c:v>58397.865791666605</c:v>
                </c:pt>
                <c:pt idx="18" formatCode="_(&quot;$&quot;* #,##0_);_(&quot;$&quot;* \(#,##0\);_(&quot;$&quot;* &quot;-&quot;??_);_(@_)">
                  <c:v>83542.931750000134</c:v>
                </c:pt>
                <c:pt idx="19" formatCode="_(&quot;$&quot;* #,##0_);_(&quot;$&quot;* \(#,##0\);_(&quot;$&quot;* &quot;-&quot;??_);_(@_)">
                  <c:v>86508.451708333698</c:v>
                </c:pt>
                <c:pt idx="20" formatCode="_(&quot;$&quot;* #,##0_);_(&quot;$&quot;* \(#,##0\);_(&quot;$&quot;* &quot;-&quot;??_);_(@_)">
                  <c:v>27508.598316666619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AA8-4D2A-9404-F9FBDE77E27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6281952"/>
        <c:axId val="26282432"/>
      </c:lineChart>
      <c:dateAx>
        <c:axId val="26281952"/>
        <c:scaling>
          <c:orientation val="minMax"/>
        </c:scaling>
        <c:delete val="0"/>
        <c:axPos val="b"/>
        <c:numFmt formatCode="[$-409]d\-mmm\-yy;@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6282432"/>
        <c:crosses val="autoZero"/>
        <c:auto val="0"/>
        <c:lblOffset val="100"/>
        <c:baseTimeUnit val="days"/>
      </c:dateAx>
      <c:valAx>
        <c:axId val="262824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628195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'Live_EU Defence vs Oil'!$K$12</c:f>
              <c:strCache>
                <c:ptCount val="1"/>
                <c:pt idx="0">
                  <c:v>Net P/L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'Live_EU Defence vs Oil'!$A$13:$A$44</c:f>
              <c:numCache>
                <c:formatCode>[$-409]d\-mmm\-yy;@</c:formatCode>
                <c:ptCount val="32"/>
                <c:pt idx="1">
                  <c:v>45924</c:v>
                </c:pt>
                <c:pt idx="2">
                  <c:v>45925</c:v>
                </c:pt>
                <c:pt idx="3">
                  <c:v>45926</c:v>
                </c:pt>
                <c:pt idx="4">
                  <c:v>45929</c:v>
                </c:pt>
                <c:pt idx="5">
                  <c:v>45930</c:v>
                </c:pt>
                <c:pt idx="6">
                  <c:v>45931</c:v>
                </c:pt>
                <c:pt idx="7">
                  <c:v>45932</c:v>
                </c:pt>
                <c:pt idx="8">
                  <c:v>45933</c:v>
                </c:pt>
                <c:pt idx="9">
                  <c:v>45936</c:v>
                </c:pt>
                <c:pt idx="10">
                  <c:v>45937</c:v>
                </c:pt>
                <c:pt idx="11">
                  <c:v>45938</c:v>
                </c:pt>
                <c:pt idx="12">
                  <c:v>45939</c:v>
                </c:pt>
                <c:pt idx="13">
                  <c:v>45940</c:v>
                </c:pt>
                <c:pt idx="14">
                  <c:v>45943</c:v>
                </c:pt>
                <c:pt idx="15">
                  <c:v>45944</c:v>
                </c:pt>
                <c:pt idx="16">
                  <c:v>45945</c:v>
                </c:pt>
                <c:pt idx="17">
                  <c:v>45946</c:v>
                </c:pt>
                <c:pt idx="18">
                  <c:v>45947</c:v>
                </c:pt>
                <c:pt idx="19">
                  <c:v>45950</c:v>
                </c:pt>
                <c:pt idx="20">
                  <c:v>45951</c:v>
                </c:pt>
                <c:pt idx="21">
                  <c:v>45952</c:v>
                </c:pt>
                <c:pt idx="22">
                  <c:v>45953</c:v>
                </c:pt>
                <c:pt idx="23">
                  <c:v>45954</c:v>
                </c:pt>
                <c:pt idx="24">
                  <c:v>45955</c:v>
                </c:pt>
                <c:pt idx="25">
                  <c:v>45956</c:v>
                </c:pt>
              </c:numCache>
            </c:numRef>
          </c:cat>
          <c:val>
            <c:numRef>
              <c:f>'Live_EU Defence vs Oil'!$K$13:$K$44</c:f>
              <c:numCache>
                <c:formatCode>_("$"* #,##0.00_);_("$"* \(#,##0.00\);_("$"* "-"??_);_(@_)</c:formatCode>
                <c:ptCount val="32"/>
                <c:pt idx="1">
                  <c:v>0</c:v>
                </c:pt>
                <c:pt idx="2" formatCode="_(&quot;$&quot;* #,##0_);_(&quot;$&quot;* \(#,##0\);_(&quot;$&quot;* &quot;-&quot;??_);_(@_)">
                  <c:v>-37582.527555555585</c:v>
                </c:pt>
                <c:pt idx="3" formatCode="_(&quot;$&quot;* #,##0_);_(&quot;$&quot;* \(#,##0\);_(&quot;$&quot;* &quot;-&quot;??_);_(@_)">
                  <c:v>-38151.863111111059</c:v>
                </c:pt>
                <c:pt idx="4" formatCode="_(&quot;$&quot;* #,##0_);_(&quot;$&quot;* \(#,##0\);_(&quot;$&quot;* &quot;-&quot;??_);_(@_)">
                  <c:v>-39602.409777777837</c:v>
                </c:pt>
                <c:pt idx="5" formatCode="_(&quot;$&quot;* #,##0_);_(&quot;$&quot;* \(#,##0\);_(&quot;$&quot;* &quot;-&quot;??_);_(@_)">
                  <c:v>-41268.625333333359</c:v>
                </c:pt>
                <c:pt idx="6" formatCode="_(&quot;$&quot;* #,##0_);_(&quot;$&quot;* \(#,##0\);_(&quot;$&quot;* &quot;-&quot;??_);_(@_)">
                  <c:v>-36586.68088888887</c:v>
                </c:pt>
                <c:pt idx="7" formatCode="_(&quot;$&quot;* #,##0_);_(&quot;$&quot;* \(#,##0\);_(&quot;$&quot;* &quot;-&quot;??_);_(@_)">
                  <c:v>-18248.304444444457</c:v>
                </c:pt>
                <c:pt idx="8" formatCode="_(&quot;$&quot;* #,##0_);_(&quot;$&quot;* \(#,##0\);_(&quot;$&quot;* &quot;-&quot;??_);_(@_)">
                  <c:v>-35451.052000000003</c:v>
                </c:pt>
                <c:pt idx="9" formatCode="_(&quot;$&quot;* #,##0_);_(&quot;$&quot;* \(#,##0\);_(&quot;$&quot;* &quot;-&quot;??_);_(@_)">
                  <c:v>-22633.790666666646</c:v>
                </c:pt>
                <c:pt idx="10" formatCode="_(&quot;$&quot;* #,##0_);_(&quot;$&quot;* \(#,##0\);_(&quot;$&quot;* &quot;-&quot;??_);_(@_)">
                  <c:v>-18710.022222222215</c:v>
                </c:pt>
                <c:pt idx="11" formatCode="_(&quot;$&quot;* #,##0_);_(&quot;$&quot;* \(#,##0\);_(&quot;$&quot;* &quot;-&quot;??_);_(@_)">
                  <c:v>-21759.25777777769</c:v>
                </c:pt>
                <c:pt idx="12" formatCode="_(&quot;$&quot;* #,##0_);_(&quot;$&quot;* \(#,##0\);_(&quot;$&quot;* &quot;-&quot;??_);_(@_)">
                  <c:v>-7730.2733333333636</c:v>
                </c:pt>
                <c:pt idx="13" formatCode="_(&quot;$&quot;* #,##0_);_(&quot;$&quot;* \(#,##0\);_(&quot;$&quot;* &quot;-&quot;??_);_(@_)">
                  <c:v>-18806.46488888887</c:v>
                </c:pt>
                <c:pt idx="14" formatCode="_(&quot;$&quot;* #,##0_);_(&quot;$&quot;* \(#,##0\);_(&quot;$&quot;* &quot;-&quot;??_);_(@_)">
                  <c:v>-27308.091555555577</c:v>
                </c:pt>
                <c:pt idx="15" formatCode="_(&quot;$&quot;* #,##0_);_(&quot;$&quot;* \(#,##0\);_(&quot;$&quot;* &quot;-&quot;??_);_(@_)">
                  <c:v>-20238.319111111043</c:v>
                </c:pt>
                <c:pt idx="16" formatCode="_(&quot;$&quot;* #,##0_);_(&quot;$&quot;* \(#,##0\);_(&quot;$&quot;* &quot;-&quot;??_);_(@_)">
                  <c:v>-5843.8106666666536</c:v>
                </c:pt>
                <c:pt idx="17" formatCode="_(&quot;$&quot;* #,##0_);_(&quot;$&quot;* \(#,##0\);_(&quot;$&quot;* &quot;-&quot;??_);_(@_)">
                  <c:v>-6799.7982222222599</c:v>
                </c:pt>
                <c:pt idx="18" formatCode="_(&quot;$&quot;* #,##0_);_(&quot;$&quot;* \(#,##0\);_(&quot;$&quot;* &quot;-&quot;??_);_(@_)">
                  <c:v>-421.61669777782299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9A9-4848-81F7-FCEC4281CC0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29253984"/>
        <c:axId val="229253504"/>
      </c:lineChart>
      <c:dateAx>
        <c:axId val="229253984"/>
        <c:scaling>
          <c:orientation val="minMax"/>
        </c:scaling>
        <c:delete val="0"/>
        <c:axPos val="b"/>
        <c:numFmt formatCode="[$-409]d\-mmm\-yy;@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29253504"/>
        <c:crosses val="autoZero"/>
        <c:auto val="1"/>
        <c:lblOffset val="100"/>
        <c:baseTimeUnit val="days"/>
      </c:dateAx>
      <c:valAx>
        <c:axId val="2292535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2925398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'Live_EU Insurance CDS RV'!$H$12</c:f>
              <c:strCache>
                <c:ptCount val="1"/>
                <c:pt idx="0">
                  <c:v>Net P/L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'Live_EU Insurance CDS RV'!$A$13:$A$41</c:f>
              <c:numCache>
                <c:formatCode>d\-mmm\-yy</c:formatCode>
                <c:ptCount val="29"/>
                <c:pt idx="1">
                  <c:v>45925</c:v>
                </c:pt>
                <c:pt idx="2">
                  <c:v>45926</c:v>
                </c:pt>
                <c:pt idx="3">
                  <c:v>45929</c:v>
                </c:pt>
                <c:pt idx="4">
                  <c:v>45930</c:v>
                </c:pt>
                <c:pt idx="5">
                  <c:v>45931</c:v>
                </c:pt>
                <c:pt idx="6">
                  <c:v>45932</c:v>
                </c:pt>
                <c:pt idx="7">
                  <c:v>45933</c:v>
                </c:pt>
                <c:pt idx="8">
                  <c:v>45936</c:v>
                </c:pt>
                <c:pt idx="9">
                  <c:v>45937</c:v>
                </c:pt>
                <c:pt idx="10">
                  <c:v>45938</c:v>
                </c:pt>
                <c:pt idx="11">
                  <c:v>45939</c:v>
                </c:pt>
                <c:pt idx="12">
                  <c:v>45940</c:v>
                </c:pt>
                <c:pt idx="13">
                  <c:v>45943</c:v>
                </c:pt>
                <c:pt idx="14">
                  <c:v>45944</c:v>
                </c:pt>
                <c:pt idx="15">
                  <c:v>45945</c:v>
                </c:pt>
                <c:pt idx="16">
                  <c:v>45946</c:v>
                </c:pt>
                <c:pt idx="17" formatCode="[$-409]d\-mmm\-yy;@">
                  <c:v>45947</c:v>
                </c:pt>
                <c:pt idx="18" formatCode="[$-409]d\-mmm\-yy;@">
                  <c:v>45950</c:v>
                </c:pt>
                <c:pt idx="19" formatCode="[$-409]d\-mmm\-yy;@">
                  <c:v>45951</c:v>
                </c:pt>
                <c:pt idx="20" formatCode="[$-409]d\-mmm\-yy;@">
                  <c:v>45952</c:v>
                </c:pt>
                <c:pt idx="21" formatCode="[$-409]d\-mmm\-yy;@">
                  <c:v>45953</c:v>
                </c:pt>
                <c:pt idx="22" formatCode="[$-409]d\-mmm\-yy;@">
                  <c:v>45954</c:v>
                </c:pt>
                <c:pt idx="23" formatCode="[$-409]d\-mmm\-yy;@">
                  <c:v>45955</c:v>
                </c:pt>
                <c:pt idx="24" formatCode="[$-409]d\-mmm\-yy;@">
                  <c:v>45956</c:v>
                </c:pt>
              </c:numCache>
            </c:numRef>
          </c:cat>
          <c:val>
            <c:numRef>
              <c:f>'Live_EU Insurance CDS RV'!$H$13:$H$41</c:f>
              <c:numCache>
                <c:formatCode>_("$"* #,##0_);_("$"* \(#,##0\);_("$"* "-"??_);_(@_)</c:formatCode>
                <c:ptCount val="29"/>
                <c:pt idx="1">
                  <c:v>0</c:v>
                </c:pt>
                <c:pt idx="2">
                  <c:v>-6165.1582222222023</c:v>
                </c:pt>
                <c:pt idx="3">
                  <c:v>-3827.7808888889067</c:v>
                </c:pt>
                <c:pt idx="4">
                  <c:v>1521.9848888889455</c:v>
                </c:pt>
                <c:pt idx="5">
                  <c:v>3248.1346666666204</c:v>
                </c:pt>
                <c:pt idx="6">
                  <c:v>1703.8324444444233</c:v>
                </c:pt>
                <c:pt idx="7">
                  <c:v>4203.9702222221968</c:v>
                </c:pt>
                <c:pt idx="8">
                  <c:v>3757.0515555555176</c:v>
                </c:pt>
                <c:pt idx="9">
                  <c:v>2646.5653333333194</c:v>
                </c:pt>
                <c:pt idx="10">
                  <c:v>1324.447111111047</c:v>
                </c:pt>
                <c:pt idx="11">
                  <c:v>-4186.8551111111228</c:v>
                </c:pt>
                <c:pt idx="12">
                  <c:v>4334.8866666667363</c:v>
                </c:pt>
                <c:pt idx="13">
                  <c:v>13551.30000000001</c:v>
                </c:pt>
                <c:pt idx="14">
                  <c:v>6398.55377777781</c:v>
                </c:pt>
                <c:pt idx="15">
                  <c:v>855.32355555550021</c:v>
                </c:pt>
                <c:pt idx="16">
                  <c:v>289.92933333334804</c:v>
                </c:pt>
                <c:pt idx="17">
                  <c:v>10341.748191111161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0B8-421E-BA17-1DF8F56EFAB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75893568"/>
        <c:axId val="1075896928"/>
      </c:lineChart>
      <c:dateAx>
        <c:axId val="1075893568"/>
        <c:scaling>
          <c:orientation val="minMax"/>
        </c:scaling>
        <c:delete val="0"/>
        <c:axPos val="b"/>
        <c:numFmt formatCode="[$-409]dd\-mmm\-yy;@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75896928"/>
        <c:crosses val="autoZero"/>
        <c:auto val="0"/>
        <c:lblOffset val="100"/>
        <c:baseTimeUnit val="days"/>
      </c:dateAx>
      <c:valAx>
        <c:axId val="10758969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&quot;$&quot;* #,##0_);_(&quot;$&quot;* \(#,##0\);_(&quot;$&quot;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7589356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Live_Barclays!$H$12</c:f>
              <c:strCache>
                <c:ptCount val="1"/>
                <c:pt idx="0">
                  <c:v>Net P/L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Live_Barclays!$A$13:$A$41</c:f>
              <c:numCache>
                <c:formatCode>d\-mmm\-yy</c:formatCode>
                <c:ptCount val="29"/>
                <c:pt idx="1">
                  <c:v>45930</c:v>
                </c:pt>
                <c:pt idx="2">
                  <c:v>45931</c:v>
                </c:pt>
                <c:pt idx="3">
                  <c:v>45932</c:v>
                </c:pt>
                <c:pt idx="4">
                  <c:v>45933</c:v>
                </c:pt>
                <c:pt idx="5">
                  <c:v>45936</c:v>
                </c:pt>
                <c:pt idx="6">
                  <c:v>45937</c:v>
                </c:pt>
                <c:pt idx="7">
                  <c:v>45938</c:v>
                </c:pt>
                <c:pt idx="8">
                  <c:v>45939</c:v>
                </c:pt>
                <c:pt idx="9">
                  <c:v>45940</c:v>
                </c:pt>
                <c:pt idx="10">
                  <c:v>45943</c:v>
                </c:pt>
                <c:pt idx="11">
                  <c:v>45944</c:v>
                </c:pt>
                <c:pt idx="12">
                  <c:v>45945</c:v>
                </c:pt>
                <c:pt idx="13">
                  <c:v>45946</c:v>
                </c:pt>
                <c:pt idx="14" formatCode="[$-409]d\-mmm\-yy;@">
                  <c:v>45947</c:v>
                </c:pt>
                <c:pt idx="15" formatCode="[$-409]d\-mmm\-yy;@">
                  <c:v>45950</c:v>
                </c:pt>
                <c:pt idx="16" formatCode="[$-409]d\-mmm\-yy;@">
                  <c:v>45951</c:v>
                </c:pt>
                <c:pt idx="17" formatCode="[$-409]d\-mmm\-yy;@">
                  <c:v>45952</c:v>
                </c:pt>
                <c:pt idx="18" formatCode="[$-409]d\-mmm\-yy;@">
                  <c:v>45953</c:v>
                </c:pt>
                <c:pt idx="19" formatCode="[$-409]d\-mmm\-yy;@">
                  <c:v>45954</c:v>
                </c:pt>
                <c:pt idx="20" formatCode="[$-409]d\-mmm\-yy;@">
                  <c:v>45955</c:v>
                </c:pt>
                <c:pt idx="21" formatCode="[$-409]d\-mmm\-yy;@">
                  <c:v>45956</c:v>
                </c:pt>
              </c:numCache>
            </c:numRef>
          </c:cat>
          <c:val>
            <c:numRef>
              <c:f>Live_Barclays!$H$13:$H$41</c:f>
              <c:numCache>
                <c:formatCode>_("$"* #,##0.00_);_("$"* \(#,##0.00\);_("$"* "-"??_);_(@_)</c:formatCode>
                <c:ptCount val="29"/>
                <c:pt idx="1">
                  <c:v>0</c:v>
                </c:pt>
                <c:pt idx="2" formatCode="_(&quot;$&quot;* #,##0_);_(&quot;$&quot;* \(#,##0\);_(&quot;$&quot;* &quot;-&quot;??_);_(@_)">
                  <c:v>-40714.599305555654</c:v>
                </c:pt>
                <c:pt idx="3" formatCode="_(&quot;$&quot;* #,##0_);_(&quot;$&quot;* \(#,##0\);_(&quot;$&quot;* &quot;-&quot;??_);_(@_)">
                  <c:v>-44589.198611111329</c:v>
                </c:pt>
                <c:pt idx="4" formatCode="_(&quot;$&quot;* #,##0_);_(&quot;$&quot;* \(#,##0\);_(&quot;$&quot;* &quot;-&quot;??_);_(@_)">
                  <c:v>-61343.797916665128</c:v>
                </c:pt>
                <c:pt idx="5" formatCode="_(&quot;$&quot;* #,##0_);_(&quot;$&quot;* \(#,##0\);_(&quot;$&quot;* &quot;-&quot;??_);_(@_)">
                  <c:v>-38127.59583333406</c:v>
                </c:pt>
                <c:pt idx="6" formatCode="_(&quot;$&quot;* #,##0_);_(&quot;$&quot;* \(#,##0\);_(&quot;$&quot;* &quot;-&quot;??_);_(@_)">
                  <c:v>-39482.195138888783</c:v>
                </c:pt>
                <c:pt idx="7" formatCode="_(&quot;$&quot;* #,##0_);_(&quot;$&quot;* \(#,##0\);_(&quot;$&quot;* &quot;-&quot;??_);_(@_)">
                  <c:v>-44336.794444443171</c:v>
                </c:pt>
                <c:pt idx="8" formatCode="_(&quot;$&quot;* #,##0_);_(&quot;$&quot;* \(#,##0\);_(&quot;$&quot;* &quot;-&quot;??_);_(@_)">
                  <c:v>-43051.393749998366</c:v>
                </c:pt>
                <c:pt idx="9" formatCode="_(&quot;$&quot;* #,##0_);_(&quot;$&quot;* \(#,##0\);_(&quot;$&quot;* &quot;-&quot;??_);_(@_)">
                  <c:v>-43745.993055553918</c:v>
                </c:pt>
                <c:pt idx="10" formatCode="_(&quot;$&quot;* #,##0_);_(&quot;$&quot;* \(#,##0\);_(&quot;$&quot;* &quot;-&quot;??_);_(@_)">
                  <c:v>-45829.79097222058</c:v>
                </c:pt>
                <c:pt idx="11" formatCode="_(&quot;$&quot;* #,##0_);_(&quot;$&quot;* \(#,##0\);_(&quot;$&quot;* &quot;-&quot;??_);_(@_)">
                  <c:v>-13664.390277778683</c:v>
                </c:pt>
                <c:pt idx="12" formatCode="_(&quot;$&quot;* #,##0_);_(&quot;$&quot;* \(#,##0\);_(&quot;$&quot;* &quot;-&quot;??_);_(@_)">
                  <c:v>-23858.989583334125</c:v>
                </c:pt>
                <c:pt idx="13" formatCode="_(&quot;$&quot;* #,##0_);_(&quot;$&quot;* \(#,##0\);_(&quot;$&quot;* &quot;-&quot;??_);_(@_)">
                  <c:v>59186.411111111694</c:v>
                </c:pt>
                <c:pt idx="14" formatCode="_(&quot;$&quot;* #,##0_);_(&quot;$&quot;* \(#,##0\);_(&quot;$&quot;* &quot;-&quot;??_);_(@_)">
                  <c:v>80031.811805556397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E2C-49E9-A684-900CB0670C8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41053072"/>
        <c:axId val="241053552"/>
      </c:lineChart>
      <c:dateAx>
        <c:axId val="241053072"/>
        <c:scaling>
          <c:orientation val="minMax"/>
        </c:scaling>
        <c:delete val="0"/>
        <c:axPos val="b"/>
        <c:numFmt formatCode="[$-409]d\-mmm\-yy;@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41053552"/>
        <c:crosses val="autoZero"/>
        <c:auto val="0"/>
        <c:lblOffset val="100"/>
        <c:baseTimeUnit val="days"/>
      </c:dateAx>
      <c:valAx>
        <c:axId val="2410535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4105307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'Live_KSA RV'!$N$12</c:f>
              <c:strCache>
                <c:ptCount val="1"/>
                <c:pt idx="0">
                  <c:v>Net P/L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'Live_KSA RV'!$A$13:$A$41</c:f>
              <c:numCache>
                <c:formatCode>d\-mmm\-yy</c:formatCode>
                <c:ptCount val="29"/>
                <c:pt idx="1">
                  <c:v>45931</c:v>
                </c:pt>
                <c:pt idx="2">
                  <c:v>45932</c:v>
                </c:pt>
                <c:pt idx="3">
                  <c:v>45933</c:v>
                </c:pt>
                <c:pt idx="4">
                  <c:v>45936</c:v>
                </c:pt>
                <c:pt idx="5">
                  <c:v>45937</c:v>
                </c:pt>
                <c:pt idx="6">
                  <c:v>45938</c:v>
                </c:pt>
                <c:pt idx="7">
                  <c:v>45939</c:v>
                </c:pt>
                <c:pt idx="8">
                  <c:v>45940</c:v>
                </c:pt>
                <c:pt idx="9">
                  <c:v>45943</c:v>
                </c:pt>
                <c:pt idx="10">
                  <c:v>45944</c:v>
                </c:pt>
                <c:pt idx="11">
                  <c:v>45945</c:v>
                </c:pt>
                <c:pt idx="12">
                  <c:v>45946</c:v>
                </c:pt>
                <c:pt idx="13" formatCode="[$-409]d\-mmm\-yy;@">
                  <c:v>45947</c:v>
                </c:pt>
                <c:pt idx="14" formatCode="[$-409]d\-mmm\-yy;@">
                  <c:v>45950</c:v>
                </c:pt>
                <c:pt idx="15" formatCode="[$-409]d\-mmm\-yy;@">
                  <c:v>45951</c:v>
                </c:pt>
                <c:pt idx="16" formatCode="[$-409]d\-mmm\-yy;@">
                  <c:v>45952</c:v>
                </c:pt>
                <c:pt idx="17" formatCode="[$-409]d\-mmm\-yy;@">
                  <c:v>45953</c:v>
                </c:pt>
                <c:pt idx="18" formatCode="[$-409]d\-mmm\-yy;@">
                  <c:v>45954</c:v>
                </c:pt>
                <c:pt idx="19" formatCode="[$-409]d\-mmm\-yy;@">
                  <c:v>45955</c:v>
                </c:pt>
                <c:pt idx="20" formatCode="[$-409]d\-mmm\-yy;@">
                  <c:v>45956</c:v>
                </c:pt>
              </c:numCache>
            </c:numRef>
          </c:cat>
          <c:val>
            <c:numRef>
              <c:f>'Live_KSA RV'!$N$13:$N$41</c:f>
              <c:numCache>
                <c:formatCode>_("$"* #,##0_);_("$"* \(#,##0\);_("$"* "-"??_);_(@_)</c:formatCode>
                <c:ptCount val="29"/>
                <c:pt idx="1">
                  <c:v>0</c:v>
                </c:pt>
                <c:pt idx="2">
                  <c:v>-33999.438363333589</c:v>
                </c:pt>
                <c:pt idx="3">
                  <c:v>-21872.876726667379</c:v>
                </c:pt>
                <c:pt idx="4">
                  <c:v>-18600.691816667229</c:v>
                </c:pt>
                <c:pt idx="5">
                  <c:v>-17319.130180001801</c:v>
                </c:pt>
                <c:pt idx="6">
                  <c:v>-2621.318543333357</c:v>
                </c:pt>
                <c:pt idx="7">
                  <c:v>-1704.7569066679584</c:v>
                </c:pt>
                <c:pt idx="8">
                  <c:v>-21558.195270002099</c:v>
                </c:pt>
                <c:pt idx="9">
                  <c:v>-32622.260360002092</c:v>
                </c:pt>
                <c:pt idx="10">
                  <c:v>-13894.448723334845</c:v>
                </c:pt>
                <c:pt idx="11">
                  <c:v>-23517.887086668132</c:v>
                </c:pt>
                <c:pt idx="12">
                  <c:v>-32467.575450000637</c:v>
                </c:pt>
                <c:pt idx="13">
                  <c:v>-24672.263813335368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FFE-42EA-9FFD-480AE6FCA48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129717824"/>
        <c:axId val="2129720704"/>
      </c:lineChart>
      <c:dateAx>
        <c:axId val="2129717824"/>
        <c:scaling>
          <c:orientation val="minMax"/>
        </c:scaling>
        <c:delete val="0"/>
        <c:axPos val="b"/>
        <c:numFmt formatCode="[$-409]dd\-mmm\-yy;@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29720704"/>
        <c:crosses val="autoZero"/>
        <c:auto val="0"/>
        <c:lblOffset val="100"/>
        <c:baseTimeUnit val="days"/>
      </c:dateAx>
      <c:valAx>
        <c:axId val="21297207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&quot;$&quot;* #,##0_);_(&quot;$&quot;* \(#,##0\);_(&quot;$&quot;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2971782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'Live_EU Banks CDS RV'!$H$12</c:f>
              <c:strCache>
                <c:ptCount val="1"/>
                <c:pt idx="0">
                  <c:v> Net P/L 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'Live_EU Banks CDS RV'!$A$13:$A$41</c:f>
              <c:numCache>
                <c:formatCode>d\-mmm\-yy</c:formatCode>
                <c:ptCount val="29"/>
                <c:pt idx="1">
                  <c:v>45933</c:v>
                </c:pt>
                <c:pt idx="2">
                  <c:v>45936</c:v>
                </c:pt>
                <c:pt idx="3">
                  <c:v>45937</c:v>
                </c:pt>
                <c:pt idx="4">
                  <c:v>45938</c:v>
                </c:pt>
                <c:pt idx="5">
                  <c:v>45939</c:v>
                </c:pt>
                <c:pt idx="6">
                  <c:v>45940</c:v>
                </c:pt>
                <c:pt idx="7">
                  <c:v>45943</c:v>
                </c:pt>
                <c:pt idx="8">
                  <c:v>45944</c:v>
                </c:pt>
                <c:pt idx="9">
                  <c:v>45945</c:v>
                </c:pt>
                <c:pt idx="10">
                  <c:v>45946</c:v>
                </c:pt>
                <c:pt idx="11" formatCode="[$-409]d\-mmm\-yy;@">
                  <c:v>45947</c:v>
                </c:pt>
                <c:pt idx="12" formatCode="[$-409]d\-mmm\-yy;@">
                  <c:v>45950</c:v>
                </c:pt>
                <c:pt idx="13" formatCode="[$-409]d\-mmm\-yy;@">
                  <c:v>45951</c:v>
                </c:pt>
                <c:pt idx="14" formatCode="[$-409]d\-mmm\-yy;@">
                  <c:v>45952</c:v>
                </c:pt>
                <c:pt idx="15" formatCode="[$-409]d\-mmm\-yy;@">
                  <c:v>45953</c:v>
                </c:pt>
                <c:pt idx="16" formatCode="[$-409]d\-mmm\-yy;@">
                  <c:v>45954</c:v>
                </c:pt>
                <c:pt idx="17" formatCode="[$-409]d\-mmm\-yy;@">
                  <c:v>45955</c:v>
                </c:pt>
                <c:pt idx="18" formatCode="[$-409]d\-mmm\-yy;@">
                  <c:v>45956</c:v>
                </c:pt>
              </c:numCache>
            </c:numRef>
          </c:cat>
          <c:val>
            <c:numRef>
              <c:f>'Live_EU Banks CDS RV'!$H$13:$H$41</c:f>
              <c:numCache>
                <c:formatCode>_("$"* #,##0_);_("$"* \(#,##0\);_("$"* "-"??_);_(@_)</c:formatCode>
                <c:ptCount val="29"/>
                <c:pt idx="1">
                  <c:v>0</c:v>
                </c:pt>
                <c:pt idx="2">
                  <c:v>-253.92333333342685</c:v>
                </c:pt>
                <c:pt idx="3">
                  <c:v>2657.1628888888317</c:v>
                </c:pt>
                <c:pt idx="4">
                  <c:v>-1868.1268888890072</c:v>
                </c:pt>
                <c:pt idx="5">
                  <c:v>3661.185333333262</c:v>
                </c:pt>
                <c:pt idx="6">
                  <c:v>7998.6185555555294</c:v>
                </c:pt>
                <c:pt idx="7">
                  <c:v>24215.314222222223</c:v>
                </c:pt>
                <c:pt idx="8">
                  <c:v>25250.656444444416</c:v>
                </c:pt>
                <c:pt idx="9">
                  <c:v>-14784.979333333336</c:v>
                </c:pt>
                <c:pt idx="10">
                  <c:v>-22796.194111111166</c:v>
                </c:pt>
                <c:pt idx="11">
                  <c:v>4601.8648811110725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346-47F6-B154-F09BCF24A36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091107456"/>
        <c:axId val="2091107936"/>
      </c:lineChart>
      <c:dateAx>
        <c:axId val="2091107456"/>
        <c:scaling>
          <c:orientation val="minMax"/>
        </c:scaling>
        <c:delete val="0"/>
        <c:axPos val="b"/>
        <c:numFmt formatCode="[$-409]d\-mmm\-yy;@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91107936"/>
        <c:crosses val="autoZero"/>
        <c:auto val="0"/>
        <c:lblOffset val="100"/>
        <c:baseTimeUnit val="days"/>
      </c:dateAx>
      <c:valAx>
        <c:axId val="20911079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&quot;$&quot;* #,##0_);_(&quot;$&quot;* \(#,##0\);_(&quot;$&quot;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9110745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'Live_EU ETF Compression'!$N$12</c:f>
              <c:strCache>
                <c:ptCount val="1"/>
                <c:pt idx="0">
                  <c:v>Net P/L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'Live_EU ETF Compression'!$A$13:$A$41</c:f>
              <c:numCache>
                <c:formatCode>d\-mmm\-yy</c:formatCode>
                <c:ptCount val="29"/>
                <c:pt idx="1">
                  <c:v>45937</c:v>
                </c:pt>
                <c:pt idx="2">
                  <c:v>45938</c:v>
                </c:pt>
                <c:pt idx="3">
                  <c:v>45939</c:v>
                </c:pt>
                <c:pt idx="4">
                  <c:v>45940</c:v>
                </c:pt>
                <c:pt idx="5">
                  <c:v>45943</c:v>
                </c:pt>
                <c:pt idx="6">
                  <c:v>45944</c:v>
                </c:pt>
                <c:pt idx="7">
                  <c:v>45945</c:v>
                </c:pt>
                <c:pt idx="8">
                  <c:v>45946</c:v>
                </c:pt>
                <c:pt idx="9" formatCode="[$-409]d\-mmm\-yy;@">
                  <c:v>45947</c:v>
                </c:pt>
                <c:pt idx="10" formatCode="[$-409]d\-mmm\-yy;@">
                  <c:v>45950</c:v>
                </c:pt>
                <c:pt idx="11" formatCode="[$-409]d\-mmm\-yy;@">
                  <c:v>45951</c:v>
                </c:pt>
                <c:pt idx="12" formatCode="[$-409]d\-mmm\-yy;@">
                  <c:v>45952</c:v>
                </c:pt>
                <c:pt idx="13" formatCode="[$-409]d\-mmm\-yy;@">
                  <c:v>45953</c:v>
                </c:pt>
                <c:pt idx="14" formatCode="[$-409]d\-mmm\-yy;@">
                  <c:v>45954</c:v>
                </c:pt>
                <c:pt idx="15" formatCode="[$-409]d\-mmm\-yy;@">
                  <c:v>45955</c:v>
                </c:pt>
                <c:pt idx="16" formatCode="[$-409]d\-mmm\-yy;@">
                  <c:v>45956</c:v>
                </c:pt>
              </c:numCache>
            </c:numRef>
          </c:cat>
          <c:val>
            <c:numRef>
              <c:f>'Live_EU ETF Compression'!$N$13:$N$41</c:f>
              <c:numCache>
                <c:formatCode>_("$"* #,##0_);_("$"* \(#,##0\);_("$"* "-"??_);_(@_)</c:formatCode>
                <c:ptCount val="29"/>
                <c:pt idx="1">
                  <c:v>0</c:v>
                </c:pt>
                <c:pt idx="2">
                  <c:v>-84513.222513004264</c:v>
                </c:pt>
                <c:pt idx="3">
                  <c:v>-107288.81744881991</c:v>
                </c:pt>
                <c:pt idx="4">
                  <c:v>-103712.69433464142</c:v>
                </c:pt>
                <c:pt idx="5">
                  <c:v>-85685.002180177136</c:v>
                </c:pt>
                <c:pt idx="6">
                  <c:v>-84796.624262727753</c:v>
                </c:pt>
                <c:pt idx="7">
                  <c:v>-23155.512247244649</c:v>
                </c:pt>
                <c:pt idx="8">
                  <c:v>-69793.868856556044</c:v>
                </c:pt>
                <c:pt idx="9">
                  <c:v>-70540.325887885483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9AE-4D38-87D6-C8AF8DC7869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75878688"/>
        <c:axId val="1075884448"/>
      </c:lineChart>
      <c:dateAx>
        <c:axId val="1075878688"/>
        <c:scaling>
          <c:orientation val="minMax"/>
        </c:scaling>
        <c:delete val="0"/>
        <c:axPos val="b"/>
        <c:numFmt formatCode="[$-409]dd\-mmm\-yy;@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75884448"/>
        <c:crosses val="autoZero"/>
        <c:auto val="0"/>
        <c:lblOffset val="100"/>
        <c:baseTimeUnit val="days"/>
      </c:dateAx>
      <c:valAx>
        <c:axId val="10758844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&quot;$&quot;* #,##0_);_(&quot;$&quot;* \(#,##0\);_(&quot;$&quot;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7587868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'Live_US ETF Compression'!$T$12</c:f>
              <c:strCache>
                <c:ptCount val="1"/>
                <c:pt idx="0">
                  <c:v>Net P/L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'Live_US ETF Compression'!$A$13:$A$62</c:f>
              <c:numCache>
                <c:formatCode>[$-409]d\-mmm\-yy;@</c:formatCode>
                <c:ptCount val="50"/>
                <c:pt idx="1">
                  <c:v>45915</c:v>
                </c:pt>
                <c:pt idx="2">
                  <c:v>45916</c:v>
                </c:pt>
                <c:pt idx="3">
                  <c:v>45917</c:v>
                </c:pt>
                <c:pt idx="4">
                  <c:v>45918</c:v>
                </c:pt>
                <c:pt idx="5">
                  <c:v>45919</c:v>
                </c:pt>
                <c:pt idx="6">
                  <c:v>45922</c:v>
                </c:pt>
                <c:pt idx="7">
                  <c:v>45923</c:v>
                </c:pt>
                <c:pt idx="8">
                  <c:v>45924</c:v>
                </c:pt>
                <c:pt idx="9">
                  <c:v>45925</c:v>
                </c:pt>
                <c:pt idx="10">
                  <c:v>45926</c:v>
                </c:pt>
                <c:pt idx="11">
                  <c:v>45929</c:v>
                </c:pt>
                <c:pt idx="12">
                  <c:v>45930</c:v>
                </c:pt>
                <c:pt idx="13">
                  <c:v>45931</c:v>
                </c:pt>
                <c:pt idx="14">
                  <c:v>45932</c:v>
                </c:pt>
                <c:pt idx="15">
                  <c:v>45933</c:v>
                </c:pt>
                <c:pt idx="16">
                  <c:v>45936</c:v>
                </c:pt>
                <c:pt idx="17">
                  <c:v>45937</c:v>
                </c:pt>
                <c:pt idx="18">
                  <c:v>45938</c:v>
                </c:pt>
                <c:pt idx="19">
                  <c:v>45939</c:v>
                </c:pt>
                <c:pt idx="20">
                  <c:v>45940</c:v>
                </c:pt>
                <c:pt idx="21">
                  <c:v>45943</c:v>
                </c:pt>
                <c:pt idx="22">
                  <c:v>45944</c:v>
                </c:pt>
                <c:pt idx="23">
                  <c:v>45945</c:v>
                </c:pt>
                <c:pt idx="24">
                  <c:v>45946</c:v>
                </c:pt>
                <c:pt idx="25">
                  <c:v>45947</c:v>
                </c:pt>
                <c:pt idx="26">
                  <c:v>45950</c:v>
                </c:pt>
                <c:pt idx="27">
                  <c:v>45951</c:v>
                </c:pt>
                <c:pt idx="28">
                  <c:v>45952</c:v>
                </c:pt>
                <c:pt idx="29">
                  <c:v>45953</c:v>
                </c:pt>
                <c:pt idx="30">
                  <c:v>45954</c:v>
                </c:pt>
                <c:pt idx="31">
                  <c:v>45955</c:v>
                </c:pt>
                <c:pt idx="32">
                  <c:v>45956</c:v>
                </c:pt>
              </c:numCache>
            </c:numRef>
          </c:cat>
          <c:val>
            <c:numRef>
              <c:f>'Live_US ETF Compression'!$T$13:$T$62</c:f>
              <c:numCache>
                <c:formatCode>_("$"* #,##0_);_("$"* \(#,##0\);_("$"* "-"??_);_(@_)</c:formatCode>
                <c:ptCount val="50"/>
                <c:pt idx="1">
                  <c:v>0</c:v>
                </c:pt>
                <c:pt idx="2">
                  <c:v>25846.120866930833</c:v>
                </c:pt>
                <c:pt idx="3">
                  <c:v>19471.651548495844</c:v>
                </c:pt>
                <c:pt idx="4">
                  <c:v>34704.545484011898</c:v>
                </c:pt>
                <c:pt idx="5">
                  <c:v>49912.69939648595</c:v>
                </c:pt>
                <c:pt idx="6">
                  <c:v>106468.44341993982</c:v>
                </c:pt>
                <c:pt idx="7">
                  <c:v>100467.46311877367</c:v>
                </c:pt>
                <c:pt idx="8">
                  <c:v>138521.56084042153</c:v>
                </c:pt>
                <c:pt idx="9">
                  <c:v>94143.725981884971</c:v>
                </c:pt>
                <c:pt idx="10">
                  <c:v>96560.267820255438</c:v>
                </c:pt>
                <c:pt idx="11">
                  <c:v>138634.64245853462</c:v>
                </c:pt>
                <c:pt idx="12">
                  <c:v>129374.41436680552</c:v>
                </c:pt>
                <c:pt idx="13">
                  <c:v>90930.852687403749</c:v>
                </c:pt>
                <c:pt idx="14">
                  <c:v>61925.456023876992</c:v>
                </c:pt>
                <c:pt idx="15">
                  <c:v>24875.828033888942</c:v>
                </c:pt>
                <c:pt idx="16">
                  <c:v>47144.4539725629</c:v>
                </c:pt>
                <c:pt idx="17">
                  <c:v>14299.202275209918</c:v>
                </c:pt>
                <c:pt idx="18">
                  <c:v>12945.776177205455</c:v>
                </c:pt>
                <c:pt idx="19">
                  <c:v>-24949.094469489806</c:v>
                </c:pt>
                <c:pt idx="20">
                  <c:v>-115737.29632424098</c:v>
                </c:pt>
                <c:pt idx="21">
                  <c:v>1991.5057342589062</c:v>
                </c:pt>
                <c:pt idx="22">
                  <c:v>-69472.796009753918</c:v>
                </c:pt>
                <c:pt idx="23">
                  <c:v>13281.762777551918</c:v>
                </c:pt>
                <c:pt idx="24">
                  <c:v>-106151.36280510449</c:v>
                </c:pt>
                <c:pt idx="25">
                  <c:v>-139693.78345397601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B4D-4FA3-9E78-B364891BD50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98328736"/>
        <c:axId val="298328256"/>
      </c:lineChart>
      <c:dateAx>
        <c:axId val="298328736"/>
        <c:scaling>
          <c:orientation val="minMax"/>
        </c:scaling>
        <c:delete val="0"/>
        <c:axPos val="b"/>
        <c:numFmt formatCode="[$-409]dd\-mmm\-yy;@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98328256"/>
        <c:crosses val="autoZero"/>
        <c:auto val="0"/>
        <c:lblOffset val="100"/>
        <c:baseTimeUnit val="days"/>
      </c:dateAx>
      <c:valAx>
        <c:axId val="2983282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&quot;$&quot;* #,##0_);_(&quot;$&quot;* \(#,##0\);_(&quot;$&quot;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9832873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'Live_US IG Cash Curve'!$T$12</c:f>
              <c:strCache>
                <c:ptCount val="1"/>
                <c:pt idx="0">
                  <c:v>Net P/L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'Live_US IG Cash Curve'!$A$13:$A$50</c:f>
              <c:numCache>
                <c:formatCode>d\-mmm\-yy</c:formatCode>
                <c:ptCount val="38"/>
                <c:pt idx="1">
                  <c:v>45925</c:v>
                </c:pt>
                <c:pt idx="2">
                  <c:v>45926</c:v>
                </c:pt>
                <c:pt idx="3">
                  <c:v>45929</c:v>
                </c:pt>
                <c:pt idx="4">
                  <c:v>45930</c:v>
                </c:pt>
                <c:pt idx="5">
                  <c:v>45931</c:v>
                </c:pt>
                <c:pt idx="6">
                  <c:v>45932</c:v>
                </c:pt>
                <c:pt idx="7">
                  <c:v>45933</c:v>
                </c:pt>
                <c:pt idx="8">
                  <c:v>45936</c:v>
                </c:pt>
                <c:pt idx="9">
                  <c:v>45937</c:v>
                </c:pt>
                <c:pt idx="10">
                  <c:v>45938</c:v>
                </c:pt>
                <c:pt idx="11">
                  <c:v>45939</c:v>
                </c:pt>
                <c:pt idx="12">
                  <c:v>45940</c:v>
                </c:pt>
                <c:pt idx="13">
                  <c:v>45943</c:v>
                </c:pt>
                <c:pt idx="14">
                  <c:v>45944</c:v>
                </c:pt>
                <c:pt idx="15">
                  <c:v>45945</c:v>
                </c:pt>
                <c:pt idx="16">
                  <c:v>45946</c:v>
                </c:pt>
                <c:pt idx="17" formatCode="[$-409]d\-mmm\-yy;@">
                  <c:v>45947</c:v>
                </c:pt>
                <c:pt idx="18" formatCode="[$-409]d\-mmm\-yy;@">
                  <c:v>45950</c:v>
                </c:pt>
                <c:pt idx="19" formatCode="[$-409]d\-mmm\-yy;@">
                  <c:v>45951</c:v>
                </c:pt>
                <c:pt idx="20" formatCode="[$-409]d\-mmm\-yy;@">
                  <c:v>45952</c:v>
                </c:pt>
                <c:pt idx="21" formatCode="[$-409]d\-mmm\-yy;@">
                  <c:v>45953</c:v>
                </c:pt>
                <c:pt idx="22" formatCode="[$-409]d\-mmm\-yy;@">
                  <c:v>45954</c:v>
                </c:pt>
                <c:pt idx="23" formatCode="[$-409]d\-mmm\-yy;@">
                  <c:v>45955</c:v>
                </c:pt>
                <c:pt idx="24" formatCode="[$-409]d\-mmm\-yy;@">
                  <c:v>45956</c:v>
                </c:pt>
              </c:numCache>
            </c:numRef>
          </c:cat>
          <c:val>
            <c:numRef>
              <c:f>'Live_US IG Cash Curve'!$T$13:$T$50</c:f>
              <c:numCache>
                <c:formatCode>_("$"* #,##0_);_("$"* \(#,##0\);_("$"* "-"??_);_(@_)</c:formatCode>
                <c:ptCount val="38"/>
                <c:pt idx="1">
                  <c:v>0</c:v>
                </c:pt>
                <c:pt idx="2">
                  <c:v>-40470.166236917648</c:v>
                </c:pt>
                <c:pt idx="3">
                  <c:v>-44479.4265886707</c:v>
                </c:pt>
                <c:pt idx="4">
                  <c:v>-58100.495115303405</c:v>
                </c:pt>
                <c:pt idx="5">
                  <c:v>-12819.87524747751</c:v>
                </c:pt>
                <c:pt idx="6">
                  <c:v>-13547.304722216068</c:v>
                </c:pt>
                <c:pt idx="7">
                  <c:v>-45694.886107892766</c:v>
                </c:pt>
                <c:pt idx="8">
                  <c:v>-48384.563207631712</c:v>
                </c:pt>
                <c:pt idx="9">
                  <c:v>-37412.106685696781</c:v>
                </c:pt>
                <c:pt idx="10">
                  <c:v>-38318.176119810916</c:v>
                </c:pt>
                <c:pt idx="11">
                  <c:v>-41157.915193007095</c:v>
                </c:pt>
                <c:pt idx="12">
                  <c:v>-36953.571236857053</c:v>
                </c:pt>
                <c:pt idx="13">
                  <c:v>-34548.916129348756</c:v>
                </c:pt>
                <c:pt idx="14">
                  <c:v>27160.769364552238</c:v>
                </c:pt>
                <c:pt idx="15">
                  <c:v>-14478.411727870844</c:v>
                </c:pt>
                <c:pt idx="16">
                  <c:v>9532.7635867743957</c:v>
                </c:pt>
                <c:pt idx="17">
                  <c:v>-4549.9676141604868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99D-4727-BAAA-8AB5A50A808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83246016"/>
        <c:axId val="283244096"/>
      </c:lineChart>
      <c:dateAx>
        <c:axId val="283246016"/>
        <c:scaling>
          <c:orientation val="minMax"/>
        </c:scaling>
        <c:delete val="0"/>
        <c:axPos val="b"/>
        <c:numFmt formatCode="[$-409]d\-mmm\-yy;@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83244096"/>
        <c:crosses val="autoZero"/>
        <c:auto val="0"/>
        <c:lblOffset val="100"/>
        <c:baseTimeUnit val="days"/>
      </c:dateAx>
      <c:valAx>
        <c:axId val="2832440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&quot;$&quot;* #,##0_);_(&quot;$&quot;* \(#,##0\);_(&quot;$&quot;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8324601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'BOFA Basis'!$K$12</c:f>
              <c:strCache>
                <c:ptCount val="1"/>
                <c:pt idx="0">
                  <c:v>Net P/L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'BOFA Basis'!$A$13:$A$49</c:f>
              <c:numCache>
                <c:formatCode>[$-409]d\-mmm\-yy;@</c:formatCode>
                <c:ptCount val="37"/>
                <c:pt idx="1">
                  <c:v>45938</c:v>
                </c:pt>
                <c:pt idx="2">
                  <c:v>45939</c:v>
                </c:pt>
                <c:pt idx="3">
                  <c:v>45940</c:v>
                </c:pt>
                <c:pt idx="4">
                  <c:v>45943</c:v>
                </c:pt>
                <c:pt idx="5">
                  <c:v>45944</c:v>
                </c:pt>
                <c:pt idx="6">
                  <c:v>45945</c:v>
                </c:pt>
                <c:pt idx="7">
                  <c:v>45946</c:v>
                </c:pt>
                <c:pt idx="8">
                  <c:v>45947</c:v>
                </c:pt>
                <c:pt idx="9">
                  <c:v>45950</c:v>
                </c:pt>
                <c:pt idx="10">
                  <c:v>45951</c:v>
                </c:pt>
                <c:pt idx="11">
                  <c:v>45952</c:v>
                </c:pt>
                <c:pt idx="12">
                  <c:v>45953</c:v>
                </c:pt>
                <c:pt idx="13">
                  <c:v>45954</c:v>
                </c:pt>
                <c:pt idx="14">
                  <c:v>45955</c:v>
                </c:pt>
                <c:pt idx="15">
                  <c:v>45956</c:v>
                </c:pt>
              </c:numCache>
            </c:numRef>
          </c:cat>
          <c:val>
            <c:numRef>
              <c:f>'BOFA Basis'!$K$13:$K$49</c:f>
              <c:numCache>
                <c:formatCode>_("$"* #,##0.00_);_("$"* \(#,##0.00\);_("$"* "-"??_);_(@_)</c:formatCode>
                <c:ptCount val="37"/>
                <c:pt idx="1">
                  <c:v>0</c:v>
                </c:pt>
                <c:pt idx="2" formatCode="_(&quot;$&quot;* #,##0_);_(&quot;$&quot;* \(#,##0\);_(&quot;$&quot;* &quot;-&quot;??_);_(@_)">
                  <c:v>-9054.9197092012582</c:v>
                </c:pt>
                <c:pt idx="3" formatCode="_(&quot;$&quot;* #,##0_);_(&quot;$&quot;* \(#,##0\);_(&quot;$&quot;* &quot;-&quot;??_);_(@_)">
                  <c:v>1101.0980815974117</c:v>
                </c:pt>
                <c:pt idx="4" formatCode="_(&quot;$&quot;* #,##0_);_(&quot;$&quot;* \(#,##0\);_(&quot;$&quot;* &quot;-&quot;??_);_(@_)">
                  <c:v>-59.169796006747674</c:v>
                </c:pt>
                <c:pt idx="5" formatCode="_(&quot;$&quot;* #,##0_);_(&quot;$&quot;* \(#,##0\);_(&quot;$&quot;* &quot;-&quot;??_);_(@_)">
                  <c:v>-14685.969005207724</c:v>
                </c:pt>
                <c:pt idx="6" formatCode="_(&quot;$&quot;* #,##0_);_(&quot;$&quot;* \(#,##0\);_(&quot;$&quot;* &quot;-&quot;??_);_(@_)">
                  <c:v>-849.50596440913796</c:v>
                </c:pt>
                <c:pt idx="7" formatCode="_(&quot;$&quot;* #,##0_);_(&quot;$&quot;* \(#,##0\);_(&quot;$&quot;* &quot;-&quot;??_);_(@_)">
                  <c:v>72.41207639010463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673-4C5D-8E60-71D05E4A5A2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55093936"/>
        <c:axId val="155096336"/>
      </c:lineChart>
      <c:dateAx>
        <c:axId val="155093936"/>
        <c:scaling>
          <c:orientation val="minMax"/>
        </c:scaling>
        <c:delete val="0"/>
        <c:axPos val="b"/>
        <c:numFmt formatCode="[$-409]d\-mmm\-yy;@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5096336"/>
        <c:crosses val="autoZero"/>
        <c:auto val="0"/>
        <c:lblOffset val="100"/>
        <c:baseTimeUnit val="days"/>
      </c:dateAx>
      <c:valAx>
        <c:axId val="1550963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509393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'Closed_CDX IG vs SPX Puts'!$G$12</c:f>
              <c:strCache>
                <c:ptCount val="1"/>
                <c:pt idx="0">
                  <c:v>Net P/L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'Closed_CDX IG vs SPX Puts'!$A$13:$A$46</c:f>
              <c:numCache>
                <c:formatCode>d\-mmm\-yy</c:formatCode>
                <c:ptCount val="20"/>
                <c:pt idx="1">
                  <c:v>45939</c:v>
                </c:pt>
                <c:pt idx="2">
                  <c:v>45940</c:v>
                </c:pt>
                <c:pt idx="3">
                  <c:v>45943</c:v>
                </c:pt>
                <c:pt idx="4">
                  <c:v>45944</c:v>
                </c:pt>
                <c:pt idx="5">
                  <c:v>45945</c:v>
                </c:pt>
                <c:pt idx="6">
                  <c:v>45946</c:v>
                </c:pt>
                <c:pt idx="7">
                  <c:v>45947</c:v>
                </c:pt>
              </c:numCache>
            </c:numRef>
          </c:cat>
          <c:val>
            <c:numRef>
              <c:f>'Closed_CDX IG vs SPX Puts'!$G$13:$G$46</c:f>
              <c:numCache>
                <c:formatCode>_("$"* #,##0_);_("$"* \(#,##0\);_("$"* "-"??_);_(@_)</c:formatCode>
                <c:ptCount val="20"/>
                <c:pt idx="1">
                  <c:v>0</c:v>
                </c:pt>
                <c:pt idx="2">
                  <c:v>-8455.7777777776355</c:v>
                </c:pt>
                <c:pt idx="3">
                  <c:v>-147580.11111111095</c:v>
                </c:pt>
                <c:pt idx="4">
                  <c:v>108120.11111111121</c:v>
                </c:pt>
                <c:pt idx="5">
                  <c:v>85048.333333333605</c:v>
                </c:pt>
                <c:pt idx="6">
                  <c:v>48470.555555555678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58A-4050-A53A-95C79A0B976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53281440"/>
        <c:axId val="353285280"/>
      </c:lineChart>
      <c:dateAx>
        <c:axId val="353281440"/>
        <c:scaling>
          <c:orientation val="minMax"/>
        </c:scaling>
        <c:delete val="0"/>
        <c:axPos val="b"/>
        <c:numFmt formatCode="[$-409]dd\-mmm\-yy;@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53285280"/>
        <c:crosses val="autoZero"/>
        <c:auto val="0"/>
        <c:lblOffset val="100"/>
        <c:baseTimeUnit val="days"/>
      </c:dateAx>
      <c:valAx>
        <c:axId val="3532852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&quot;$&quot;* #,##0_);_(&quot;$&quot;* \(#,##0\);_(&quot;$&quot;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5328144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'ETF PL'!$CF$12</c:f>
              <c:strCache>
                <c:ptCount val="1"/>
                <c:pt idx="0">
                  <c:v>Cum IHYG vs IEAC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'ETF PL'!$CE$13:$CE$49</c:f>
              <c:numCache>
                <c:formatCode>[$-409]d\-mmm\-yy;@</c:formatCode>
                <c:ptCount val="37"/>
                <c:pt idx="0">
                  <c:v>45896.625</c:v>
                </c:pt>
                <c:pt idx="1">
                  <c:v>45897.625</c:v>
                </c:pt>
                <c:pt idx="2">
                  <c:v>45898.625</c:v>
                </c:pt>
                <c:pt idx="3">
                  <c:v>45901.625</c:v>
                </c:pt>
                <c:pt idx="4">
                  <c:v>45902.625</c:v>
                </c:pt>
                <c:pt idx="5">
                  <c:v>45903.625</c:v>
                </c:pt>
                <c:pt idx="6">
                  <c:v>45904.625</c:v>
                </c:pt>
                <c:pt idx="7">
                  <c:v>45905.625</c:v>
                </c:pt>
                <c:pt idx="8">
                  <c:v>45908.625</c:v>
                </c:pt>
                <c:pt idx="9">
                  <c:v>45909.625</c:v>
                </c:pt>
                <c:pt idx="10">
                  <c:v>45910.625</c:v>
                </c:pt>
                <c:pt idx="11">
                  <c:v>45911.625</c:v>
                </c:pt>
                <c:pt idx="12">
                  <c:v>45912.625</c:v>
                </c:pt>
                <c:pt idx="13">
                  <c:v>45915.625</c:v>
                </c:pt>
                <c:pt idx="14">
                  <c:v>45916.625</c:v>
                </c:pt>
                <c:pt idx="15">
                  <c:v>45917.625</c:v>
                </c:pt>
                <c:pt idx="16">
                  <c:v>45918.625</c:v>
                </c:pt>
                <c:pt idx="17">
                  <c:v>45919.625</c:v>
                </c:pt>
                <c:pt idx="18">
                  <c:v>45922.625</c:v>
                </c:pt>
                <c:pt idx="19">
                  <c:v>45923.625</c:v>
                </c:pt>
                <c:pt idx="20">
                  <c:v>45924.625</c:v>
                </c:pt>
                <c:pt idx="21">
                  <c:v>45925.625</c:v>
                </c:pt>
                <c:pt idx="22">
                  <c:v>45926.625</c:v>
                </c:pt>
                <c:pt idx="23">
                  <c:v>45929.625</c:v>
                </c:pt>
                <c:pt idx="24">
                  <c:v>45930.625</c:v>
                </c:pt>
                <c:pt idx="25">
                  <c:v>45931.625</c:v>
                </c:pt>
                <c:pt idx="26">
                  <c:v>45932.625</c:v>
                </c:pt>
                <c:pt idx="27">
                  <c:v>45933.625</c:v>
                </c:pt>
                <c:pt idx="28">
                  <c:v>45936.625</c:v>
                </c:pt>
                <c:pt idx="29">
                  <c:v>45937.625</c:v>
                </c:pt>
                <c:pt idx="30">
                  <c:v>45938.625</c:v>
                </c:pt>
                <c:pt idx="31">
                  <c:v>45939.625</c:v>
                </c:pt>
                <c:pt idx="32">
                  <c:v>45940.625</c:v>
                </c:pt>
                <c:pt idx="33">
                  <c:v>45943.625</c:v>
                </c:pt>
                <c:pt idx="34">
                  <c:v>45944.625</c:v>
                </c:pt>
                <c:pt idx="35">
                  <c:v>45945.625</c:v>
                </c:pt>
                <c:pt idx="36">
                  <c:v>45946.625</c:v>
                </c:pt>
              </c:numCache>
            </c:numRef>
          </c:cat>
          <c:val>
            <c:numRef>
              <c:f>'ETF PL'!$CF$13:$CF$49</c:f>
              <c:numCache>
                <c:formatCode>General</c:formatCode>
                <c:ptCount val="37"/>
                <c:pt idx="0">
                  <c:v>0</c:v>
                </c:pt>
                <c:pt idx="1">
                  <c:v>-31338.434066920541</c:v>
                </c:pt>
                <c:pt idx="2">
                  <c:v>-17825.541717956774</c:v>
                </c:pt>
                <c:pt idx="3">
                  <c:v>-19491.602680613869</c:v>
                </c:pt>
                <c:pt idx="4">
                  <c:v>-11832.69928539684</c:v>
                </c:pt>
                <c:pt idx="5">
                  <c:v>-34600.557783198659</c:v>
                </c:pt>
                <c:pt idx="6">
                  <c:v>-50166.194938246859</c:v>
                </c:pt>
                <c:pt idx="7">
                  <c:v>-66546.051494833431</c:v>
                </c:pt>
                <c:pt idx="8">
                  <c:v>-75257.116934877005</c:v>
                </c:pt>
                <c:pt idx="9">
                  <c:v>-97533.291848054156</c:v>
                </c:pt>
                <c:pt idx="10">
                  <c:v>-134342.58482182596</c:v>
                </c:pt>
                <c:pt idx="11">
                  <c:v>-126454.37607240988</c:v>
                </c:pt>
                <c:pt idx="12">
                  <c:v>-99235.75243302263</c:v>
                </c:pt>
                <c:pt idx="13">
                  <c:v>-107356.78006209427</c:v>
                </c:pt>
                <c:pt idx="14">
                  <c:v>-118962.88114425651</c:v>
                </c:pt>
                <c:pt idx="15">
                  <c:v>-101460.28770123443</c:v>
                </c:pt>
                <c:pt idx="16">
                  <c:v>-68484.89376443479</c:v>
                </c:pt>
                <c:pt idx="17">
                  <c:v>-102571.9275844548</c:v>
                </c:pt>
                <c:pt idx="18">
                  <c:v>-95381.871231737576</c:v>
                </c:pt>
                <c:pt idx="19">
                  <c:v>-69657.83973084559</c:v>
                </c:pt>
                <c:pt idx="20">
                  <c:v>-103259.01733044858</c:v>
                </c:pt>
                <c:pt idx="21">
                  <c:v>-102722.70801494148</c:v>
                </c:pt>
                <c:pt idx="22">
                  <c:v>-60029.853476963326</c:v>
                </c:pt>
                <c:pt idx="23">
                  <c:v>-136845.773941422</c:v>
                </c:pt>
                <c:pt idx="24">
                  <c:v>-139937.50975097972</c:v>
                </c:pt>
                <c:pt idx="25">
                  <c:v>-121435.36466687894</c:v>
                </c:pt>
                <c:pt idx="26">
                  <c:v>-134290.4400300608</c:v>
                </c:pt>
                <c:pt idx="27">
                  <c:v>-166287.02728212296</c:v>
                </c:pt>
                <c:pt idx="28">
                  <c:v>-178834.67754658117</c:v>
                </c:pt>
                <c:pt idx="29">
                  <c:v>-264993.9896704625</c:v>
                </c:pt>
                <c:pt idx="30">
                  <c:v>-288892.5389612721</c:v>
                </c:pt>
                <c:pt idx="31">
                  <c:v>-311523.71297896811</c:v>
                </c:pt>
                <c:pt idx="32">
                  <c:v>-306953.69674574444</c:v>
                </c:pt>
                <c:pt idx="33">
                  <c:v>-288694.76218579151</c:v>
                </c:pt>
                <c:pt idx="34">
                  <c:v>-287784.68899149232</c:v>
                </c:pt>
                <c:pt idx="35">
                  <c:v>-227260.9048083158</c:v>
                </c:pt>
                <c:pt idx="36">
                  <c:v>-273301.59623800946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A56-4A49-BDEF-F32CA26EE235}"/>
            </c:ext>
          </c:extLst>
        </c:ser>
        <c:ser>
          <c:idx val="1"/>
          <c:order val="1"/>
          <c:tx>
            <c:strRef>
              <c:f>'ETF PL'!$CG$12</c:f>
              <c:strCache>
                <c:ptCount val="1"/>
                <c:pt idx="0">
                  <c:v>Cum HYG vs LQD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'ETF PL'!$CE$13:$CE$49</c:f>
              <c:numCache>
                <c:formatCode>[$-409]d\-mmm\-yy;@</c:formatCode>
                <c:ptCount val="37"/>
                <c:pt idx="0">
                  <c:v>45896.625</c:v>
                </c:pt>
                <c:pt idx="1">
                  <c:v>45897.625</c:v>
                </c:pt>
                <c:pt idx="2">
                  <c:v>45898.625</c:v>
                </c:pt>
                <c:pt idx="3">
                  <c:v>45901.625</c:v>
                </c:pt>
                <c:pt idx="4">
                  <c:v>45902.625</c:v>
                </c:pt>
                <c:pt idx="5">
                  <c:v>45903.625</c:v>
                </c:pt>
                <c:pt idx="6">
                  <c:v>45904.625</c:v>
                </c:pt>
                <c:pt idx="7">
                  <c:v>45905.625</c:v>
                </c:pt>
                <c:pt idx="8">
                  <c:v>45908.625</c:v>
                </c:pt>
                <c:pt idx="9">
                  <c:v>45909.625</c:v>
                </c:pt>
                <c:pt idx="10">
                  <c:v>45910.625</c:v>
                </c:pt>
                <c:pt idx="11">
                  <c:v>45911.625</c:v>
                </c:pt>
                <c:pt idx="12">
                  <c:v>45912.625</c:v>
                </c:pt>
                <c:pt idx="13">
                  <c:v>45915.625</c:v>
                </c:pt>
                <c:pt idx="14">
                  <c:v>45916.625</c:v>
                </c:pt>
                <c:pt idx="15">
                  <c:v>45917.625</c:v>
                </c:pt>
                <c:pt idx="16">
                  <c:v>45918.625</c:v>
                </c:pt>
                <c:pt idx="17">
                  <c:v>45919.625</c:v>
                </c:pt>
                <c:pt idx="18">
                  <c:v>45922.625</c:v>
                </c:pt>
                <c:pt idx="19">
                  <c:v>45923.625</c:v>
                </c:pt>
                <c:pt idx="20">
                  <c:v>45924.625</c:v>
                </c:pt>
                <c:pt idx="21">
                  <c:v>45925.625</c:v>
                </c:pt>
                <c:pt idx="22">
                  <c:v>45926.625</c:v>
                </c:pt>
                <c:pt idx="23">
                  <c:v>45929.625</c:v>
                </c:pt>
                <c:pt idx="24">
                  <c:v>45930.625</c:v>
                </c:pt>
                <c:pt idx="25">
                  <c:v>45931.625</c:v>
                </c:pt>
                <c:pt idx="26">
                  <c:v>45932.625</c:v>
                </c:pt>
                <c:pt idx="27">
                  <c:v>45933.625</c:v>
                </c:pt>
                <c:pt idx="28">
                  <c:v>45936.625</c:v>
                </c:pt>
                <c:pt idx="29">
                  <c:v>45937.625</c:v>
                </c:pt>
                <c:pt idx="30">
                  <c:v>45938.625</c:v>
                </c:pt>
                <c:pt idx="31">
                  <c:v>45939.625</c:v>
                </c:pt>
                <c:pt idx="32">
                  <c:v>45940.625</c:v>
                </c:pt>
                <c:pt idx="33">
                  <c:v>45943.625</c:v>
                </c:pt>
                <c:pt idx="34">
                  <c:v>45944.625</c:v>
                </c:pt>
                <c:pt idx="35">
                  <c:v>45945.625</c:v>
                </c:pt>
                <c:pt idx="36">
                  <c:v>45946.625</c:v>
                </c:pt>
              </c:numCache>
            </c:numRef>
          </c:cat>
          <c:val>
            <c:numRef>
              <c:f>'ETF PL'!$CG$13:$CG$49</c:f>
              <c:numCache>
                <c:formatCode>General</c:formatCode>
                <c:ptCount val="37"/>
                <c:pt idx="0">
                  <c:v>0</c:v>
                </c:pt>
                <c:pt idx="1">
                  <c:v>11190.663270506586</c:v>
                </c:pt>
                <c:pt idx="2">
                  <c:v>-5826.6831828357681</c:v>
                </c:pt>
                <c:pt idx="3">
                  <c:v>-20077.546817858656</c:v>
                </c:pt>
                <c:pt idx="4">
                  <c:v>-76336.113407684097</c:v>
                </c:pt>
                <c:pt idx="5">
                  <c:v>-86098.888298182675</c:v>
                </c:pt>
                <c:pt idx="6">
                  <c:v>-156381.32032406307</c:v>
                </c:pt>
                <c:pt idx="7">
                  <c:v>-199601.3045505959</c:v>
                </c:pt>
                <c:pt idx="8">
                  <c:v>-174405.72766115319</c:v>
                </c:pt>
                <c:pt idx="9">
                  <c:v>-243853.86571675178</c:v>
                </c:pt>
                <c:pt idx="10">
                  <c:v>-287286.51439976774</c:v>
                </c:pt>
                <c:pt idx="11">
                  <c:v>-275558.13812626631</c:v>
                </c:pt>
                <c:pt idx="12">
                  <c:v>-285493.87285919464</c:v>
                </c:pt>
                <c:pt idx="13">
                  <c:v>-270870.90516166133</c:v>
                </c:pt>
                <c:pt idx="14">
                  <c:v>-260048.28978628304</c:v>
                </c:pt>
                <c:pt idx="15">
                  <c:v>-247221.4408606705</c:v>
                </c:pt>
                <c:pt idx="16">
                  <c:v>-198149.00256121051</c:v>
                </c:pt>
                <c:pt idx="17">
                  <c:v>-217222.82522234885</c:v>
                </c:pt>
                <c:pt idx="18">
                  <c:v>-154806.23213014891</c:v>
                </c:pt>
                <c:pt idx="19">
                  <c:v>-136194.55323484715</c:v>
                </c:pt>
                <c:pt idx="20">
                  <c:v>-131080.94499092072</c:v>
                </c:pt>
                <c:pt idx="21">
                  <c:v>-171111.23349754311</c:v>
                </c:pt>
                <c:pt idx="22">
                  <c:v>-126876.36749010073</c:v>
                </c:pt>
                <c:pt idx="23">
                  <c:v>-166121.37796776998</c:v>
                </c:pt>
                <c:pt idx="24">
                  <c:v>-177141.84244501739</c:v>
                </c:pt>
                <c:pt idx="25">
                  <c:v>-257502.03418027793</c:v>
                </c:pt>
                <c:pt idx="26">
                  <c:v>-298750.68150316906</c:v>
                </c:pt>
                <c:pt idx="27">
                  <c:v>-364676.25525124313</c:v>
                </c:pt>
                <c:pt idx="28">
                  <c:v>-353632.54263214319</c:v>
                </c:pt>
                <c:pt idx="29">
                  <c:v>-472051.5036523072</c:v>
                </c:pt>
                <c:pt idx="30">
                  <c:v>-496334.02503584238</c:v>
                </c:pt>
                <c:pt idx="31">
                  <c:v>-553303.6203732267</c:v>
                </c:pt>
                <c:pt idx="32">
                  <c:v>-636547.07649390923</c:v>
                </c:pt>
                <c:pt idx="33">
                  <c:v>-509242.46766568348</c:v>
                </c:pt>
                <c:pt idx="34">
                  <c:v>-577784.27273081348</c:v>
                </c:pt>
                <c:pt idx="35">
                  <c:v>-439078.96724964562</c:v>
                </c:pt>
                <c:pt idx="36">
                  <c:v>-599733.68616809824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A56-4A49-BDEF-F32CA26EE23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70301855"/>
        <c:axId val="370302335"/>
      </c:lineChart>
      <c:dateAx>
        <c:axId val="370301855"/>
        <c:scaling>
          <c:orientation val="minMax"/>
        </c:scaling>
        <c:delete val="0"/>
        <c:axPos val="b"/>
        <c:numFmt formatCode="[$-409]d\-mmm\-yy;@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70302335"/>
        <c:crosses val="autoZero"/>
        <c:auto val="1"/>
        <c:lblOffset val="100"/>
        <c:baseTimeUnit val="days"/>
      </c:dateAx>
      <c:valAx>
        <c:axId val="37030233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7030185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chart" Target="../charts/chart8.xml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chart" Target="../charts/chart9.xml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0.xml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1.xml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209549</xdr:colOff>
      <xdr:row>5</xdr:row>
      <xdr:rowOff>114300</xdr:rowOff>
    </xdr:from>
    <xdr:to>
      <xdr:col>23</xdr:col>
      <xdr:colOff>452438</xdr:colOff>
      <xdr:row>40</xdr:row>
      <xdr:rowOff>114141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DE0D518C-92E8-49C7-A44B-A33B8B29EA3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241935</xdr:colOff>
      <xdr:row>3</xdr:row>
      <xdr:rowOff>49530</xdr:rowOff>
    </xdr:from>
    <xdr:to>
      <xdr:col>28</xdr:col>
      <xdr:colOff>36195</xdr:colOff>
      <xdr:row>24</xdr:row>
      <xdr:rowOff>38099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7C153AE6-2945-FBC3-6353-23F5A0DBE8C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676274</xdr:colOff>
      <xdr:row>2</xdr:row>
      <xdr:rowOff>38100</xdr:rowOff>
    </xdr:from>
    <xdr:to>
      <xdr:col>25</xdr:col>
      <xdr:colOff>9525</xdr:colOff>
      <xdr:row>22</xdr:row>
      <xdr:rowOff>171450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C70C2906-959A-57EE-762F-14A38FD3E02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314325</xdr:colOff>
      <xdr:row>2</xdr:row>
      <xdr:rowOff>47625</xdr:rowOff>
    </xdr:from>
    <xdr:to>
      <xdr:col>23</xdr:col>
      <xdr:colOff>533400</xdr:colOff>
      <xdr:row>22</xdr:row>
      <xdr:rowOff>90488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89932FE9-17F6-7D07-65BB-F6511178389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278130</xdr:colOff>
      <xdr:row>1</xdr:row>
      <xdr:rowOff>142875</xdr:rowOff>
    </xdr:from>
    <xdr:to>
      <xdr:col>31</xdr:col>
      <xdr:colOff>318135</xdr:colOff>
      <xdr:row>20</xdr:row>
      <xdr:rowOff>63818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A5839D4A-2EFA-308D-3DF1-59BDA99D5A9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247649</xdr:colOff>
      <xdr:row>2</xdr:row>
      <xdr:rowOff>138113</xdr:rowOff>
    </xdr:from>
    <xdr:to>
      <xdr:col>24</xdr:col>
      <xdr:colOff>533400</xdr:colOff>
      <xdr:row>25</xdr:row>
      <xdr:rowOff>161925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4C27F47F-11DF-D5C3-629A-6903829B9ED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495300</xdr:colOff>
      <xdr:row>3</xdr:row>
      <xdr:rowOff>195263</xdr:rowOff>
    </xdr:from>
    <xdr:to>
      <xdr:col>32</xdr:col>
      <xdr:colOff>310515</xdr:colOff>
      <xdr:row>21</xdr:row>
      <xdr:rowOff>40005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8514678-0266-85A1-6C9C-9262DF48E20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20</xdr:col>
      <xdr:colOff>595991</xdr:colOff>
      <xdr:row>7</xdr:row>
      <xdr:rowOff>5441</xdr:rowOff>
    </xdr:from>
    <xdr:to>
      <xdr:col>47</xdr:col>
      <xdr:colOff>299357</xdr:colOff>
      <xdr:row>31</xdr:row>
      <xdr:rowOff>46263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C70CDFA-F128-4088-7BC0-BC0B620A2DF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33</xdr:col>
      <xdr:colOff>139335</xdr:colOff>
      <xdr:row>3</xdr:row>
      <xdr:rowOff>131445</xdr:rowOff>
    </xdr:from>
    <xdr:to>
      <xdr:col>43</xdr:col>
      <xdr:colOff>490945</xdr:colOff>
      <xdr:row>26</xdr:row>
      <xdr:rowOff>14424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9B78393-8049-C0BB-AC1B-8209BA59AF9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228600</xdr:colOff>
      <xdr:row>6</xdr:row>
      <xdr:rowOff>104775</xdr:rowOff>
    </xdr:from>
    <xdr:to>
      <xdr:col>27</xdr:col>
      <xdr:colOff>495300</xdr:colOff>
      <xdr:row>26</xdr:row>
      <xdr:rowOff>171450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9514D2E0-C73B-55AF-D6A4-7018E1A512B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428625</xdr:colOff>
      <xdr:row>2</xdr:row>
      <xdr:rowOff>157163</xdr:rowOff>
    </xdr:from>
    <xdr:to>
      <xdr:col>23</xdr:col>
      <xdr:colOff>523874</xdr:colOff>
      <xdr:row>38</xdr:row>
      <xdr:rowOff>76200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901B0BA-72F4-4E2F-BBCC-4D1C51AD312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>
    <xdr:from>
      <xdr:col>77</xdr:col>
      <xdr:colOff>863598</xdr:colOff>
      <xdr:row>20</xdr:row>
      <xdr:rowOff>42333</xdr:rowOff>
    </xdr:from>
    <xdr:to>
      <xdr:col>92</xdr:col>
      <xdr:colOff>414866</xdr:colOff>
      <xdr:row>46</xdr:row>
      <xdr:rowOff>127000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5B3861A6-0F68-A659-3225-2CA3A394FBB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J:\All%20Data\57.%20BNP%20Trades%20Tracker\BNP%20Trades%20Tracker-2025-10-16%20v2.xlsx" TargetMode="External"/><Relationship Id="rId1" Type="http://schemas.openxmlformats.org/officeDocument/2006/relationships/externalLinkPath" Target="BNP%20Trades%20Tracker-2025-10-16%20v2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Live_ACAFP Basis"/>
      <sheetName val="Live_EU Defence vs Oil"/>
      <sheetName val="Live_EU Insurance CDS RV"/>
      <sheetName val="Live_Barclays"/>
      <sheetName val="Live_KSA RV"/>
      <sheetName val="Live_EU Banks CDS RV"/>
      <sheetName val="Live_EU ETF Compression"/>
      <sheetName val="Live_US ETF Compression"/>
      <sheetName val="Live_US IG Cash Curve"/>
      <sheetName val="CDX IG vs SPX Puts"/>
      <sheetName val="BOFA Basis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>
        <row r="12">
          <cell r="G12" t="str">
            <v>Net P/L</v>
          </cell>
        </row>
        <row r="14">
          <cell r="A14">
            <v>45939</v>
          </cell>
          <cell r="G14">
            <v>0</v>
          </cell>
        </row>
        <row r="15">
          <cell r="A15">
            <v>45940</v>
          </cell>
          <cell r="G15">
            <v>-8455.7777777776355</v>
          </cell>
        </row>
        <row r="16">
          <cell r="A16">
            <v>45943</v>
          </cell>
          <cell r="G16">
            <v>-147580.11111111095</v>
          </cell>
        </row>
        <row r="17">
          <cell r="A17">
            <v>45944</v>
          </cell>
          <cell r="G17">
            <v>108120.11111111121</v>
          </cell>
        </row>
        <row r="18">
          <cell r="A18">
            <v>45945</v>
          </cell>
          <cell r="G18">
            <v>85048.333333333605</v>
          </cell>
        </row>
        <row r="19">
          <cell r="A19">
            <v>45946</v>
          </cell>
          <cell r="G19">
            <v>48470.555555555678</v>
          </cell>
        </row>
        <row r="20">
          <cell r="A20">
            <v>45947</v>
          </cell>
        </row>
      </sheetData>
      <sheetData sheetId="10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46"/>
  <sheetViews>
    <sheetView zoomScale="80" zoomScaleNormal="80" workbookViewId="0"/>
  </sheetViews>
  <sheetFormatPr defaultColWidth="9.109375" defaultRowHeight="14.4" x14ac:dyDescent="0.3"/>
  <cols>
    <col min="1" max="1" width="15.44140625" style="3" bestFit="1" customWidth="1"/>
    <col min="2" max="2" width="21.33203125" style="3" bestFit="1" customWidth="1"/>
    <col min="3" max="3" width="19.109375" style="3" bestFit="1" customWidth="1"/>
    <col min="4" max="4" width="11.33203125" style="60" bestFit="1" customWidth="1"/>
    <col min="5" max="5" width="24" style="3" bestFit="1" customWidth="1"/>
    <col min="6" max="6" width="24.6640625" style="3" bestFit="1" customWidth="1"/>
    <col min="7" max="7" width="13.109375" style="3" bestFit="1" customWidth="1"/>
    <col min="8" max="8" width="9.33203125" style="3" bestFit="1" customWidth="1"/>
    <col min="9" max="9" width="12" style="85" bestFit="1" customWidth="1"/>
    <col min="10" max="10" width="10.6640625" style="3" bestFit="1" customWidth="1"/>
    <col min="11" max="11" width="15.6640625" style="3" hidden="1" customWidth="1"/>
    <col min="12" max="12" width="8" style="3" hidden="1" customWidth="1"/>
    <col min="13" max="13" width="15.6640625" style="3" hidden="1" customWidth="1"/>
    <col min="14" max="14" width="9.109375" style="3" hidden="1" customWidth="1"/>
    <col min="15" max="16384" width="9.109375" style="3"/>
  </cols>
  <sheetData>
    <row r="1" spans="1:14" ht="15" thickBot="1" x14ac:dyDescent="0.35">
      <c r="A1" s="1" t="s">
        <v>102</v>
      </c>
      <c r="B1" s="1"/>
      <c r="C1" s="1"/>
      <c r="D1" s="31"/>
      <c r="E1" s="1"/>
      <c r="F1" s="1"/>
      <c r="G1" s="1"/>
      <c r="H1" s="1"/>
      <c r="I1" s="1"/>
      <c r="J1" s="1"/>
      <c r="K1" s="52"/>
    </row>
    <row r="2" spans="1:14" ht="15" thickBot="1" x14ac:dyDescent="0.35">
      <c r="A2" s="14"/>
      <c r="B2" s="27" t="s">
        <v>0</v>
      </c>
      <c r="C2" s="28" t="s">
        <v>1</v>
      </c>
      <c r="D2" s="31"/>
      <c r="E2" s="127" t="s">
        <v>101</v>
      </c>
      <c r="F2" s="128">
        <v>0.625</v>
      </c>
      <c r="K2" s="27" t="s">
        <v>0</v>
      </c>
      <c r="M2" s="28" t="s">
        <v>1</v>
      </c>
    </row>
    <row r="3" spans="1:14" ht="15" thickBot="1" x14ac:dyDescent="0.35">
      <c r="A3" s="14" t="s">
        <v>32</v>
      </c>
      <c r="B3" s="15" t="s">
        <v>5</v>
      </c>
      <c r="C3" s="5" t="s">
        <v>6</v>
      </c>
      <c r="D3" s="31"/>
      <c r="E3" s="1"/>
      <c r="K3" s="126" cm="1">
        <f t="array" ref="K3:L142">_xll.BDH(B4, "LAST_PRICE", "01/01/2025 15:00:00", "01/01/2035 16:00:00", "BarSize=60", "BarType=T", "RecurDaily=True", "TZ=London")</f>
        <v>45751.625</v>
      </c>
      <c r="L3" s="3">
        <v>134.941</v>
      </c>
      <c r="M3" s="126" cm="1">
        <f t="array" ref="M3:N135">_xll.BDH(C4, "LAST_PRICE", "01/01/2025 15:00:00", "01/01/2035 16:00:00", "BarSize=60", "BarType=T", "RecurDaily=True", "TZ=London")</f>
        <v>45751.625</v>
      </c>
      <c r="N3" s="3">
        <v>95.03</v>
      </c>
    </row>
    <row r="4" spans="1:14" ht="30" customHeight="1" thickBot="1" x14ac:dyDescent="0.35">
      <c r="A4" s="15" t="s">
        <v>33</v>
      </c>
      <c r="B4" s="17" t="s">
        <v>34</v>
      </c>
      <c r="C4" s="6" t="s">
        <v>35</v>
      </c>
      <c r="D4" s="31"/>
      <c r="E4" s="29" t="s">
        <v>2</v>
      </c>
      <c r="F4" s="24">
        <v>45919</v>
      </c>
      <c r="G4" s="25">
        <v>45922</v>
      </c>
      <c r="H4" s="26" t="s">
        <v>3</v>
      </c>
      <c r="I4" s="23" t="s">
        <v>4</v>
      </c>
      <c r="K4" s="126">
        <v>45754.625</v>
      </c>
      <c r="L4" s="3">
        <v>140.40700000000001</v>
      </c>
      <c r="M4" s="126">
        <v>45754.625</v>
      </c>
      <c r="N4" s="3">
        <v>92.346999999999994</v>
      </c>
    </row>
    <row r="5" spans="1:14" x14ac:dyDescent="0.3">
      <c r="A5" s="15" t="s">
        <v>8</v>
      </c>
      <c r="B5" s="18">
        <v>25000000</v>
      </c>
      <c r="C5" s="8">
        <v>7500000</v>
      </c>
      <c r="D5" s="31"/>
      <c r="E5" s="15" t="s">
        <v>7</v>
      </c>
      <c r="F5" s="1">
        <v>90.555000000000007</v>
      </c>
      <c r="G5" s="1">
        <v>91.102000000000004</v>
      </c>
      <c r="H5" s="1">
        <f>G5-F5</f>
        <v>0.54699999999999704</v>
      </c>
      <c r="I5" s="5"/>
      <c r="K5" s="126">
        <v>45755.625</v>
      </c>
      <c r="L5" s="3">
        <v>136.172</v>
      </c>
      <c r="M5" s="126">
        <v>45755.625</v>
      </c>
      <c r="N5" s="3">
        <v>93.262</v>
      </c>
    </row>
    <row r="6" spans="1:14" x14ac:dyDescent="0.3">
      <c r="A6" s="15" t="s">
        <v>10</v>
      </c>
      <c r="B6" s="19">
        <v>0.01</v>
      </c>
      <c r="C6" s="10">
        <v>6.7000000000000004E-2</v>
      </c>
      <c r="D6" s="31"/>
      <c r="E6" s="15" t="s">
        <v>9</v>
      </c>
      <c r="F6" s="1">
        <v>91.418000000000006</v>
      </c>
      <c r="G6" s="1"/>
      <c r="H6" s="1"/>
      <c r="I6" s="5">
        <f>F6+H5</f>
        <v>91.965000000000003</v>
      </c>
      <c r="K6" s="126">
        <v>45756.625</v>
      </c>
      <c r="L6" s="3">
        <v>145.39500000000001</v>
      </c>
      <c r="M6" s="126">
        <v>45756.625</v>
      </c>
      <c r="N6" s="3">
        <v>90.637</v>
      </c>
    </row>
    <row r="7" spans="1:14" ht="15" thickBot="1" x14ac:dyDescent="0.35">
      <c r="A7" s="15" t="s">
        <v>12</v>
      </c>
      <c r="B7" s="19">
        <v>0</v>
      </c>
      <c r="C7" s="10">
        <v>4.1000000000000002E-2</v>
      </c>
      <c r="D7" s="31"/>
      <c r="E7" s="16" t="s">
        <v>11</v>
      </c>
      <c r="F7" s="1"/>
      <c r="G7" s="1">
        <v>103.506</v>
      </c>
      <c r="H7" s="1"/>
      <c r="I7" s="5"/>
      <c r="K7" s="126">
        <v>45757.625</v>
      </c>
      <c r="L7" s="3">
        <v>130.04599999999999</v>
      </c>
      <c r="M7" s="126">
        <v>45757.625</v>
      </c>
      <c r="N7" s="3">
        <v>91.918000000000006</v>
      </c>
    </row>
    <row r="8" spans="1:14" ht="15" thickBot="1" x14ac:dyDescent="0.35">
      <c r="A8" s="15" t="s">
        <v>14</v>
      </c>
      <c r="B8" s="15">
        <v>4.46</v>
      </c>
      <c r="C8" s="5"/>
      <c r="D8" s="31"/>
      <c r="E8" s="30" t="s">
        <v>13</v>
      </c>
      <c r="F8" s="23">
        <f>G7-I6</f>
        <v>11.540999999999997</v>
      </c>
      <c r="G8" s="21"/>
      <c r="H8" s="21"/>
      <c r="I8" s="22"/>
      <c r="J8" s="1"/>
      <c r="K8" s="126">
        <v>45758.625</v>
      </c>
      <c r="L8" s="3">
        <v>138.03700000000001</v>
      </c>
      <c r="M8" s="126">
        <v>45758.625</v>
      </c>
      <c r="N8" s="3">
        <v>90.971000000000004</v>
      </c>
    </row>
    <row r="9" spans="1:14" x14ac:dyDescent="0.3">
      <c r="A9" s="15" t="s">
        <v>15</v>
      </c>
      <c r="B9" s="15">
        <v>1.17</v>
      </c>
      <c r="C9" s="5"/>
      <c r="D9" s="31"/>
      <c r="E9" s="1"/>
      <c r="F9" s="1"/>
      <c r="G9" s="1"/>
      <c r="H9" s="1"/>
      <c r="I9" s="1"/>
      <c r="J9" s="1"/>
      <c r="K9" s="126">
        <v>45761.625</v>
      </c>
      <c r="L9" s="3">
        <v>133.67500000000001</v>
      </c>
      <c r="M9" s="126">
        <v>45761.625</v>
      </c>
      <c r="N9" s="3">
        <v>91.935000000000002</v>
      </c>
    </row>
    <row r="10" spans="1:14" ht="15" thickBot="1" x14ac:dyDescent="0.35">
      <c r="A10" s="16" t="s">
        <v>28</v>
      </c>
      <c r="B10" s="20" cm="1">
        <f t="array" ref="B10">_xll.BDP(B4,"PX_LAST")</f>
        <v>106.7697</v>
      </c>
      <c r="C10" s="13" cm="1">
        <f t="array" ref="C10">_xll.BDP(C4,"PX_LAST")</f>
        <v>100.622</v>
      </c>
      <c r="D10" s="31"/>
      <c r="E10" s="1"/>
      <c r="F10" s="1"/>
      <c r="G10" s="1"/>
      <c r="H10" s="1"/>
      <c r="I10" s="1"/>
      <c r="J10" s="1"/>
      <c r="K10" s="126">
        <v>45762.625</v>
      </c>
      <c r="L10" s="3">
        <v>128.58500000000001</v>
      </c>
      <c r="M10" s="126">
        <v>45762.625</v>
      </c>
      <c r="N10" s="3">
        <v>92.472999999999999</v>
      </c>
    </row>
    <row r="11" spans="1:14" ht="15" thickBot="1" x14ac:dyDescent="0.35">
      <c r="A11" s="1"/>
      <c r="B11" s="1"/>
      <c r="C11" s="1"/>
      <c r="D11" s="31"/>
      <c r="E11" s="1"/>
      <c r="F11" s="1"/>
      <c r="G11" s="1"/>
      <c r="H11" s="1"/>
      <c r="I11" s="1"/>
      <c r="J11" s="1"/>
      <c r="K11" s="126">
        <v>45763.625</v>
      </c>
      <c r="L11" s="3">
        <v>128.15299999999999</v>
      </c>
      <c r="M11" s="126">
        <v>45763.625</v>
      </c>
      <c r="N11" s="3">
        <v>92.707999999999998</v>
      </c>
    </row>
    <row r="12" spans="1:14" ht="15" thickBot="1" x14ac:dyDescent="0.35">
      <c r="A12" s="39" t="s">
        <v>22</v>
      </c>
      <c r="B12" s="135" t="s">
        <v>0</v>
      </c>
      <c r="C12" s="136"/>
      <c r="D12" s="136"/>
      <c r="E12" s="137"/>
      <c r="F12" s="138" t="s">
        <v>1</v>
      </c>
      <c r="G12" s="139"/>
      <c r="H12" s="140"/>
      <c r="I12" s="39" t="s">
        <v>16</v>
      </c>
      <c r="J12" s="1"/>
      <c r="K12" s="126">
        <v>45764.625</v>
      </c>
      <c r="L12" s="3">
        <v>126.146</v>
      </c>
      <c r="M12" s="126">
        <v>45764.625</v>
      </c>
      <c r="N12" s="3">
        <v>93.492000000000004</v>
      </c>
    </row>
    <row r="13" spans="1:14" ht="15" thickBot="1" x14ac:dyDescent="0.35">
      <c r="A13" s="16"/>
      <c r="B13" s="11" t="s">
        <v>24</v>
      </c>
      <c r="C13" s="21" t="s">
        <v>18</v>
      </c>
      <c r="D13" s="49" t="s">
        <v>19</v>
      </c>
      <c r="E13" s="22" t="s">
        <v>20</v>
      </c>
      <c r="F13" s="11" t="s">
        <v>17</v>
      </c>
      <c r="G13" s="21" t="s">
        <v>21</v>
      </c>
      <c r="H13" s="22" t="s">
        <v>20</v>
      </c>
      <c r="I13" s="16"/>
      <c r="J13" s="1"/>
      <c r="K13" s="126">
        <v>45765.625</v>
      </c>
      <c r="L13" s="3">
        <v>127.19199999999999</v>
      </c>
      <c r="M13" s="126">
        <v>45768.625</v>
      </c>
      <c r="N13" s="3">
        <v>93.224999999999994</v>
      </c>
    </row>
    <row r="14" spans="1:14" x14ac:dyDescent="0.3">
      <c r="A14" s="36">
        <v>45903</v>
      </c>
      <c r="B14" s="4">
        <v>106.5</v>
      </c>
      <c r="C14" s="1">
        <v>106.5</v>
      </c>
      <c r="D14" s="31"/>
      <c r="E14" s="5"/>
      <c r="F14" s="4">
        <v>98.875</v>
      </c>
      <c r="G14" s="1"/>
      <c r="H14" s="5"/>
      <c r="I14" s="81">
        <v>0</v>
      </c>
      <c r="J14" s="1"/>
      <c r="K14" s="126">
        <v>45768.625</v>
      </c>
      <c r="L14" s="3">
        <v>127.057</v>
      </c>
      <c r="M14" s="126">
        <v>45769.625</v>
      </c>
      <c r="N14" s="3">
        <v>93.620999999999995</v>
      </c>
    </row>
    <row r="15" spans="1:14" x14ac:dyDescent="0.3">
      <c r="A15" s="36">
        <v>45904</v>
      </c>
      <c r="B15" s="4">
        <f t="shared" ref="B15:B46" si="0">VLOOKUP(A15+$F$2,K:L,2)</f>
        <v>102.55200000000001</v>
      </c>
      <c r="C15" s="1">
        <v>101.988</v>
      </c>
      <c r="D15" s="31">
        <f t="shared" ref="D15:D26" si="1">-1*(C15-$C$14)*10^-4*$B$8*$B$5</f>
        <v>50308.800000000003</v>
      </c>
      <c r="E15" s="32">
        <f t="shared" ref="E15:E26" si="2">$B$6*(A15-$A$14)/360*$B$5</f>
        <v>694.44444444444446</v>
      </c>
      <c r="F15" s="4">
        <f t="shared" ref="F15:F46" si="3">VLOOKUP(A15+$F$2,M:N,2)</f>
        <v>99.266999999999996</v>
      </c>
      <c r="G15" s="31">
        <f>(F15-$F$14)/100*$C$5</f>
        <v>29399.999999999694</v>
      </c>
      <c r="H15" s="32">
        <f>$C$6*(A15-$A$14)/360*$C$5-$C$7*(A15-$A$14)/360*$C$5*$F$14/100</f>
        <v>551.27604166666697</v>
      </c>
      <c r="I15" s="82">
        <f>(D15+E15)*$B$9-G15-H15</f>
        <v>29722.51995833364</v>
      </c>
      <c r="J15" s="1"/>
      <c r="K15" s="126">
        <v>45769.625</v>
      </c>
      <c r="L15" s="3">
        <v>128.417</v>
      </c>
      <c r="M15" s="126">
        <v>45770.625</v>
      </c>
      <c r="N15" s="3">
        <v>94.974999999999994</v>
      </c>
    </row>
    <row r="16" spans="1:14" x14ac:dyDescent="0.3">
      <c r="A16" s="36">
        <v>45905</v>
      </c>
      <c r="B16" s="4">
        <f t="shared" si="0"/>
        <v>97.619</v>
      </c>
      <c r="C16" s="1">
        <v>99.507999999999996</v>
      </c>
      <c r="D16" s="31">
        <f t="shared" si="1"/>
        <v>77960.800000000047</v>
      </c>
      <c r="E16" s="32">
        <f t="shared" si="2"/>
        <v>1388.8888888888889</v>
      </c>
      <c r="F16" s="4">
        <f t="shared" si="3"/>
        <v>99.856999999999999</v>
      </c>
      <c r="G16" s="31">
        <f t="shared" ref="G16:G39" si="4">(F16-$F$14)/100*$C$5</f>
        <v>73649.999999999956</v>
      </c>
      <c r="H16" s="32">
        <f t="shared" ref="H16:H34" si="5">$C$6*(A16-$A$14)/360*$C$5-$C$7*(A16-$A$14)/360*$C$5*$F$14/100</f>
        <v>1102.5520833333339</v>
      </c>
      <c r="I16" s="82">
        <f t="shared" ref="I16:I33" si="6">(D16+E16)*$B$9-G16-H16</f>
        <v>18086.583916666765</v>
      </c>
      <c r="J16" s="1"/>
      <c r="K16" s="126">
        <v>45770.625</v>
      </c>
      <c r="L16" s="3">
        <v>120.089</v>
      </c>
      <c r="M16" s="126">
        <v>45771.625</v>
      </c>
      <c r="N16" s="3">
        <v>94.802000000000007</v>
      </c>
    </row>
    <row r="17" spans="1:14" x14ac:dyDescent="0.3">
      <c r="A17" s="36">
        <v>45908</v>
      </c>
      <c r="B17" s="4">
        <f t="shared" si="0"/>
        <v>97.876000000000005</v>
      </c>
      <c r="C17" s="1">
        <v>97.378</v>
      </c>
      <c r="D17" s="31">
        <f t="shared" si="1"/>
        <v>101710.30000000002</v>
      </c>
      <c r="E17" s="32">
        <f t="shared" si="2"/>
        <v>3472.2222222222222</v>
      </c>
      <c r="F17" s="4">
        <f t="shared" si="3"/>
        <v>99.837000000000003</v>
      </c>
      <c r="G17" s="31">
        <f t="shared" si="4"/>
        <v>72150.000000000247</v>
      </c>
      <c r="H17" s="32">
        <f t="shared" si="5"/>
        <v>2756.380208333333</v>
      </c>
      <c r="I17" s="82">
        <f t="shared" si="6"/>
        <v>48157.170791666424</v>
      </c>
      <c r="J17" s="1"/>
      <c r="K17" s="126">
        <v>45771.625</v>
      </c>
      <c r="L17" s="3">
        <v>119.34</v>
      </c>
      <c r="M17" s="126">
        <v>45772.625</v>
      </c>
      <c r="N17" s="3">
        <v>95.19</v>
      </c>
    </row>
    <row r="18" spans="1:14" x14ac:dyDescent="0.3">
      <c r="A18" s="36">
        <v>45909</v>
      </c>
      <c r="B18" s="4">
        <f t="shared" si="0"/>
        <v>96.716999999999999</v>
      </c>
      <c r="C18" s="1">
        <v>96.828000000000003</v>
      </c>
      <c r="D18" s="31">
        <f t="shared" si="1"/>
        <v>107842.79999999997</v>
      </c>
      <c r="E18" s="32">
        <f t="shared" si="2"/>
        <v>4166.666666666667</v>
      </c>
      <c r="F18" s="4">
        <f t="shared" si="3"/>
        <v>99.876000000000005</v>
      </c>
      <c r="G18" s="31">
        <f t="shared" si="4"/>
        <v>75075.000000000364</v>
      </c>
      <c r="H18" s="32">
        <f t="shared" si="5"/>
        <v>3307.65625</v>
      </c>
      <c r="I18" s="82">
        <f t="shared" si="6"/>
        <v>52668.419749999608</v>
      </c>
      <c r="J18" s="1"/>
      <c r="K18" s="126">
        <v>45772.625</v>
      </c>
      <c r="L18" s="3">
        <v>117.146</v>
      </c>
      <c r="M18" s="126">
        <v>45775.625</v>
      </c>
      <c r="N18" s="3">
        <v>95.531999999999996</v>
      </c>
    </row>
    <row r="19" spans="1:14" x14ac:dyDescent="0.3">
      <c r="A19" s="36">
        <v>45910</v>
      </c>
      <c r="B19" s="4">
        <f t="shared" si="0"/>
        <v>95.831999999999994</v>
      </c>
      <c r="C19" s="1">
        <v>95.448999999999998</v>
      </c>
      <c r="D19" s="31">
        <f t="shared" si="1"/>
        <v>123218.65000000002</v>
      </c>
      <c r="E19" s="32">
        <f t="shared" si="2"/>
        <v>4861.1111111111113</v>
      </c>
      <c r="F19" s="4">
        <f t="shared" si="3"/>
        <v>99.942999999999998</v>
      </c>
      <c r="G19" s="31">
        <f t="shared" si="4"/>
        <v>80099.99999999984</v>
      </c>
      <c r="H19" s="32">
        <f t="shared" si="5"/>
        <v>3858.9322916666661</v>
      </c>
      <c r="I19" s="82">
        <f t="shared" si="6"/>
        <v>65894.388208333519</v>
      </c>
      <c r="J19" s="1"/>
      <c r="K19" s="126">
        <v>45775.625</v>
      </c>
      <c r="L19" s="3">
        <v>115.843</v>
      </c>
      <c r="M19" s="126">
        <v>45776.625</v>
      </c>
      <c r="N19" s="3">
        <v>95.388000000000005</v>
      </c>
    </row>
    <row r="20" spans="1:14" x14ac:dyDescent="0.3">
      <c r="A20" s="36">
        <v>45911</v>
      </c>
      <c r="B20" s="4">
        <f t="shared" si="0"/>
        <v>93.906000000000006</v>
      </c>
      <c r="C20" s="1">
        <v>92.872</v>
      </c>
      <c r="D20" s="31">
        <f t="shared" si="1"/>
        <v>151952.20000000001</v>
      </c>
      <c r="E20" s="32">
        <f t="shared" si="2"/>
        <v>5555.5555555555557</v>
      </c>
      <c r="F20" s="4">
        <f t="shared" si="3"/>
        <v>100.11</v>
      </c>
      <c r="G20" s="31">
        <f t="shared" si="4"/>
        <v>92624.999999999956</v>
      </c>
      <c r="H20" s="32">
        <f t="shared" si="5"/>
        <v>4410.2083333333358</v>
      </c>
      <c r="I20" s="82">
        <f t="shared" si="6"/>
        <v>87248.865666666738</v>
      </c>
      <c r="J20" s="1"/>
      <c r="K20" s="126">
        <v>45776.625</v>
      </c>
      <c r="L20" s="3">
        <v>114.739</v>
      </c>
      <c r="M20" s="126">
        <v>45777.625</v>
      </c>
      <c r="N20" s="3">
        <v>94.76</v>
      </c>
    </row>
    <row r="21" spans="1:14" x14ac:dyDescent="0.3">
      <c r="A21" s="36">
        <v>45912</v>
      </c>
      <c r="B21" s="4">
        <f t="shared" si="0"/>
        <v>92.352999999999994</v>
      </c>
      <c r="C21" s="1">
        <v>92.445999999999998</v>
      </c>
      <c r="D21" s="31">
        <f t="shared" si="1"/>
        <v>156702.10000000003</v>
      </c>
      <c r="E21" s="32">
        <f t="shared" si="2"/>
        <v>6250</v>
      </c>
      <c r="F21" s="4">
        <f t="shared" si="3"/>
        <v>100.373</v>
      </c>
      <c r="G21" s="31">
        <f t="shared" si="4"/>
        <v>112350.00000000035</v>
      </c>
      <c r="H21" s="32">
        <f t="shared" si="5"/>
        <v>4961.4843749999973</v>
      </c>
      <c r="I21" s="82">
        <f t="shared" si="6"/>
        <v>73342.472624999675</v>
      </c>
      <c r="J21" s="1"/>
      <c r="K21" s="126">
        <v>45777.625</v>
      </c>
      <c r="L21" s="3">
        <v>118.17</v>
      </c>
      <c r="M21" s="126">
        <v>45778.625</v>
      </c>
      <c r="N21" s="3">
        <v>94.893000000000001</v>
      </c>
    </row>
    <row r="22" spans="1:14" x14ac:dyDescent="0.3">
      <c r="A22" s="36">
        <v>45915</v>
      </c>
      <c r="B22" s="4">
        <f t="shared" si="0"/>
        <v>91.721999999999994</v>
      </c>
      <c r="C22" s="1">
        <v>91.334000000000003</v>
      </c>
      <c r="D22" s="31">
        <f t="shared" si="1"/>
        <v>169100.89999999997</v>
      </c>
      <c r="E22" s="32">
        <f t="shared" si="2"/>
        <v>8333.3333333333339</v>
      </c>
      <c r="F22" s="4">
        <f t="shared" si="3"/>
        <v>100.343</v>
      </c>
      <c r="G22" s="31">
        <f t="shared" si="4"/>
        <v>110100.00000000026</v>
      </c>
      <c r="H22" s="32">
        <f t="shared" si="5"/>
        <v>6615.3125</v>
      </c>
      <c r="I22" s="82">
        <f t="shared" si="6"/>
        <v>90882.740499999694</v>
      </c>
      <c r="J22" s="1"/>
      <c r="K22" s="126">
        <v>45778.625</v>
      </c>
      <c r="L22" s="3">
        <v>116.595</v>
      </c>
      <c r="M22" s="126">
        <v>45779.625</v>
      </c>
      <c r="N22" s="3">
        <v>94.658000000000001</v>
      </c>
    </row>
    <row r="23" spans="1:14" hidden="1" x14ac:dyDescent="0.3">
      <c r="A23" s="36">
        <v>45916</v>
      </c>
      <c r="B23" s="4">
        <f t="shared" si="0"/>
        <v>92.043000000000006</v>
      </c>
      <c r="C23" s="1">
        <v>91.960999999999999</v>
      </c>
      <c r="D23" s="31">
        <f t="shared" si="1"/>
        <v>162109.85000000003</v>
      </c>
      <c r="E23" s="32">
        <f t="shared" si="2"/>
        <v>9027.7777777777792</v>
      </c>
      <c r="F23" s="4">
        <f t="shared" si="3"/>
        <v>100.643</v>
      </c>
      <c r="G23" s="31">
        <f t="shared" si="4"/>
        <v>132600.00000000006</v>
      </c>
      <c r="H23" s="32">
        <f t="shared" si="5"/>
        <v>7166.5885416666679</v>
      </c>
      <c r="I23" s="82">
        <f t="shared" si="6"/>
        <v>60464.435958333299</v>
      </c>
      <c r="J23" s="1"/>
      <c r="K23" s="126">
        <v>45779.625</v>
      </c>
      <c r="L23" s="3">
        <v>114.43300000000001</v>
      </c>
      <c r="M23" s="126">
        <v>45782.625</v>
      </c>
      <c r="N23" s="3">
        <v>95.11</v>
      </c>
    </row>
    <row r="24" spans="1:14" hidden="1" x14ac:dyDescent="0.3">
      <c r="A24" s="36">
        <v>45917</v>
      </c>
      <c r="B24" s="4">
        <f t="shared" si="0"/>
        <v>92.41</v>
      </c>
      <c r="C24" s="1">
        <v>92.38</v>
      </c>
      <c r="D24" s="31">
        <f t="shared" si="1"/>
        <v>157438.00000000006</v>
      </c>
      <c r="E24" s="32">
        <f t="shared" si="2"/>
        <v>9722.2222222222226</v>
      </c>
      <c r="F24" s="4">
        <f t="shared" si="3"/>
        <v>100.554</v>
      </c>
      <c r="G24" s="31">
        <f t="shared" si="4"/>
        <v>125925.00000000015</v>
      </c>
      <c r="H24" s="32">
        <f t="shared" si="5"/>
        <v>7717.8645833333321</v>
      </c>
      <c r="I24" s="82">
        <f t="shared" si="6"/>
        <v>61934.595416666576</v>
      </c>
      <c r="J24" s="1"/>
      <c r="K24" s="126">
        <v>45782.625</v>
      </c>
      <c r="L24" s="3">
        <v>114.46</v>
      </c>
      <c r="M24" s="126">
        <v>45783.625</v>
      </c>
      <c r="N24" s="3">
        <v>94.977999999999994</v>
      </c>
    </row>
    <row r="25" spans="1:14" hidden="1" x14ac:dyDescent="0.3">
      <c r="A25" s="36">
        <v>45918</v>
      </c>
      <c r="B25" s="4">
        <f t="shared" si="0"/>
        <v>91.355999999999995</v>
      </c>
      <c r="C25" s="1">
        <v>91.418000000000006</v>
      </c>
      <c r="D25" s="31">
        <f t="shared" si="1"/>
        <v>168164.29999999993</v>
      </c>
      <c r="E25" s="32">
        <f t="shared" si="2"/>
        <v>10416.666666666666</v>
      </c>
      <c r="F25" s="4">
        <f t="shared" si="3"/>
        <v>101.01600000000001</v>
      </c>
      <c r="G25" s="31">
        <f t="shared" si="4"/>
        <v>160575.00000000041</v>
      </c>
      <c r="H25" s="32">
        <f t="shared" si="5"/>
        <v>8269.1406250000036</v>
      </c>
      <c r="I25" s="82">
        <f t="shared" si="6"/>
        <v>40095.590374999476</v>
      </c>
      <c r="J25" s="1"/>
      <c r="K25" s="126">
        <v>45783.625</v>
      </c>
      <c r="L25" s="3">
        <v>114.01900000000001</v>
      </c>
      <c r="M25" s="126">
        <v>45784.625</v>
      </c>
      <c r="N25" s="3">
        <v>95.123000000000005</v>
      </c>
    </row>
    <row r="26" spans="1:14" hidden="1" x14ac:dyDescent="0.3">
      <c r="A26" s="36">
        <v>45919</v>
      </c>
      <c r="B26" s="4">
        <f t="shared" si="0"/>
        <v>91.385999999999996</v>
      </c>
      <c r="C26" s="1">
        <v>91.418000000000006</v>
      </c>
      <c r="D26" s="31">
        <f t="shared" si="1"/>
        <v>168164.29999999993</v>
      </c>
      <c r="E26" s="32">
        <f t="shared" si="2"/>
        <v>11111.111111111111</v>
      </c>
      <c r="F26" s="4">
        <f t="shared" si="3"/>
        <v>101.05800000000001</v>
      </c>
      <c r="G26" s="31">
        <f t="shared" si="4"/>
        <v>163725.00000000052</v>
      </c>
      <c r="H26" s="32">
        <f t="shared" si="5"/>
        <v>8820.4166666666715</v>
      </c>
      <c r="I26" s="82">
        <f t="shared" si="6"/>
        <v>37206.814333332717</v>
      </c>
      <c r="J26" s="1"/>
      <c r="K26" s="126">
        <v>45784.625</v>
      </c>
      <c r="L26" s="3">
        <v>113.444</v>
      </c>
      <c r="M26" s="126">
        <v>45785.625</v>
      </c>
      <c r="N26" s="3">
        <v>95.341999999999999</v>
      </c>
    </row>
    <row r="27" spans="1:14" hidden="1" x14ac:dyDescent="0.3">
      <c r="A27" s="37"/>
      <c r="B27" s="4" t="e">
        <f t="shared" si="0"/>
        <v>#N/A</v>
      </c>
      <c r="C27" s="1"/>
      <c r="D27" s="31"/>
      <c r="E27" s="32"/>
      <c r="F27" s="4" t="e">
        <f t="shared" si="3"/>
        <v>#N/A</v>
      </c>
      <c r="G27" s="31"/>
      <c r="H27" s="32"/>
      <c r="I27" s="82"/>
      <c r="J27" s="1"/>
      <c r="K27" s="126">
        <v>45785.625</v>
      </c>
      <c r="L27" s="3">
        <v>111.55800000000001</v>
      </c>
      <c r="M27" s="126">
        <v>45786.625</v>
      </c>
      <c r="N27" s="3">
        <v>95.43</v>
      </c>
    </row>
    <row r="28" spans="1:14" hidden="1" x14ac:dyDescent="0.3">
      <c r="A28" s="36">
        <v>45922</v>
      </c>
      <c r="B28" s="4">
        <f t="shared" si="0"/>
        <v>103.479</v>
      </c>
      <c r="C28" s="1">
        <f t="shared" ref="C28:C47" si="7">B28-$F$8</f>
        <v>91.938000000000002</v>
      </c>
      <c r="D28" s="31">
        <f t="shared" ref="D28:D34" si="8">-1*(C28-$C$14)*10^-4*$B$8*$B$5</f>
        <v>162366.29999999996</v>
      </c>
      <c r="E28" s="32">
        <f>$B$6*(A28-$A$14)/360*$B$5</f>
        <v>13194.444444444445</v>
      </c>
      <c r="F28" s="4">
        <f t="shared" si="3"/>
        <v>101.03100000000001</v>
      </c>
      <c r="G28" s="31">
        <f t="shared" si="4"/>
        <v>161700.00000000044</v>
      </c>
      <c r="H28" s="32">
        <f t="shared" si="5"/>
        <v>10474.244791666672</v>
      </c>
      <c r="I28" s="82">
        <f t="shared" si="6"/>
        <v>33231.82620833283</v>
      </c>
      <c r="J28" s="1"/>
      <c r="K28" s="126">
        <v>45786.625</v>
      </c>
      <c r="L28" s="3">
        <v>109.861</v>
      </c>
      <c r="M28" s="126">
        <v>45789.625</v>
      </c>
      <c r="N28" s="3">
        <v>96.028999999999996</v>
      </c>
    </row>
    <row r="29" spans="1:14" hidden="1" x14ac:dyDescent="0.3">
      <c r="A29" s="36">
        <v>45923</v>
      </c>
      <c r="B29" s="4">
        <f t="shared" si="0"/>
        <v>103.004</v>
      </c>
      <c r="C29" s="1">
        <f t="shared" si="7"/>
        <v>91.463000000000008</v>
      </c>
      <c r="D29" s="31">
        <f t="shared" si="8"/>
        <v>167662.54999999993</v>
      </c>
      <c r="E29" s="32">
        <f>$B$6*(A29-$A$14)/360*$B$5</f>
        <v>13888.888888888889</v>
      </c>
      <c r="F29" s="4">
        <f t="shared" si="3"/>
        <v>101.027</v>
      </c>
      <c r="G29" s="31">
        <f t="shared" si="4"/>
        <v>161400.00000000009</v>
      </c>
      <c r="H29" s="32">
        <f t="shared" si="5"/>
        <v>11025.520833333332</v>
      </c>
      <c r="I29" s="82">
        <f t="shared" si="6"/>
        <v>39989.662666666482</v>
      </c>
      <c r="J29" s="1"/>
      <c r="K29" s="126">
        <v>45789.625</v>
      </c>
      <c r="L29" s="3">
        <v>105.154</v>
      </c>
      <c r="M29" s="126">
        <v>45790.625</v>
      </c>
      <c r="N29" s="3">
        <v>96.102000000000004</v>
      </c>
    </row>
    <row r="30" spans="1:14" hidden="1" x14ac:dyDescent="0.3">
      <c r="A30" s="36">
        <v>45924</v>
      </c>
      <c r="B30" s="4">
        <f t="shared" si="0"/>
        <v>102.914</v>
      </c>
      <c r="C30" s="1">
        <f t="shared" si="7"/>
        <v>91.373000000000005</v>
      </c>
      <c r="D30" s="31">
        <f t="shared" si="8"/>
        <v>168666.04999999996</v>
      </c>
      <c r="E30" s="32">
        <f>$B$6*(A30-$A$14)/360*$B$5</f>
        <v>14583.333333333332</v>
      </c>
      <c r="F30" s="4">
        <f t="shared" si="3"/>
        <v>101.15</v>
      </c>
      <c r="G30" s="31">
        <f t="shared" si="4"/>
        <v>170625.00000000044</v>
      </c>
      <c r="H30" s="32">
        <f t="shared" si="5"/>
        <v>11576.796875</v>
      </c>
      <c r="I30" s="82">
        <f t="shared" si="6"/>
        <v>32199.98162499952</v>
      </c>
      <c r="J30" s="1"/>
      <c r="K30" s="126">
        <v>45790.625</v>
      </c>
      <c r="L30" s="3">
        <v>99.885999999999996</v>
      </c>
      <c r="M30" s="126">
        <v>45791.625</v>
      </c>
      <c r="N30" s="3">
        <v>95.909000000000006</v>
      </c>
    </row>
    <row r="31" spans="1:14" hidden="1" x14ac:dyDescent="0.3">
      <c r="A31" s="36">
        <v>45925</v>
      </c>
      <c r="B31" s="4">
        <f t="shared" si="0"/>
        <v>105.236</v>
      </c>
      <c r="C31" s="1">
        <f t="shared" si="7"/>
        <v>93.695000000000007</v>
      </c>
      <c r="D31" s="31">
        <f t="shared" si="8"/>
        <v>142775.74999999994</v>
      </c>
      <c r="E31" s="32">
        <f t="shared" ref="E31:E39" si="9">$B$6*(A31-$A$14)/360*$B$5</f>
        <v>15277.777777777777</v>
      </c>
      <c r="F31" s="4">
        <f t="shared" si="3"/>
        <v>100.76300000000001</v>
      </c>
      <c r="G31" s="31">
        <f t="shared" si="4"/>
        <v>141600.00000000041</v>
      </c>
      <c r="H31" s="32">
        <f t="shared" si="5"/>
        <v>12128.072916666668</v>
      </c>
      <c r="I31" s="82">
        <f t="shared" si="6"/>
        <v>31194.55458333284</v>
      </c>
      <c r="J31" s="1"/>
      <c r="K31" s="126">
        <v>45791.625</v>
      </c>
      <c r="L31" s="3">
        <v>99.960999999999999</v>
      </c>
      <c r="M31" s="126">
        <v>45792.625</v>
      </c>
      <c r="N31" s="3">
        <v>95.572000000000003</v>
      </c>
    </row>
    <row r="32" spans="1:14" hidden="1" x14ac:dyDescent="0.3">
      <c r="A32" s="36">
        <v>45926</v>
      </c>
      <c r="B32" s="4">
        <f t="shared" si="0"/>
        <v>105.75</v>
      </c>
      <c r="C32" s="1">
        <f t="shared" si="7"/>
        <v>94.209000000000003</v>
      </c>
      <c r="D32" s="31">
        <f t="shared" si="8"/>
        <v>137044.64999999997</v>
      </c>
      <c r="E32" s="32">
        <f t="shared" si="9"/>
        <v>15972.222222222223</v>
      </c>
      <c r="F32" s="4">
        <f t="shared" si="3"/>
        <v>100.681</v>
      </c>
      <c r="G32" s="1">
        <f t="shared" si="4"/>
        <v>135449.99999999983</v>
      </c>
      <c r="H32" s="32">
        <f t="shared" si="5"/>
        <v>12679.348958333332</v>
      </c>
      <c r="I32" s="82">
        <f t="shared" si="6"/>
        <v>30900.391541666799</v>
      </c>
      <c r="J32" s="1"/>
      <c r="K32" s="126">
        <v>45792.625</v>
      </c>
      <c r="L32" s="3">
        <v>102.67700000000001</v>
      </c>
      <c r="M32" s="126">
        <v>45793.625</v>
      </c>
      <c r="N32" s="3">
        <v>95.935000000000002</v>
      </c>
    </row>
    <row r="33" spans="1:14" hidden="1" x14ac:dyDescent="0.3">
      <c r="A33" s="36">
        <v>45929</v>
      </c>
      <c r="B33" s="4">
        <f t="shared" si="0"/>
        <v>105.6</v>
      </c>
      <c r="C33" s="1">
        <f t="shared" si="7"/>
        <v>94.058999999999997</v>
      </c>
      <c r="D33" s="31">
        <f t="shared" si="8"/>
        <v>138717.15000000002</v>
      </c>
      <c r="E33" s="32">
        <f t="shared" si="9"/>
        <v>18055.555555555558</v>
      </c>
      <c r="F33" s="4">
        <f t="shared" si="3"/>
        <v>101.003</v>
      </c>
      <c r="G33" s="1">
        <f t="shared" si="4"/>
        <v>159600</v>
      </c>
      <c r="H33" s="32">
        <f t="shared" si="5"/>
        <v>14333.177083333336</v>
      </c>
      <c r="I33" s="82">
        <f t="shared" si="6"/>
        <v>9490.8884166666903</v>
      </c>
      <c r="J33" s="1"/>
      <c r="K33" s="126">
        <v>45793.625</v>
      </c>
      <c r="L33" s="3">
        <v>101.176</v>
      </c>
      <c r="M33" s="126">
        <v>45796.625</v>
      </c>
      <c r="N33" s="3">
        <v>95.763000000000005</v>
      </c>
    </row>
    <row r="34" spans="1:14" hidden="1" x14ac:dyDescent="0.3">
      <c r="A34" s="36">
        <v>45930</v>
      </c>
      <c r="B34" s="4">
        <f t="shared" si="0"/>
        <v>105.544</v>
      </c>
      <c r="C34" s="1">
        <f t="shared" si="7"/>
        <v>94.003</v>
      </c>
      <c r="D34" s="31">
        <f t="shared" si="8"/>
        <v>139341.54999999999</v>
      </c>
      <c r="E34" s="32">
        <f t="shared" si="9"/>
        <v>18750</v>
      </c>
      <c r="F34" s="4">
        <f t="shared" si="3"/>
        <v>100.789</v>
      </c>
      <c r="G34" s="1">
        <f t="shared" si="4"/>
        <v>143550.00000000012</v>
      </c>
      <c r="H34" s="32">
        <f t="shared" si="5"/>
        <v>14884.453125000007</v>
      </c>
      <c r="I34" s="82">
        <f t="shared" ref="I34:I39" si="10">(D34+E34)*$B$9-G34-H34</f>
        <v>26532.660374999854</v>
      </c>
      <c r="J34" s="1"/>
      <c r="K34" s="126">
        <v>45796.625</v>
      </c>
      <c r="L34" s="3">
        <v>101.77</v>
      </c>
      <c r="M34" s="126">
        <v>45797.625</v>
      </c>
      <c r="N34" s="3">
        <v>95.956000000000003</v>
      </c>
    </row>
    <row r="35" spans="1:14" hidden="1" x14ac:dyDescent="0.3">
      <c r="A35" s="36">
        <v>45931</v>
      </c>
      <c r="B35" s="4">
        <f t="shared" si="0"/>
        <v>104.553</v>
      </c>
      <c r="C35" s="1">
        <f t="shared" si="7"/>
        <v>93.012</v>
      </c>
      <c r="D35" s="31">
        <f t="shared" ref="D35:D40" si="11">-1*(C35-$C$14)*10^-4*$B$8*$B$5</f>
        <v>150391.20000000001</v>
      </c>
      <c r="E35" s="32">
        <f t="shared" si="9"/>
        <v>19444.444444444445</v>
      </c>
      <c r="F35" s="4">
        <f t="shared" si="3"/>
        <v>100.709</v>
      </c>
      <c r="G35" s="1">
        <f t="shared" si="4"/>
        <v>137550.00000000026</v>
      </c>
      <c r="H35" s="32">
        <f t="shared" ref="H35" si="12">$C$6*(A35-$A$14)/360*$C$5-$C$7*(A35-$A$14)/360*$C$5*$F$14/100</f>
        <v>15435.729166666664</v>
      </c>
      <c r="I35" s="82">
        <f t="shared" si="10"/>
        <v>45721.974833333072</v>
      </c>
      <c r="J35" s="1"/>
      <c r="K35" s="126">
        <v>45797.625</v>
      </c>
      <c r="L35" s="3">
        <v>100.45099999999999</v>
      </c>
      <c r="M35" s="126">
        <v>45798.625</v>
      </c>
      <c r="N35" s="3">
        <v>95.772999999999996</v>
      </c>
    </row>
    <row r="36" spans="1:14" hidden="1" x14ac:dyDescent="0.3">
      <c r="A36" s="36">
        <v>45932</v>
      </c>
      <c r="B36" s="4">
        <f t="shared" si="0"/>
        <v>102.07</v>
      </c>
      <c r="C36" s="1">
        <f t="shared" si="7"/>
        <v>90.528999999999996</v>
      </c>
      <c r="D36" s="31">
        <f t="shared" si="11"/>
        <v>178076.65000000005</v>
      </c>
      <c r="E36" s="32">
        <f t="shared" si="9"/>
        <v>20138.888888888887</v>
      </c>
      <c r="F36" s="4">
        <f t="shared" si="3"/>
        <v>101.09399999999999</v>
      </c>
      <c r="G36" s="1">
        <f t="shared" si="4"/>
        <v>166424.99999999956</v>
      </c>
      <c r="H36" s="32">
        <f t="shared" ref="H36:H41" si="13">$C$6*(A36-$A$14)/360*$C$5-$C$7*(A36-$A$14)/360*$C$5*$F$14/100</f>
        <v>15987.005208333343</v>
      </c>
      <c r="I36" s="82">
        <f t="shared" si="10"/>
        <v>49500.175291667139</v>
      </c>
      <c r="J36" s="1"/>
      <c r="K36" s="126">
        <v>45798.625</v>
      </c>
      <c r="L36" s="3">
        <v>101.446</v>
      </c>
      <c r="M36" s="126">
        <v>45799.625</v>
      </c>
      <c r="N36" s="3">
        <v>95.494</v>
      </c>
    </row>
    <row r="37" spans="1:14" x14ac:dyDescent="0.3">
      <c r="A37" s="36">
        <v>45933</v>
      </c>
      <c r="B37" s="4">
        <f t="shared" si="0"/>
        <v>101.73699999999999</v>
      </c>
      <c r="C37" s="1">
        <f t="shared" si="7"/>
        <v>90.195999999999998</v>
      </c>
      <c r="D37" s="31">
        <f t="shared" si="11"/>
        <v>181789.60000000003</v>
      </c>
      <c r="E37" s="32">
        <f t="shared" si="9"/>
        <v>20833.333333333332</v>
      </c>
      <c r="F37" s="4">
        <f t="shared" si="3"/>
        <v>101.012</v>
      </c>
      <c r="G37" s="1">
        <f t="shared" si="4"/>
        <v>160275.00000000003</v>
      </c>
      <c r="H37" s="32">
        <f t="shared" si="13"/>
        <v>16538.281250000007</v>
      </c>
      <c r="I37" s="82">
        <f t="shared" si="10"/>
        <v>60255.550749999988</v>
      </c>
      <c r="J37" s="1"/>
      <c r="K37" s="126">
        <v>45799.625</v>
      </c>
      <c r="L37" s="3">
        <v>104.67400000000001</v>
      </c>
      <c r="M37" s="126">
        <v>45800.625</v>
      </c>
      <c r="N37" s="3">
        <v>95.557000000000002</v>
      </c>
    </row>
    <row r="38" spans="1:14" x14ac:dyDescent="0.3">
      <c r="A38" s="36">
        <v>45936</v>
      </c>
      <c r="B38" s="4">
        <f t="shared" si="0"/>
        <v>106.923</v>
      </c>
      <c r="C38" s="1">
        <f t="shared" si="7"/>
        <v>95.382000000000005</v>
      </c>
      <c r="D38" s="31">
        <f t="shared" si="11"/>
        <v>123965.69999999995</v>
      </c>
      <c r="E38" s="32">
        <f t="shared" si="9"/>
        <v>22916.666666666668</v>
      </c>
      <c r="F38" s="4">
        <f t="shared" si="3"/>
        <v>100.5</v>
      </c>
      <c r="G38" s="1">
        <f t="shared" si="4"/>
        <v>121875</v>
      </c>
      <c r="H38" s="32">
        <f t="shared" si="13"/>
        <v>18192.109375000007</v>
      </c>
      <c r="I38" s="82">
        <f t="shared" si="10"/>
        <v>31785.259624999911</v>
      </c>
      <c r="J38" s="1"/>
      <c r="K38" s="126">
        <v>45800.625</v>
      </c>
      <c r="L38" s="3">
        <v>104.48</v>
      </c>
      <c r="M38" s="126">
        <v>45804.625</v>
      </c>
      <c r="N38" s="3">
        <v>95.932000000000002</v>
      </c>
    </row>
    <row r="39" spans="1:14" x14ac:dyDescent="0.3">
      <c r="A39" s="36">
        <v>45937</v>
      </c>
      <c r="B39" s="4">
        <f t="shared" si="0"/>
        <v>106.367</v>
      </c>
      <c r="C39" s="1">
        <f t="shared" si="7"/>
        <v>94.826000000000008</v>
      </c>
      <c r="D39" s="31">
        <f t="shared" si="11"/>
        <v>130165.09999999992</v>
      </c>
      <c r="E39" s="32">
        <f t="shared" si="9"/>
        <v>23611.111111111113</v>
      </c>
      <c r="F39" s="4">
        <f t="shared" si="3"/>
        <v>100.55500000000001</v>
      </c>
      <c r="G39" s="1">
        <f t="shared" si="4"/>
        <v>126000.00000000051</v>
      </c>
      <c r="H39" s="32">
        <f t="shared" si="13"/>
        <v>18743.385416666664</v>
      </c>
      <c r="I39" s="82">
        <f t="shared" si="10"/>
        <v>35174.781583332726</v>
      </c>
      <c r="J39" s="1"/>
      <c r="K39" s="126">
        <v>45803.625</v>
      </c>
      <c r="L39" s="3">
        <v>104.973</v>
      </c>
      <c r="M39" s="126">
        <v>45805.625</v>
      </c>
      <c r="N39" s="3">
        <v>96.037000000000006</v>
      </c>
    </row>
    <row r="40" spans="1:14" x14ac:dyDescent="0.3">
      <c r="A40" s="36">
        <v>45938</v>
      </c>
      <c r="B40" s="4">
        <f t="shared" si="0"/>
        <v>104.837</v>
      </c>
      <c r="C40" s="1">
        <f t="shared" si="7"/>
        <v>93.296000000000006</v>
      </c>
      <c r="D40" s="31">
        <f t="shared" si="11"/>
        <v>147224.59999999992</v>
      </c>
      <c r="E40" s="32">
        <f t="shared" ref="E40" si="14">$B$6*(A40-$A$14)/360*$B$5</f>
        <v>24305.555555555558</v>
      </c>
      <c r="F40" s="4">
        <f t="shared" si="3"/>
        <v>100.562</v>
      </c>
      <c r="G40" s="1">
        <f t="shared" ref="G40" si="15">(F40-$F$14)/100*$C$5</f>
        <v>126524.99999999981</v>
      </c>
      <c r="H40" s="32">
        <f t="shared" si="13"/>
        <v>19294.661458333336</v>
      </c>
      <c r="I40" s="82">
        <f t="shared" ref="I40" si="16">(D40+E40)*$B$9-G40-H40</f>
        <v>54870.620541666744</v>
      </c>
      <c r="J40" s="1"/>
      <c r="K40" s="126">
        <v>45804.625</v>
      </c>
      <c r="L40" s="3">
        <v>100.896</v>
      </c>
      <c r="M40" s="126">
        <v>45806.625</v>
      </c>
      <c r="N40" s="3">
        <v>96.45</v>
      </c>
    </row>
    <row r="41" spans="1:14" x14ac:dyDescent="0.3">
      <c r="A41" s="36">
        <v>45939</v>
      </c>
      <c r="B41" s="4">
        <f t="shared" si="0"/>
        <v>104.482</v>
      </c>
      <c r="C41" s="1">
        <f t="shared" si="7"/>
        <v>92.941000000000003</v>
      </c>
      <c r="D41" s="31">
        <f t="shared" ref="D41" si="17">-1*(C41-$C$14)*10^-4*$B$8*$B$5</f>
        <v>151182.84999999998</v>
      </c>
      <c r="E41" s="32">
        <f t="shared" ref="E41" si="18">$B$6*(A41-$A$14)/360*$B$5</f>
        <v>25000</v>
      </c>
      <c r="F41" s="4">
        <f t="shared" si="3"/>
        <v>100.498</v>
      </c>
      <c r="G41" s="1">
        <f t="shared" ref="G41" si="19">(F41-$F$14)/100*$C$5</f>
        <v>121725.00000000035</v>
      </c>
      <c r="H41" s="32">
        <f t="shared" si="13"/>
        <v>19845.937499999989</v>
      </c>
      <c r="I41" s="82">
        <f t="shared" ref="I41" si="20">(D41+E41)*$B$9-G41-H41</f>
        <v>64562.996999999639</v>
      </c>
      <c r="J41" s="1"/>
      <c r="K41" s="126">
        <v>45805.625</v>
      </c>
      <c r="L41" s="3">
        <v>101.648</v>
      </c>
      <c r="M41" s="126">
        <v>45807.625</v>
      </c>
      <c r="N41" s="3">
        <v>96.408000000000001</v>
      </c>
    </row>
    <row r="42" spans="1:14" x14ac:dyDescent="0.3">
      <c r="A42" s="36">
        <v>45940</v>
      </c>
      <c r="B42" s="4">
        <f t="shared" si="0"/>
        <v>104.67</v>
      </c>
      <c r="C42" s="1">
        <f t="shared" si="7"/>
        <v>93.129000000000005</v>
      </c>
      <c r="D42" s="31">
        <f t="shared" ref="D42" si="21">-1*(C42-$C$14)*10^-4*$B$8*$B$5</f>
        <v>149086.64999999994</v>
      </c>
      <c r="E42" s="32">
        <f t="shared" ref="E42" si="22">$B$6*(A42-$A$14)/360*$B$5</f>
        <v>25694.444444444445</v>
      </c>
      <c r="F42" s="4">
        <f t="shared" si="3"/>
        <v>100.498</v>
      </c>
      <c r="G42" s="1">
        <f t="shared" ref="G42" si="23">(F42-$F$14)/100*$C$5</f>
        <v>121725.00000000035</v>
      </c>
      <c r="H42" s="32">
        <f t="shared" ref="H42" si="24">$C$6*(A42-$A$14)/360*$C$5-$C$7*(A42-$A$14)/360*$C$5*$F$14/100</f>
        <v>20397.213541666664</v>
      </c>
      <c r="I42" s="82">
        <f t="shared" ref="I42" si="25">(D42+E42)*$B$9-G42-H42</f>
        <v>62371.666958332899</v>
      </c>
      <c r="J42" s="1"/>
      <c r="K42" s="126">
        <v>45806.625</v>
      </c>
      <c r="L42" s="3">
        <v>99.975999999999999</v>
      </c>
      <c r="M42" s="126">
        <v>45810.625</v>
      </c>
      <c r="N42" s="3">
        <v>96.438999999999993</v>
      </c>
    </row>
    <row r="43" spans="1:14" x14ac:dyDescent="0.3">
      <c r="A43" s="36">
        <v>45943</v>
      </c>
      <c r="B43" s="4">
        <f t="shared" si="0"/>
        <v>108.026</v>
      </c>
      <c r="C43" s="1">
        <f t="shared" si="7"/>
        <v>96.484999999999999</v>
      </c>
      <c r="D43" s="31">
        <f t="shared" ref="D43" si="26">-1*(C43-$C$14)*10^-4*$B$8*$B$5</f>
        <v>111667.25</v>
      </c>
      <c r="E43" s="32">
        <f t="shared" ref="E43" si="27">$B$6*(A43-$A$14)/360*$B$5</f>
        <v>27777.777777777777</v>
      </c>
      <c r="F43" s="4">
        <f t="shared" si="3"/>
        <v>100.498</v>
      </c>
      <c r="G43" s="1">
        <f t="shared" ref="G43" si="28">(F43-$F$14)/100*$C$5</f>
        <v>121725.00000000035</v>
      </c>
      <c r="H43" s="32">
        <f t="shared" ref="H43" si="29">$C$6*(A43-$A$14)/360*$C$5-$C$7*(A43-$A$14)/360*$C$5*$F$14/100</f>
        <v>22051.041666666664</v>
      </c>
      <c r="I43" s="82">
        <f t="shared" ref="I43" si="30">(D43+E43)*$B$9-G43-H43</f>
        <v>19374.640833332982</v>
      </c>
      <c r="J43" s="1"/>
      <c r="K43" s="126">
        <v>45807.625</v>
      </c>
      <c r="L43" s="3">
        <v>100.161</v>
      </c>
      <c r="M43" s="126">
        <v>45811.625</v>
      </c>
      <c r="N43" s="3">
        <v>96.614999999999995</v>
      </c>
    </row>
    <row r="44" spans="1:14" x14ac:dyDescent="0.3">
      <c r="A44" s="36">
        <v>45944</v>
      </c>
      <c r="B44" s="4">
        <f t="shared" si="0"/>
        <v>108.004</v>
      </c>
      <c r="C44" s="1">
        <f t="shared" si="7"/>
        <v>96.463000000000008</v>
      </c>
      <c r="D44" s="31">
        <f t="shared" ref="D44" si="31">-1*(C44-$C$14)*10^-4*$B$8*$B$5</f>
        <v>111912.54999999992</v>
      </c>
      <c r="E44" s="32">
        <f t="shared" ref="E44" si="32">$B$6*(A44-$A$14)/360*$B$5</f>
        <v>28472.222222222223</v>
      </c>
      <c r="F44" s="4">
        <f t="shared" si="3"/>
        <v>99.984999999999999</v>
      </c>
      <c r="G44" s="1">
        <f t="shared" ref="G44" si="33">(F44-$F$14)/100*$C$5</f>
        <v>83249.999999999956</v>
      </c>
      <c r="H44" s="32">
        <f t="shared" ref="H44" si="34">$C$6*(A44-$A$14)/360*$C$5-$C$7*(A44-$A$14)/360*$C$5*$F$14/100</f>
        <v>22602.317708333336</v>
      </c>
      <c r="I44" s="82">
        <f t="shared" ref="I44" si="35">(D44+E44)*$B$9-G44-H44</f>
        <v>58397.865791666605</v>
      </c>
      <c r="J44" s="1"/>
      <c r="K44" s="126">
        <v>45810.625</v>
      </c>
      <c r="L44" s="3">
        <v>100.687</v>
      </c>
      <c r="M44" s="126">
        <v>45812.625</v>
      </c>
      <c r="N44" s="3">
        <v>96.897000000000006</v>
      </c>
    </row>
    <row r="45" spans="1:14" x14ac:dyDescent="0.3">
      <c r="A45" s="36">
        <v>45945</v>
      </c>
      <c r="B45" s="4">
        <f t="shared" si="0"/>
        <v>101.48</v>
      </c>
      <c r="C45" s="1">
        <f t="shared" si="7"/>
        <v>89.939000000000007</v>
      </c>
      <c r="D45" s="31">
        <f t="shared" ref="D45" si="36">-1*(C45-$C$14)*10^-4*$B$8*$B$5</f>
        <v>184655.14999999991</v>
      </c>
      <c r="E45" s="32">
        <f t="shared" ref="E45" si="37">$B$6*(A45-$A$14)/360*$B$5</f>
        <v>29166.666666666664</v>
      </c>
      <c r="F45" s="4">
        <f t="shared" si="3"/>
        <v>100.788</v>
      </c>
      <c r="G45" s="1">
        <f t="shared" ref="G45" si="38">(F45-$F$14)/100*$C$5</f>
        <v>143474.99999999974</v>
      </c>
      <c r="H45" s="32">
        <f t="shared" ref="H45" si="39">$C$6*(A45-$A$14)/360*$C$5-$C$7*(A45-$A$14)/360*$C$5*$F$14/100</f>
        <v>23153.59375</v>
      </c>
      <c r="I45" s="82">
        <f t="shared" ref="I45" si="40">(D45+E45)*$B$9-G45-H45</f>
        <v>83542.931750000134</v>
      </c>
      <c r="J45" s="1"/>
      <c r="K45" s="126">
        <v>45811.625</v>
      </c>
      <c r="L45" s="3">
        <v>100.36</v>
      </c>
      <c r="M45" s="126">
        <v>45813.625</v>
      </c>
      <c r="N45" s="3">
        <v>96.96</v>
      </c>
    </row>
    <row r="46" spans="1:14" x14ac:dyDescent="0.3">
      <c r="A46" s="36">
        <v>45946</v>
      </c>
      <c r="B46" s="4">
        <f t="shared" si="0"/>
        <v>100.968</v>
      </c>
      <c r="C46" s="1">
        <f t="shared" si="7"/>
        <v>89.427000000000007</v>
      </c>
      <c r="D46" s="31">
        <f t="shared" ref="D46" si="41">-1*(C46-$C$14)*10^-4*$B$8*$B$5</f>
        <v>190363.94999999995</v>
      </c>
      <c r="E46" s="32">
        <f t="shared" ref="E46" si="42">$B$6*(A46-$A$14)/360*$B$5</f>
        <v>29861.111111111109</v>
      </c>
      <c r="F46" s="4">
        <f t="shared" si="3"/>
        <v>100.84099999999999</v>
      </c>
      <c r="G46" s="1">
        <f t="shared" ref="G46" si="43">(F46-$F$14)/100*$C$5</f>
        <v>147449.99999999956</v>
      </c>
      <c r="H46" s="32">
        <f t="shared" ref="H46" si="44">$C$6*(A46-$A$14)/360*$C$5-$C$7*(A46-$A$14)/360*$C$5*$F$14/100</f>
        <v>23704.869791666672</v>
      </c>
      <c r="I46" s="82">
        <f t="shared" ref="I46" si="45">(D46+E46)*$B$9-G46-H46</f>
        <v>86508.451708333698</v>
      </c>
      <c r="J46" s="1"/>
      <c r="K46" s="126">
        <v>45812.625</v>
      </c>
      <c r="L46" s="3">
        <v>99.268000000000001</v>
      </c>
      <c r="M46" s="126">
        <v>45814.625</v>
      </c>
      <c r="N46" s="3">
        <v>97.397999999999996</v>
      </c>
    </row>
    <row r="47" spans="1:14" x14ac:dyDescent="0.3">
      <c r="A47" s="36">
        <v>45947</v>
      </c>
      <c r="B47" s="4">
        <f>$B$10</f>
        <v>106.7697</v>
      </c>
      <c r="C47" s="1">
        <f t="shared" si="7"/>
        <v>95.228700000000003</v>
      </c>
      <c r="D47" s="31">
        <f t="shared" ref="D47" si="46">-1*(C47-$C$14)*10^-4*$B$8*$B$5</f>
        <v>125674.99499999997</v>
      </c>
      <c r="E47" s="32">
        <f t="shared" ref="E47" si="47">$B$6*(A47-$A$14)/360*$B$5</f>
        <v>30555.555555555555</v>
      </c>
      <c r="F47" s="4">
        <f>$C$10</f>
        <v>100.622</v>
      </c>
      <c r="G47" s="1">
        <f t="shared" ref="G47" si="48">(F47-$F$14)/100*$C$5</f>
        <v>131025</v>
      </c>
      <c r="H47" s="32">
        <f t="shared" ref="H47" si="49">$C$6*(A47-$A$14)/360*$C$5-$C$7*(A47-$A$14)/360*$C$5*$F$14/100</f>
        <v>24256.145833333336</v>
      </c>
      <c r="I47" s="82">
        <f t="shared" ref="I47" si="50">(D47+E47)*$B$9-G47-H47</f>
        <v>27508.598316666619</v>
      </c>
      <c r="J47" s="1"/>
      <c r="K47" s="126">
        <v>45813.625</v>
      </c>
      <c r="L47" s="3">
        <v>99.311999999999998</v>
      </c>
      <c r="M47" s="126">
        <v>45817.625</v>
      </c>
      <c r="N47" s="3">
        <v>97.316999999999993</v>
      </c>
    </row>
    <row r="48" spans="1:14" x14ac:dyDescent="0.3">
      <c r="A48" s="36">
        <v>45950</v>
      </c>
      <c r="B48" s="4"/>
      <c r="C48" s="1"/>
      <c r="D48" s="31"/>
      <c r="E48" s="32"/>
      <c r="F48" s="4"/>
      <c r="G48" s="1"/>
      <c r="H48" s="32"/>
      <c r="I48" s="82"/>
      <c r="J48" s="1"/>
      <c r="K48" s="126">
        <v>45814.625</v>
      </c>
      <c r="L48" s="3">
        <v>99.111999999999995</v>
      </c>
      <c r="M48" s="126">
        <v>45818.625</v>
      </c>
      <c r="N48" s="3">
        <v>97.459000000000003</v>
      </c>
    </row>
    <row r="49" spans="1:14" x14ac:dyDescent="0.3">
      <c r="A49" s="36">
        <v>45951</v>
      </c>
      <c r="B49" s="4"/>
      <c r="C49" s="1"/>
      <c r="D49" s="31"/>
      <c r="E49" s="32"/>
      <c r="F49" s="4"/>
      <c r="G49" s="1"/>
      <c r="H49" s="32"/>
      <c r="I49" s="82"/>
      <c r="J49" s="1"/>
      <c r="K49" s="126">
        <v>45817.625</v>
      </c>
      <c r="L49" s="3">
        <v>97.832999999999998</v>
      </c>
      <c r="M49" s="126">
        <v>45819.625</v>
      </c>
      <c r="N49" s="3">
        <v>97.754000000000005</v>
      </c>
    </row>
    <row r="50" spans="1:14" x14ac:dyDescent="0.3">
      <c r="A50" s="36">
        <v>45952</v>
      </c>
      <c r="B50" s="4"/>
      <c r="C50" s="1"/>
      <c r="D50" s="31"/>
      <c r="E50" s="32"/>
      <c r="F50" s="4"/>
      <c r="G50" s="1"/>
      <c r="H50" s="32"/>
      <c r="I50" s="82"/>
      <c r="J50" s="1"/>
      <c r="K50" s="126">
        <v>45818.625</v>
      </c>
      <c r="L50" s="3">
        <v>97.355999999999995</v>
      </c>
      <c r="M50" s="126">
        <v>45820.625</v>
      </c>
      <c r="N50" s="3">
        <v>97.39</v>
      </c>
    </row>
    <row r="51" spans="1:14" x14ac:dyDescent="0.3">
      <c r="A51" s="36">
        <v>45953</v>
      </c>
      <c r="B51" s="4"/>
      <c r="C51" s="1"/>
      <c r="D51" s="31"/>
      <c r="E51" s="32"/>
      <c r="F51" s="4"/>
      <c r="G51" s="1"/>
      <c r="H51" s="32"/>
      <c r="I51" s="82"/>
      <c r="J51" s="1"/>
      <c r="K51" s="126">
        <v>45819.625</v>
      </c>
      <c r="L51" s="3">
        <v>96.275000000000006</v>
      </c>
      <c r="M51" s="126">
        <v>45821.625</v>
      </c>
      <c r="N51" s="3">
        <v>97.503</v>
      </c>
    </row>
    <row r="52" spans="1:14" x14ac:dyDescent="0.3">
      <c r="A52" s="36">
        <v>45954</v>
      </c>
      <c r="B52" s="4"/>
      <c r="C52" s="1"/>
      <c r="D52" s="31"/>
      <c r="E52" s="32"/>
      <c r="F52" s="4"/>
      <c r="G52" s="1"/>
      <c r="H52" s="32"/>
      <c r="I52" s="82"/>
      <c r="J52" s="1"/>
      <c r="K52" s="126">
        <v>45820.625</v>
      </c>
      <c r="L52" s="3">
        <v>97.052999999999997</v>
      </c>
      <c r="M52" s="126">
        <v>45824.625</v>
      </c>
      <c r="N52" s="3">
        <v>97.588999999999999</v>
      </c>
    </row>
    <row r="53" spans="1:14" x14ac:dyDescent="0.3">
      <c r="A53" s="36">
        <v>45955</v>
      </c>
      <c r="B53" s="4"/>
      <c r="C53" s="1"/>
      <c r="D53" s="31"/>
      <c r="E53" s="32"/>
      <c r="F53" s="4"/>
      <c r="G53" s="1"/>
      <c r="H53" s="32"/>
      <c r="I53" s="82"/>
      <c r="J53" s="1"/>
      <c r="K53" s="126">
        <v>45821.625</v>
      </c>
      <c r="L53" s="3">
        <v>100.646</v>
      </c>
      <c r="M53" s="126">
        <v>45825.625</v>
      </c>
      <c r="N53" s="3">
        <v>97.742000000000004</v>
      </c>
    </row>
    <row r="54" spans="1:14" x14ac:dyDescent="0.3">
      <c r="A54" s="36">
        <v>45956</v>
      </c>
      <c r="B54" s="4"/>
      <c r="C54" s="1"/>
      <c r="D54" s="31"/>
      <c r="E54" s="5"/>
      <c r="F54" s="4"/>
      <c r="G54" s="1"/>
      <c r="H54" s="5"/>
      <c r="I54" s="81"/>
      <c r="J54" s="1"/>
      <c r="K54" s="126">
        <v>45824.625</v>
      </c>
      <c r="L54" s="3">
        <v>98.992000000000004</v>
      </c>
      <c r="M54" s="126">
        <v>45826.625</v>
      </c>
      <c r="N54" s="3">
        <v>97.769000000000005</v>
      </c>
    </row>
    <row r="55" spans="1:14" x14ac:dyDescent="0.3">
      <c r="B55" s="4"/>
      <c r="C55" s="1"/>
      <c r="D55" s="31"/>
      <c r="E55" s="5"/>
      <c r="F55" s="4"/>
      <c r="G55" s="1"/>
      <c r="H55" s="5"/>
      <c r="I55" s="81"/>
      <c r="J55" s="1"/>
      <c r="K55" s="126">
        <v>45825.625</v>
      </c>
      <c r="L55" s="3">
        <v>99.960999999999999</v>
      </c>
      <c r="M55" s="126">
        <v>45828.625</v>
      </c>
      <c r="N55" s="3">
        <v>97.44</v>
      </c>
    </row>
    <row r="56" spans="1:14" x14ac:dyDescent="0.3">
      <c r="B56" s="4"/>
      <c r="C56" s="1"/>
      <c r="D56" s="31"/>
      <c r="E56" s="5"/>
      <c r="F56" s="4"/>
      <c r="G56" s="1"/>
      <c r="H56" s="5"/>
      <c r="I56" s="81"/>
      <c r="J56" s="1"/>
      <c r="K56" s="126">
        <v>45826.625</v>
      </c>
      <c r="L56" s="3">
        <v>101.992</v>
      </c>
      <c r="M56" s="126">
        <v>45831.625</v>
      </c>
      <c r="N56" s="3">
        <v>97.382000000000005</v>
      </c>
    </row>
    <row r="57" spans="1:14" x14ac:dyDescent="0.3">
      <c r="B57" s="4"/>
      <c r="C57" s="1"/>
      <c r="D57" s="31"/>
      <c r="E57" s="5"/>
      <c r="F57" s="4"/>
      <c r="G57" s="1"/>
      <c r="H57" s="5"/>
      <c r="I57" s="81"/>
      <c r="J57" s="1"/>
      <c r="K57" s="126">
        <v>45827.625</v>
      </c>
      <c r="L57" s="3">
        <v>105.15300000000001</v>
      </c>
      <c r="M57" s="126">
        <v>45832.625</v>
      </c>
      <c r="N57" s="3">
        <v>97.813000000000002</v>
      </c>
    </row>
    <row r="58" spans="1:14" x14ac:dyDescent="0.3">
      <c r="B58" s="33"/>
      <c r="E58" s="34"/>
      <c r="F58" s="33"/>
      <c r="H58" s="34"/>
      <c r="I58" s="83"/>
      <c r="K58" s="126">
        <v>45828.625</v>
      </c>
      <c r="L58" s="3">
        <v>104.91800000000001</v>
      </c>
      <c r="M58" s="126">
        <v>45833.625</v>
      </c>
      <c r="N58" s="3">
        <v>97.658000000000001</v>
      </c>
    </row>
    <row r="59" spans="1:14" ht="15" thickBot="1" x14ac:dyDescent="0.35">
      <c r="B59" s="35"/>
      <c r="C59" s="12"/>
      <c r="D59" s="70"/>
      <c r="E59" s="13"/>
      <c r="F59" s="35"/>
      <c r="G59" s="12"/>
      <c r="H59" s="13"/>
      <c r="I59" s="84"/>
      <c r="K59" s="126">
        <v>45831.625</v>
      </c>
      <c r="L59" s="3">
        <v>105.04900000000001</v>
      </c>
      <c r="M59" s="126">
        <v>45834.625</v>
      </c>
      <c r="N59" s="3">
        <v>97.56</v>
      </c>
    </row>
    <row r="60" spans="1:14" x14ac:dyDescent="0.3">
      <c r="K60" s="126">
        <v>45832.625</v>
      </c>
      <c r="L60" s="3">
        <v>98.676000000000002</v>
      </c>
      <c r="M60" s="126">
        <v>45835.625</v>
      </c>
      <c r="N60" s="3">
        <v>97.772000000000006</v>
      </c>
    </row>
    <row r="61" spans="1:14" x14ac:dyDescent="0.3">
      <c r="K61" s="126">
        <v>45833.625</v>
      </c>
      <c r="L61" s="3">
        <v>99.372</v>
      </c>
      <c r="M61" s="126">
        <v>45838.625</v>
      </c>
      <c r="N61" s="3">
        <v>97.974999999999994</v>
      </c>
    </row>
    <row r="62" spans="1:14" x14ac:dyDescent="0.3">
      <c r="K62" s="126">
        <v>45834.625</v>
      </c>
      <c r="L62" s="3">
        <v>99.778000000000006</v>
      </c>
      <c r="M62" s="126">
        <v>45839.625</v>
      </c>
      <c r="N62" s="3">
        <v>98.146000000000001</v>
      </c>
    </row>
    <row r="63" spans="1:14" x14ac:dyDescent="0.3">
      <c r="K63" s="126">
        <v>45835.625</v>
      </c>
      <c r="L63" s="3">
        <v>98.491</v>
      </c>
      <c r="M63" s="126">
        <v>45840.625</v>
      </c>
      <c r="N63" s="3">
        <v>98.274000000000001</v>
      </c>
    </row>
    <row r="64" spans="1:14" x14ac:dyDescent="0.3">
      <c r="K64" s="126">
        <v>45838.625</v>
      </c>
      <c r="L64" s="3">
        <v>97.775999999999996</v>
      </c>
      <c r="M64" s="126">
        <v>45841.625</v>
      </c>
      <c r="N64" s="3">
        <v>98.831000000000003</v>
      </c>
    </row>
    <row r="65" spans="11:14" x14ac:dyDescent="0.3">
      <c r="K65" s="126">
        <v>45839.625</v>
      </c>
      <c r="L65" s="3">
        <v>97.828000000000003</v>
      </c>
      <c r="M65" s="126">
        <v>45845.625</v>
      </c>
      <c r="N65" s="3">
        <v>98.700999999999993</v>
      </c>
    </row>
    <row r="66" spans="11:14" x14ac:dyDescent="0.3">
      <c r="K66" s="126">
        <v>45840.625</v>
      </c>
      <c r="L66" s="3">
        <v>96.846999999999994</v>
      </c>
      <c r="M66" s="126">
        <v>45846.625</v>
      </c>
      <c r="N66" s="3">
        <v>98.694999999999993</v>
      </c>
    </row>
    <row r="67" spans="11:14" x14ac:dyDescent="0.3">
      <c r="K67" s="126">
        <v>45841.625</v>
      </c>
      <c r="L67" s="3">
        <v>96.338999999999999</v>
      </c>
      <c r="M67" s="126">
        <v>45847.625</v>
      </c>
      <c r="N67" s="3">
        <v>99.075000000000003</v>
      </c>
    </row>
    <row r="68" spans="11:14" x14ac:dyDescent="0.3">
      <c r="K68" s="126">
        <v>45842.625</v>
      </c>
      <c r="L68" s="3">
        <v>97.531999999999996</v>
      </c>
      <c r="M68" s="126">
        <v>45848.625</v>
      </c>
      <c r="N68" s="3">
        <v>98.983000000000004</v>
      </c>
    </row>
    <row r="69" spans="11:14" x14ac:dyDescent="0.3">
      <c r="K69" s="126">
        <v>45845.625</v>
      </c>
      <c r="L69" s="3">
        <v>97.003</v>
      </c>
      <c r="M69" s="126">
        <v>45849.625</v>
      </c>
      <c r="N69" s="3">
        <v>98.903999999999996</v>
      </c>
    </row>
    <row r="70" spans="11:14" x14ac:dyDescent="0.3">
      <c r="K70" s="126">
        <v>45846.625</v>
      </c>
      <c r="L70" s="3">
        <v>96.25</v>
      </c>
      <c r="M70" s="126">
        <v>45852.625</v>
      </c>
      <c r="N70" s="3">
        <v>98.831999999999994</v>
      </c>
    </row>
    <row r="71" spans="11:14" x14ac:dyDescent="0.3">
      <c r="K71" s="126">
        <v>45847.625</v>
      </c>
      <c r="L71" s="3">
        <v>96.17</v>
      </c>
      <c r="M71" s="126">
        <v>45853.625</v>
      </c>
      <c r="N71" s="3">
        <v>98.623999999999995</v>
      </c>
    </row>
    <row r="72" spans="11:14" x14ac:dyDescent="0.3">
      <c r="K72" s="126">
        <v>45848.625</v>
      </c>
      <c r="L72" s="3">
        <v>94.885999999999996</v>
      </c>
      <c r="M72" s="126">
        <v>45854.625</v>
      </c>
      <c r="N72" s="3">
        <v>98.533000000000001</v>
      </c>
    </row>
    <row r="73" spans="11:14" x14ac:dyDescent="0.3">
      <c r="K73" s="126">
        <v>45849.625</v>
      </c>
      <c r="L73" s="3">
        <v>96.510999999999996</v>
      </c>
      <c r="M73" s="126">
        <v>45855.625</v>
      </c>
      <c r="N73" s="3">
        <v>98.546000000000006</v>
      </c>
    </row>
    <row r="74" spans="11:14" x14ac:dyDescent="0.3">
      <c r="K74" s="126">
        <v>45852.625</v>
      </c>
      <c r="L74" s="3">
        <v>97.629000000000005</v>
      </c>
      <c r="M74" s="126">
        <v>45856.625</v>
      </c>
      <c r="N74" s="3">
        <v>98.555999999999997</v>
      </c>
    </row>
    <row r="75" spans="11:14" x14ac:dyDescent="0.3">
      <c r="K75" s="126">
        <v>45853.625</v>
      </c>
      <c r="L75" s="3">
        <v>97.247</v>
      </c>
      <c r="M75" s="126">
        <v>45859.625</v>
      </c>
      <c r="N75" s="3">
        <v>98.796999999999997</v>
      </c>
    </row>
    <row r="76" spans="11:14" x14ac:dyDescent="0.3">
      <c r="K76" s="126">
        <v>45854.625</v>
      </c>
      <c r="L76" s="3">
        <v>98.581000000000003</v>
      </c>
      <c r="M76" s="126">
        <v>45860.625</v>
      </c>
      <c r="N76" s="3">
        <v>98.896000000000001</v>
      </c>
    </row>
    <row r="77" spans="11:14" x14ac:dyDescent="0.3">
      <c r="K77" s="126">
        <v>45855.625</v>
      </c>
      <c r="L77" s="3">
        <v>97.709000000000003</v>
      </c>
      <c r="M77" s="126">
        <v>45861.625</v>
      </c>
      <c r="N77" s="3">
        <v>98.986999999999995</v>
      </c>
    </row>
    <row r="78" spans="11:14" x14ac:dyDescent="0.3">
      <c r="K78" s="126">
        <v>45856.625</v>
      </c>
      <c r="L78" s="3">
        <v>97.168999999999997</v>
      </c>
      <c r="M78" s="126">
        <v>45862.625</v>
      </c>
      <c r="N78" s="3">
        <v>99.215000000000003</v>
      </c>
    </row>
    <row r="79" spans="11:14" x14ac:dyDescent="0.3">
      <c r="K79" s="126">
        <v>45859.625</v>
      </c>
      <c r="L79" s="3">
        <v>97.474000000000004</v>
      </c>
      <c r="M79" s="126">
        <v>45863.625</v>
      </c>
      <c r="N79" s="3">
        <v>99.356999999999999</v>
      </c>
    </row>
    <row r="80" spans="11:14" x14ac:dyDescent="0.3">
      <c r="K80" s="126">
        <v>45860.625</v>
      </c>
      <c r="L80" s="3">
        <v>98.94</v>
      </c>
      <c r="M80" s="126">
        <v>45866.625</v>
      </c>
      <c r="N80" s="3">
        <v>99.575000000000003</v>
      </c>
    </row>
    <row r="81" spans="11:14" x14ac:dyDescent="0.3">
      <c r="K81" s="126">
        <v>45861.625</v>
      </c>
      <c r="L81" s="3">
        <v>97.263999999999996</v>
      </c>
      <c r="M81" s="126">
        <v>45867.625</v>
      </c>
      <c r="N81" s="3">
        <v>99.679000000000002</v>
      </c>
    </row>
    <row r="82" spans="11:14" x14ac:dyDescent="0.3">
      <c r="K82" s="126">
        <v>45862.625</v>
      </c>
      <c r="L82" s="3">
        <v>96.298000000000002</v>
      </c>
      <c r="M82" s="126">
        <v>45868.625</v>
      </c>
      <c r="N82" s="3">
        <v>99.745999999999995</v>
      </c>
    </row>
    <row r="83" spans="11:14" x14ac:dyDescent="0.3">
      <c r="K83" s="126">
        <v>45863.625</v>
      </c>
      <c r="L83" s="3">
        <v>96.741</v>
      </c>
      <c r="M83" s="126">
        <v>45869.625</v>
      </c>
      <c r="N83" s="3">
        <v>99.888000000000005</v>
      </c>
    </row>
    <row r="84" spans="11:14" x14ac:dyDescent="0.3">
      <c r="K84" s="126">
        <v>45866.625</v>
      </c>
      <c r="L84" s="3">
        <v>94.462000000000003</v>
      </c>
      <c r="M84" s="126">
        <v>45870.625</v>
      </c>
      <c r="N84" s="3">
        <v>99.468999999999994</v>
      </c>
    </row>
    <row r="85" spans="11:14" x14ac:dyDescent="0.3">
      <c r="K85" s="126">
        <v>45867.625</v>
      </c>
      <c r="L85" s="3">
        <v>94.534000000000006</v>
      </c>
      <c r="M85" s="126">
        <v>45873.625</v>
      </c>
      <c r="N85" s="3">
        <v>99.652000000000001</v>
      </c>
    </row>
    <row r="86" spans="11:14" x14ac:dyDescent="0.3">
      <c r="K86" s="126">
        <v>45868.625</v>
      </c>
      <c r="L86" s="3">
        <v>94.784000000000006</v>
      </c>
      <c r="M86" s="126">
        <v>45874.625</v>
      </c>
      <c r="N86" s="3">
        <v>99.858000000000004</v>
      </c>
    </row>
    <row r="87" spans="11:14" x14ac:dyDescent="0.3">
      <c r="K87" s="126">
        <v>45869.625</v>
      </c>
      <c r="L87" s="3">
        <v>94.63</v>
      </c>
      <c r="M87" s="126">
        <v>45875.625</v>
      </c>
      <c r="N87" s="3">
        <v>100.123</v>
      </c>
    </row>
    <row r="88" spans="11:14" x14ac:dyDescent="0.3">
      <c r="K88" s="126">
        <v>45870.625</v>
      </c>
      <c r="L88" s="3">
        <v>98.915000000000006</v>
      </c>
      <c r="M88" s="126">
        <v>45876.625</v>
      </c>
      <c r="N88" s="3">
        <v>100.367</v>
      </c>
    </row>
    <row r="89" spans="11:14" x14ac:dyDescent="0.3">
      <c r="K89" s="126">
        <v>45873.625</v>
      </c>
      <c r="L89" s="3">
        <v>98.665000000000006</v>
      </c>
      <c r="M89" s="126">
        <v>45877.625</v>
      </c>
      <c r="N89" s="3">
        <v>100.40600000000001</v>
      </c>
    </row>
    <row r="90" spans="11:14" x14ac:dyDescent="0.3">
      <c r="K90" s="126">
        <v>45874.625</v>
      </c>
      <c r="L90" s="3">
        <v>97.302999999999997</v>
      </c>
      <c r="M90" s="126">
        <v>45880.625</v>
      </c>
      <c r="N90" s="3">
        <v>100.592</v>
      </c>
    </row>
    <row r="91" spans="11:14" x14ac:dyDescent="0.3">
      <c r="K91" s="126">
        <v>45875.625</v>
      </c>
      <c r="L91" s="3">
        <v>97.346999999999994</v>
      </c>
      <c r="M91" s="126">
        <v>45881.625</v>
      </c>
      <c r="N91" s="3">
        <v>100.723</v>
      </c>
    </row>
    <row r="92" spans="11:14" x14ac:dyDescent="0.3">
      <c r="K92" s="126">
        <v>45876.625</v>
      </c>
      <c r="L92" s="3">
        <v>95.873999999999995</v>
      </c>
      <c r="M92" s="126">
        <v>45882.625</v>
      </c>
      <c r="N92" s="3">
        <v>100.87</v>
      </c>
    </row>
    <row r="93" spans="11:14" x14ac:dyDescent="0.3">
      <c r="K93" s="126">
        <v>45877.625</v>
      </c>
      <c r="L93" s="3">
        <v>95.239000000000004</v>
      </c>
      <c r="M93" s="126">
        <v>45883.625</v>
      </c>
      <c r="N93" s="3">
        <v>100.889</v>
      </c>
    </row>
    <row r="94" spans="11:14" x14ac:dyDescent="0.3">
      <c r="K94" s="126">
        <v>45880.625</v>
      </c>
      <c r="L94" s="3">
        <v>94.683000000000007</v>
      </c>
      <c r="M94" s="126">
        <v>45884.625</v>
      </c>
      <c r="N94" s="3">
        <v>101.062</v>
      </c>
    </row>
    <row r="95" spans="11:14" x14ac:dyDescent="0.3">
      <c r="K95" s="126">
        <v>45881.625</v>
      </c>
      <c r="L95" s="3">
        <v>94.650999999999996</v>
      </c>
      <c r="M95" s="126">
        <v>45887.625</v>
      </c>
      <c r="N95" s="3">
        <v>100.98699999999999</v>
      </c>
    </row>
    <row r="96" spans="11:14" x14ac:dyDescent="0.3">
      <c r="K96" s="126">
        <v>45882.625</v>
      </c>
      <c r="L96" s="3">
        <v>92.992999999999995</v>
      </c>
      <c r="M96" s="126">
        <v>45888.625</v>
      </c>
      <c r="N96" s="3">
        <v>101.111</v>
      </c>
    </row>
    <row r="97" spans="11:14" x14ac:dyDescent="0.3">
      <c r="K97" s="126">
        <v>45883.625</v>
      </c>
      <c r="L97" s="3">
        <v>92.293999999999997</v>
      </c>
      <c r="M97" s="126">
        <v>45889.625</v>
      </c>
      <c r="N97" s="3">
        <v>100.663</v>
      </c>
    </row>
    <row r="98" spans="11:14" x14ac:dyDescent="0.3">
      <c r="K98" s="126">
        <v>45884.625</v>
      </c>
      <c r="L98" s="3">
        <v>91.725999999999999</v>
      </c>
      <c r="M98" s="126">
        <v>45890.625</v>
      </c>
      <c r="N98" s="3">
        <v>100.253</v>
      </c>
    </row>
    <row r="99" spans="11:14" x14ac:dyDescent="0.3">
      <c r="K99" s="126">
        <v>45887.625</v>
      </c>
      <c r="L99" s="3">
        <v>92.222999999999999</v>
      </c>
      <c r="M99" s="126">
        <v>45891.625</v>
      </c>
      <c r="N99" s="3">
        <v>100.52800000000001</v>
      </c>
    </row>
    <row r="100" spans="11:14" x14ac:dyDescent="0.3">
      <c r="K100" s="126">
        <v>45888.625</v>
      </c>
      <c r="L100" s="3">
        <v>92.4</v>
      </c>
      <c r="M100" s="126">
        <v>45894.625</v>
      </c>
      <c r="N100" s="3">
        <v>100.44</v>
      </c>
    </row>
    <row r="101" spans="11:14" x14ac:dyDescent="0.3">
      <c r="K101" s="126">
        <v>45889.625</v>
      </c>
      <c r="L101" s="3">
        <v>93.158000000000001</v>
      </c>
      <c r="M101" s="126">
        <v>45895.625</v>
      </c>
      <c r="N101" s="3">
        <v>100.071</v>
      </c>
    </row>
    <row r="102" spans="11:14" x14ac:dyDescent="0.3">
      <c r="K102" s="126">
        <v>45890.625</v>
      </c>
      <c r="L102" s="3">
        <v>94.564999999999998</v>
      </c>
      <c r="M102" s="126">
        <v>45896.625</v>
      </c>
      <c r="N102" s="3">
        <v>100.041</v>
      </c>
    </row>
    <row r="103" spans="11:14" x14ac:dyDescent="0.3">
      <c r="K103" s="126">
        <v>45891.625</v>
      </c>
      <c r="L103" s="3">
        <v>95.510999999999996</v>
      </c>
      <c r="M103" s="126">
        <v>45897.625</v>
      </c>
      <c r="N103" s="3">
        <v>100.211</v>
      </c>
    </row>
    <row r="104" spans="11:14" x14ac:dyDescent="0.3">
      <c r="K104" s="126">
        <v>45894.625</v>
      </c>
      <c r="L104" s="3">
        <v>94.742999999999995</v>
      </c>
      <c r="M104" s="126">
        <v>45898.625</v>
      </c>
      <c r="N104" s="3">
        <v>100.113</v>
      </c>
    </row>
    <row r="105" spans="11:14" x14ac:dyDescent="0.3">
      <c r="K105" s="126">
        <v>45895.625</v>
      </c>
      <c r="L105" s="3">
        <v>100.36199999999999</v>
      </c>
      <c r="M105" s="126">
        <v>45902.625</v>
      </c>
      <c r="N105" s="3">
        <v>99.4</v>
      </c>
    </row>
    <row r="106" spans="11:14" x14ac:dyDescent="0.3">
      <c r="K106" s="126">
        <v>45896.625</v>
      </c>
      <c r="L106" s="3">
        <v>100.863</v>
      </c>
      <c r="M106" s="126">
        <v>45903.625</v>
      </c>
      <c r="N106" s="3">
        <v>99.346999999999994</v>
      </c>
    </row>
    <row r="107" spans="11:14" x14ac:dyDescent="0.3">
      <c r="K107" s="126">
        <v>45897.625</v>
      </c>
      <c r="L107" s="3">
        <v>104.051</v>
      </c>
      <c r="M107" s="126">
        <v>45904.625</v>
      </c>
      <c r="N107" s="3">
        <v>99.266999999999996</v>
      </c>
    </row>
    <row r="108" spans="11:14" x14ac:dyDescent="0.3">
      <c r="K108" s="126">
        <v>45898.625</v>
      </c>
      <c r="L108" s="3">
        <v>105.312</v>
      </c>
      <c r="M108" s="126">
        <v>45905.625</v>
      </c>
      <c r="N108" s="3">
        <v>99.856999999999999</v>
      </c>
    </row>
    <row r="109" spans="11:14" x14ac:dyDescent="0.3">
      <c r="K109" s="126">
        <v>45901.625</v>
      </c>
      <c r="L109" s="3">
        <v>105.065</v>
      </c>
      <c r="M109" s="126">
        <v>45908.625</v>
      </c>
      <c r="N109" s="3">
        <v>99.837000000000003</v>
      </c>
    </row>
    <row r="110" spans="11:14" x14ac:dyDescent="0.3">
      <c r="K110" s="126">
        <v>45902.625</v>
      </c>
      <c r="L110" s="3">
        <v>107.70399999999999</v>
      </c>
      <c r="M110" s="126">
        <v>45909.625</v>
      </c>
      <c r="N110" s="3">
        <v>99.876000000000005</v>
      </c>
    </row>
    <row r="111" spans="11:14" x14ac:dyDescent="0.3">
      <c r="K111" s="126">
        <v>45903.625</v>
      </c>
      <c r="L111" s="3">
        <v>106.65900000000001</v>
      </c>
      <c r="M111" s="126">
        <v>45910.625</v>
      </c>
      <c r="N111" s="3">
        <v>99.942999999999998</v>
      </c>
    </row>
    <row r="112" spans="11:14" x14ac:dyDescent="0.3">
      <c r="K112" s="126">
        <v>45904.625</v>
      </c>
      <c r="L112" s="3">
        <v>102.55200000000001</v>
      </c>
      <c r="M112" s="126">
        <v>45911.625</v>
      </c>
      <c r="N112" s="3">
        <v>100.11</v>
      </c>
    </row>
    <row r="113" spans="11:14" x14ac:dyDescent="0.3">
      <c r="K113" s="126">
        <v>45905.625</v>
      </c>
      <c r="L113" s="3">
        <v>97.619</v>
      </c>
      <c r="M113" s="126">
        <v>45912.625</v>
      </c>
      <c r="N113" s="3">
        <v>100.373</v>
      </c>
    </row>
    <row r="114" spans="11:14" x14ac:dyDescent="0.3">
      <c r="K114" s="126">
        <v>45908.625</v>
      </c>
      <c r="L114" s="3">
        <v>97.876000000000005</v>
      </c>
      <c r="M114" s="126">
        <v>45915.625</v>
      </c>
      <c r="N114" s="3">
        <v>100.343</v>
      </c>
    </row>
    <row r="115" spans="11:14" x14ac:dyDescent="0.3">
      <c r="K115" s="126">
        <v>45909.625</v>
      </c>
      <c r="L115" s="3">
        <v>96.716999999999999</v>
      </c>
      <c r="M115" s="126">
        <v>45916.625</v>
      </c>
      <c r="N115" s="3">
        <v>100.643</v>
      </c>
    </row>
    <row r="116" spans="11:14" x14ac:dyDescent="0.3">
      <c r="K116" s="126">
        <v>45910.625</v>
      </c>
      <c r="L116" s="3">
        <v>95.831999999999994</v>
      </c>
      <c r="M116" s="126">
        <v>45917.625</v>
      </c>
      <c r="N116" s="3">
        <v>100.554</v>
      </c>
    </row>
    <row r="117" spans="11:14" x14ac:dyDescent="0.3">
      <c r="K117" s="126">
        <v>45911.625</v>
      </c>
      <c r="L117" s="3">
        <v>93.906000000000006</v>
      </c>
      <c r="M117" s="126">
        <v>45918.625</v>
      </c>
      <c r="N117" s="3">
        <v>101.01600000000001</v>
      </c>
    </row>
    <row r="118" spans="11:14" x14ac:dyDescent="0.3">
      <c r="K118" s="126">
        <v>45912.625</v>
      </c>
      <c r="L118" s="3">
        <v>92.352999999999994</v>
      </c>
      <c r="M118" s="126">
        <v>45919.625</v>
      </c>
      <c r="N118" s="3">
        <v>101.05800000000001</v>
      </c>
    </row>
    <row r="119" spans="11:14" x14ac:dyDescent="0.3">
      <c r="K119" s="126">
        <v>45915.625</v>
      </c>
      <c r="L119" s="3">
        <v>91.721999999999994</v>
      </c>
      <c r="M119" s="126">
        <v>45922.625</v>
      </c>
      <c r="N119" s="3">
        <v>101.03100000000001</v>
      </c>
    </row>
    <row r="120" spans="11:14" x14ac:dyDescent="0.3">
      <c r="K120" s="126">
        <v>45916.625</v>
      </c>
      <c r="L120" s="3">
        <v>92.043000000000006</v>
      </c>
      <c r="M120" s="126">
        <v>45923.625</v>
      </c>
      <c r="N120" s="3">
        <v>101.027</v>
      </c>
    </row>
    <row r="121" spans="11:14" x14ac:dyDescent="0.3">
      <c r="K121" s="126">
        <v>45917.625</v>
      </c>
      <c r="L121" s="3">
        <v>92.41</v>
      </c>
      <c r="M121" s="126">
        <v>45924.625</v>
      </c>
      <c r="N121" s="3">
        <v>101.15</v>
      </c>
    </row>
    <row r="122" spans="11:14" x14ac:dyDescent="0.3">
      <c r="K122" s="126">
        <v>45918.625</v>
      </c>
      <c r="L122" s="3">
        <v>91.355999999999995</v>
      </c>
      <c r="M122" s="126">
        <v>45925.625</v>
      </c>
      <c r="N122" s="3">
        <v>100.76300000000001</v>
      </c>
    </row>
    <row r="123" spans="11:14" x14ac:dyDescent="0.3">
      <c r="K123" s="126">
        <v>45919.625</v>
      </c>
      <c r="L123" s="3">
        <v>91.385999999999996</v>
      </c>
      <c r="M123" s="126">
        <v>45926.625</v>
      </c>
      <c r="N123" s="3">
        <v>100.681</v>
      </c>
    </row>
    <row r="124" spans="11:14" x14ac:dyDescent="0.3">
      <c r="K124" s="126">
        <v>45922.625</v>
      </c>
      <c r="L124" s="3">
        <v>103.479</v>
      </c>
      <c r="M124" s="126">
        <v>45929.625</v>
      </c>
      <c r="N124" s="3">
        <v>101.003</v>
      </c>
    </row>
    <row r="125" spans="11:14" x14ac:dyDescent="0.3">
      <c r="K125" s="126">
        <v>45923.625</v>
      </c>
      <c r="L125" s="3">
        <v>103.004</v>
      </c>
      <c r="M125" s="126">
        <v>45930.625</v>
      </c>
      <c r="N125" s="3">
        <v>100.789</v>
      </c>
    </row>
    <row r="126" spans="11:14" x14ac:dyDescent="0.3">
      <c r="K126" s="126">
        <v>45924.625</v>
      </c>
      <c r="L126" s="3">
        <v>102.914</v>
      </c>
      <c r="M126" s="126">
        <v>45931.625</v>
      </c>
      <c r="N126" s="3">
        <v>100.709</v>
      </c>
    </row>
    <row r="127" spans="11:14" x14ac:dyDescent="0.3">
      <c r="K127" s="126">
        <v>45925.625</v>
      </c>
      <c r="L127" s="3">
        <v>105.236</v>
      </c>
      <c r="M127" s="126">
        <v>45932.625</v>
      </c>
      <c r="N127" s="3">
        <v>101.09399999999999</v>
      </c>
    </row>
    <row r="128" spans="11:14" x14ac:dyDescent="0.3">
      <c r="K128" s="126">
        <v>45926.625</v>
      </c>
      <c r="L128" s="3">
        <v>105.75</v>
      </c>
      <c r="M128" s="126">
        <v>45933.625</v>
      </c>
      <c r="N128" s="3">
        <v>101.012</v>
      </c>
    </row>
    <row r="129" spans="11:14" x14ac:dyDescent="0.3">
      <c r="K129" s="126">
        <v>45929.625</v>
      </c>
      <c r="L129" s="3">
        <v>105.6</v>
      </c>
      <c r="M129" s="126">
        <v>45936.625</v>
      </c>
      <c r="N129" s="3">
        <v>100.5</v>
      </c>
    </row>
    <row r="130" spans="11:14" x14ac:dyDescent="0.3">
      <c r="K130" s="126">
        <v>45930.625</v>
      </c>
      <c r="L130" s="3">
        <v>105.544</v>
      </c>
      <c r="M130" s="126">
        <v>45937.625</v>
      </c>
      <c r="N130" s="3">
        <v>100.55500000000001</v>
      </c>
    </row>
    <row r="131" spans="11:14" x14ac:dyDescent="0.3">
      <c r="K131" s="126">
        <v>45931.625</v>
      </c>
      <c r="L131" s="3">
        <v>104.553</v>
      </c>
      <c r="M131" s="126">
        <v>45938.625</v>
      </c>
      <c r="N131" s="3">
        <v>100.562</v>
      </c>
    </row>
    <row r="132" spans="11:14" x14ac:dyDescent="0.3">
      <c r="K132" s="126">
        <v>45932.625</v>
      </c>
      <c r="L132" s="3">
        <v>102.07</v>
      </c>
      <c r="M132" s="126">
        <v>45939.625</v>
      </c>
      <c r="N132" s="3">
        <v>100.498</v>
      </c>
    </row>
    <row r="133" spans="11:14" x14ac:dyDescent="0.3">
      <c r="K133" s="126">
        <v>45933.625</v>
      </c>
      <c r="L133" s="3">
        <v>101.73699999999999</v>
      </c>
      <c r="M133" s="126">
        <v>45944.625</v>
      </c>
      <c r="N133" s="3">
        <v>99.984999999999999</v>
      </c>
    </row>
    <row r="134" spans="11:14" x14ac:dyDescent="0.3">
      <c r="K134" s="126">
        <v>45936.625</v>
      </c>
      <c r="L134" s="3">
        <v>106.923</v>
      </c>
      <c r="M134" s="126">
        <v>45945.625</v>
      </c>
      <c r="N134" s="3">
        <v>100.788</v>
      </c>
    </row>
    <row r="135" spans="11:14" x14ac:dyDescent="0.3">
      <c r="K135" s="126">
        <v>45937.625</v>
      </c>
      <c r="L135" s="3">
        <v>106.367</v>
      </c>
      <c r="M135" s="126">
        <v>45946.625</v>
      </c>
      <c r="N135" s="3">
        <v>100.84099999999999</v>
      </c>
    </row>
    <row r="136" spans="11:14" x14ac:dyDescent="0.3">
      <c r="K136" s="126">
        <v>45938.625</v>
      </c>
      <c r="L136" s="3">
        <v>104.837</v>
      </c>
      <c r="M136" s="126"/>
    </row>
    <row r="137" spans="11:14" x14ac:dyDescent="0.3">
      <c r="K137" s="126">
        <v>45939.625</v>
      </c>
      <c r="L137" s="3">
        <v>104.482</v>
      </c>
      <c r="M137" s="126"/>
    </row>
    <row r="138" spans="11:14" x14ac:dyDescent="0.3">
      <c r="K138" s="126">
        <v>45940.625</v>
      </c>
      <c r="L138" s="3">
        <v>104.67</v>
      </c>
      <c r="M138" s="126"/>
    </row>
    <row r="139" spans="11:14" x14ac:dyDescent="0.3">
      <c r="K139" s="126">
        <v>45943.625</v>
      </c>
      <c r="L139" s="3">
        <v>108.026</v>
      </c>
      <c r="M139" s="126"/>
    </row>
    <row r="140" spans="11:14" x14ac:dyDescent="0.3">
      <c r="K140" s="126">
        <v>45944.625</v>
      </c>
      <c r="L140" s="3">
        <v>108.004</v>
      </c>
    </row>
    <row r="141" spans="11:14" x14ac:dyDescent="0.3">
      <c r="K141" s="126">
        <v>45945.625</v>
      </c>
      <c r="L141" s="3">
        <v>101.48</v>
      </c>
    </row>
    <row r="142" spans="11:14" x14ac:dyDescent="0.3">
      <c r="K142" s="126">
        <v>45946.625</v>
      </c>
      <c r="L142" s="3">
        <v>100.968</v>
      </c>
    </row>
    <row r="143" spans="11:14" x14ac:dyDescent="0.3">
      <c r="K143" s="126"/>
    </row>
    <row r="144" spans="11:14" x14ac:dyDescent="0.3">
      <c r="K144" s="126"/>
    </row>
    <row r="145" spans="11:11" x14ac:dyDescent="0.3">
      <c r="K145" s="126"/>
    </row>
    <row r="146" spans="11:11" x14ac:dyDescent="0.3">
      <c r="K146" s="126"/>
    </row>
  </sheetData>
  <mergeCells count="2">
    <mergeCell ref="B12:E12"/>
    <mergeCell ref="F12:H12"/>
  </mergeCells>
  <conditionalFormatting sqref="I1 H4:H8 I9:I1048576">
    <cfRule type="cellIs" dxfId="13" priority="1" operator="lessThan">
      <formula>0</formula>
    </cfRule>
  </conditionalFormatting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EFA83B-073A-4D88-B763-20B11E093595}">
  <dimension ref="A1:R142"/>
  <sheetViews>
    <sheetView zoomScale="80" zoomScaleNormal="80" workbookViewId="0">
      <selection activeCell="B30" sqref="B30"/>
    </sheetView>
  </sheetViews>
  <sheetFormatPr defaultColWidth="8.88671875" defaultRowHeight="14.4" x14ac:dyDescent="0.3"/>
  <cols>
    <col min="1" max="1" width="15.44140625" style="54" bestFit="1" customWidth="1"/>
    <col min="2" max="5" width="16.88671875" style="54" customWidth="1"/>
    <col min="6" max="6" width="10.5546875" style="54" bestFit="1" customWidth="1"/>
    <col min="7" max="7" width="10.44140625" style="54" bestFit="1" customWidth="1"/>
    <col min="8" max="8" width="14" style="54" customWidth="1"/>
    <col min="9" max="9" width="8.5546875" style="54" bestFit="1" customWidth="1"/>
    <col min="10" max="10" width="10.5546875" style="54" bestFit="1" customWidth="1"/>
    <col min="11" max="11" width="11.88671875" style="54" bestFit="1" customWidth="1"/>
    <col min="12" max="12" width="10.6640625" style="54" bestFit="1" customWidth="1"/>
    <col min="13" max="13" width="15.6640625" style="54" hidden="1" customWidth="1"/>
    <col min="14" max="14" width="8.88671875" style="54" hidden="1" customWidth="1"/>
    <col min="15" max="15" width="15.6640625" style="54" hidden="1" customWidth="1"/>
    <col min="16" max="16" width="8.88671875" style="54" hidden="1" customWidth="1"/>
    <col min="17" max="17" width="15.6640625" style="54" hidden="1" customWidth="1"/>
    <col min="18" max="18" width="8.88671875" style="54" hidden="1" customWidth="1"/>
    <col min="19" max="16384" width="8.88671875" style="54"/>
  </cols>
  <sheetData>
    <row r="1" spans="1:18" ht="15" thickBot="1" x14ac:dyDescent="0.35">
      <c r="A1" s="1"/>
      <c r="B1" s="1"/>
      <c r="C1" s="1"/>
      <c r="D1" s="1"/>
      <c r="E1" s="1"/>
      <c r="L1" s="1"/>
      <c r="M1" s="53"/>
      <c r="N1" s="1"/>
      <c r="O1" s="1"/>
      <c r="P1" s="1"/>
      <c r="Q1" s="1"/>
      <c r="R1" s="1"/>
    </row>
    <row r="2" spans="1:18" ht="15" thickBot="1" x14ac:dyDescent="0.35">
      <c r="A2" s="30"/>
      <c r="B2" s="40" t="s">
        <v>0</v>
      </c>
      <c r="C2" s="44" t="s">
        <v>0</v>
      </c>
      <c r="D2" s="28" t="s">
        <v>1</v>
      </c>
      <c r="F2" s="127" t="s">
        <v>101</v>
      </c>
      <c r="G2" s="128">
        <v>0.625</v>
      </c>
      <c r="L2" s="1"/>
      <c r="M2" s="27" t="s">
        <v>0</v>
      </c>
      <c r="N2" s="1"/>
      <c r="O2" s="44" t="s">
        <v>0</v>
      </c>
      <c r="P2" s="2"/>
      <c r="Q2" s="28" t="s">
        <v>1</v>
      </c>
      <c r="R2" s="1"/>
    </row>
    <row r="3" spans="1:18" x14ac:dyDescent="0.3">
      <c r="A3" s="15" t="s">
        <v>32</v>
      </c>
      <c r="B3" s="1" t="s">
        <v>29</v>
      </c>
      <c r="C3" s="1" t="s">
        <v>30</v>
      </c>
      <c r="D3" s="5" t="s">
        <v>31</v>
      </c>
      <c r="L3" s="1"/>
      <c r="M3" s="126" cm="1">
        <f t="array" ref="M3:N142">_xll.BDH(B4, "LAST_PRICE", "01/01/2025 15:00:00", "01/01/2035 16:00:00", "BarSize=60", "BarType=T", "RecurDaily=True", "TZ=London")</f>
        <v>45751.625</v>
      </c>
      <c r="N3" s="1">
        <v>66.953999999999994</v>
      </c>
      <c r="O3" s="126" cm="1">
        <f t="array" ref="O3:P87">_xll.BDH(C4, "LAST_PRICE", "01/01/2025 15:00:00", "01/01/2035 16:00:00", "BarSize=60", "BarType=T", "RecurDaily=True", "TZ=London")</f>
        <v>45756.625</v>
      </c>
      <c r="P3" s="46">
        <v>51.57</v>
      </c>
      <c r="Q3" s="126" cm="1">
        <f t="array" ref="Q3:R142">_xll.BDH(D4, "LAST_PRICE", "01/01/2025 15:00:00", "01/01/2035 16:00:00", "BarSize=60", "BarType=T", "RecurDaily=True", "TZ=London")</f>
        <v>45751.625</v>
      </c>
      <c r="R3" s="1">
        <v>74.941000000000003</v>
      </c>
    </row>
    <row r="4" spans="1:18" ht="32.25" customHeight="1" x14ac:dyDescent="0.3">
      <c r="A4" s="15" t="s">
        <v>33</v>
      </c>
      <c r="B4" s="41" t="s">
        <v>25</v>
      </c>
      <c r="C4" s="41" t="s">
        <v>26</v>
      </c>
      <c r="D4" s="42" t="s">
        <v>27</v>
      </c>
      <c r="L4" s="1"/>
      <c r="M4" s="129">
        <v>45754.625</v>
      </c>
      <c r="N4" s="1">
        <v>69.620999999999995</v>
      </c>
      <c r="O4" s="130">
        <v>45757.625</v>
      </c>
      <c r="P4" s="1">
        <v>45.164000000000001</v>
      </c>
      <c r="Q4" s="130">
        <v>45754.625</v>
      </c>
      <c r="R4" s="1">
        <v>79.341999999999999</v>
      </c>
    </row>
    <row r="5" spans="1:18" x14ac:dyDescent="0.3">
      <c r="A5" s="15" t="s">
        <v>8</v>
      </c>
      <c r="B5" s="7">
        <f>14*10^6</f>
        <v>14000000</v>
      </c>
      <c r="C5" s="7">
        <f>16*10^6</f>
        <v>16000000</v>
      </c>
      <c r="D5" s="8">
        <f>25*10^6</f>
        <v>25000000</v>
      </c>
      <c r="L5" s="1"/>
      <c r="M5" s="129">
        <v>45755.625</v>
      </c>
      <c r="N5" s="1">
        <v>63.493000000000002</v>
      </c>
      <c r="O5" s="130">
        <v>45763.625</v>
      </c>
      <c r="P5" s="1">
        <v>43.790999999999997</v>
      </c>
      <c r="Q5" s="130">
        <v>45755.625</v>
      </c>
      <c r="R5" s="1">
        <v>75.159000000000006</v>
      </c>
    </row>
    <row r="6" spans="1:18" x14ac:dyDescent="0.3">
      <c r="A6" s="15" t="s">
        <v>10</v>
      </c>
      <c r="B6" s="9">
        <v>0.05</v>
      </c>
      <c r="C6" s="9">
        <v>0.01</v>
      </c>
      <c r="D6" s="43">
        <v>0.01</v>
      </c>
      <c r="L6" s="1"/>
      <c r="M6" s="129">
        <v>45756.625</v>
      </c>
      <c r="N6" s="1">
        <v>68.83</v>
      </c>
      <c r="O6" s="130">
        <v>45769.625</v>
      </c>
      <c r="P6" s="1">
        <v>43.771000000000001</v>
      </c>
      <c r="Q6" s="130">
        <v>45756.625</v>
      </c>
      <c r="R6" s="1">
        <v>85.757999999999996</v>
      </c>
    </row>
    <row r="7" spans="1:18" x14ac:dyDescent="0.3">
      <c r="A7" s="15" t="s">
        <v>12</v>
      </c>
      <c r="B7" s="9">
        <v>0</v>
      </c>
      <c r="C7" s="9">
        <v>0</v>
      </c>
      <c r="D7" s="43">
        <v>0</v>
      </c>
      <c r="L7" s="1"/>
      <c r="M7" s="129">
        <v>45757.625</v>
      </c>
      <c r="N7" s="1">
        <v>59.311</v>
      </c>
      <c r="O7" s="130">
        <v>45770.625</v>
      </c>
      <c r="P7" s="1">
        <v>40.460999999999999</v>
      </c>
      <c r="Q7" s="130">
        <v>45757.625</v>
      </c>
      <c r="R7" s="1">
        <v>79.25</v>
      </c>
    </row>
    <row r="8" spans="1:18" x14ac:dyDescent="0.3">
      <c r="A8" s="15" t="s">
        <v>14</v>
      </c>
      <c r="B8" s="1">
        <v>5.86</v>
      </c>
      <c r="C8" s="1">
        <v>5.0599999999999996</v>
      </c>
      <c r="D8" s="5">
        <v>5</v>
      </c>
      <c r="G8" s="1"/>
      <c r="H8" s="1"/>
      <c r="I8" s="1"/>
      <c r="J8" s="1"/>
      <c r="K8" s="1"/>
      <c r="L8" s="1"/>
      <c r="M8" s="129">
        <v>45758.625</v>
      </c>
      <c r="N8" s="54">
        <v>64.399000000000001</v>
      </c>
      <c r="O8" s="129">
        <v>45771.625</v>
      </c>
      <c r="P8" s="54">
        <v>39.860999999999997</v>
      </c>
      <c r="Q8" s="129">
        <v>45758.625</v>
      </c>
      <c r="R8" s="54">
        <v>83.528999999999996</v>
      </c>
    </row>
    <row r="9" spans="1:18" x14ac:dyDescent="0.3">
      <c r="A9" s="15" t="s">
        <v>15</v>
      </c>
      <c r="B9" s="1" t="s">
        <v>23</v>
      </c>
      <c r="C9" s="1" t="s">
        <v>23</v>
      </c>
      <c r="D9" s="5" t="s">
        <v>23</v>
      </c>
      <c r="G9" s="1"/>
      <c r="H9" s="1"/>
      <c r="I9" s="1"/>
      <c r="J9" s="1"/>
      <c r="K9" s="1"/>
      <c r="L9" s="1"/>
      <c r="M9" s="129">
        <v>45761.625</v>
      </c>
      <c r="N9" s="54">
        <v>61.972000000000001</v>
      </c>
      <c r="O9" s="129">
        <v>45772.625</v>
      </c>
      <c r="P9" s="54">
        <v>39.548999999999999</v>
      </c>
      <c r="Q9" s="129">
        <v>45761.625</v>
      </c>
      <c r="R9" s="54">
        <v>81.986000000000004</v>
      </c>
    </row>
    <row r="10" spans="1:18" ht="15" thickBot="1" x14ac:dyDescent="0.35">
      <c r="A10" s="16" t="s">
        <v>28</v>
      </c>
      <c r="B10" s="121" cm="1">
        <f t="array" ref="B10">_xll.BDP(B4,"px_last")</f>
        <v>49.158580000000001</v>
      </c>
      <c r="C10" s="121" cm="1">
        <f t="array" ref="C10">_xll.BDP(C4,"px_last")</f>
        <v>35.090350000000001</v>
      </c>
      <c r="D10" s="92" cm="1">
        <f t="array" ref="D10">_xll.BDP(D4,"px_last")</f>
        <v>51.612209999999997</v>
      </c>
      <c r="E10" s="1"/>
      <c r="F10" s="1"/>
      <c r="G10" s="1"/>
      <c r="H10" s="1"/>
      <c r="I10" s="1"/>
      <c r="J10" s="1"/>
      <c r="K10" s="1"/>
      <c r="L10" s="1"/>
      <c r="M10" s="129">
        <v>45762.625</v>
      </c>
      <c r="N10" s="54">
        <v>59.048999999999999</v>
      </c>
      <c r="O10" s="129">
        <v>45775.625</v>
      </c>
      <c r="P10" s="54">
        <v>39.125</v>
      </c>
      <c r="Q10" s="129">
        <v>45762.625</v>
      </c>
      <c r="R10" s="54">
        <v>79.822000000000003</v>
      </c>
    </row>
    <row r="11" spans="1:18" ht="15" thickBot="1" x14ac:dyDescent="0.35">
      <c r="C11" s="1"/>
      <c r="D11" s="1"/>
      <c r="E11" s="1"/>
      <c r="F11" s="1"/>
      <c r="G11" s="1"/>
      <c r="H11" s="1"/>
      <c r="I11" s="1"/>
      <c r="J11" s="1"/>
      <c r="K11" s="1"/>
      <c r="L11" s="1"/>
      <c r="M11" s="129">
        <v>45763.625</v>
      </c>
      <c r="N11" s="54">
        <v>58.631</v>
      </c>
      <c r="O11" s="129">
        <v>45776.625</v>
      </c>
      <c r="P11" s="54">
        <v>40.456000000000003</v>
      </c>
      <c r="Q11" s="129">
        <v>45763.625</v>
      </c>
      <c r="R11" s="54">
        <v>79.712999999999994</v>
      </c>
    </row>
    <row r="12" spans="1:18" ht="15" thickBot="1" x14ac:dyDescent="0.35">
      <c r="A12" s="39" t="s">
        <v>22</v>
      </c>
      <c r="B12" s="135" t="s">
        <v>0</v>
      </c>
      <c r="C12" s="136"/>
      <c r="D12" s="137"/>
      <c r="E12" s="141" t="s">
        <v>0</v>
      </c>
      <c r="F12" s="142"/>
      <c r="G12" s="143"/>
      <c r="H12" s="138" t="s">
        <v>1</v>
      </c>
      <c r="I12" s="139"/>
      <c r="J12" s="140"/>
      <c r="K12" s="39" t="s">
        <v>16</v>
      </c>
      <c r="L12" s="1"/>
      <c r="M12" s="129">
        <v>45764.625</v>
      </c>
      <c r="N12" s="54">
        <v>57.338000000000001</v>
      </c>
      <c r="O12" s="129">
        <v>45783.625</v>
      </c>
      <c r="P12" s="54">
        <v>39.526000000000003</v>
      </c>
      <c r="Q12" s="129">
        <v>45764.625</v>
      </c>
      <c r="R12" s="54">
        <v>78.915000000000006</v>
      </c>
    </row>
    <row r="13" spans="1:18" ht="15" thickBot="1" x14ac:dyDescent="0.35">
      <c r="A13" s="16"/>
      <c r="B13" s="11" t="s">
        <v>24</v>
      </c>
      <c r="C13" s="21" t="s">
        <v>19</v>
      </c>
      <c r="D13" s="22" t="s">
        <v>20</v>
      </c>
      <c r="E13" s="11" t="s">
        <v>24</v>
      </c>
      <c r="F13" s="21" t="s">
        <v>19</v>
      </c>
      <c r="G13" s="22" t="s">
        <v>20</v>
      </c>
      <c r="H13" s="11" t="s">
        <v>24</v>
      </c>
      <c r="I13" s="21" t="s">
        <v>19</v>
      </c>
      <c r="J13" s="22" t="s">
        <v>20</v>
      </c>
      <c r="K13" s="16"/>
      <c r="L13" s="1"/>
      <c r="M13" s="129">
        <v>45765.625</v>
      </c>
      <c r="N13" s="54">
        <v>57.805</v>
      </c>
      <c r="O13" s="129">
        <v>45784.625</v>
      </c>
      <c r="P13" s="54">
        <v>39.43</v>
      </c>
      <c r="Q13" s="129">
        <v>45765.625</v>
      </c>
      <c r="R13" s="54">
        <v>79.394999999999996</v>
      </c>
    </row>
    <row r="14" spans="1:18" x14ac:dyDescent="0.3">
      <c r="A14" s="131">
        <v>45924</v>
      </c>
      <c r="B14" s="45">
        <v>44.5</v>
      </c>
      <c r="C14" s="46"/>
      <c r="D14" s="47"/>
      <c r="E14" s="4">
        <v>34</v>
      </c>
      <c r="F14" s="1"/>
      <c r="G14" s="5"/>
      <c r="H14" s="4">
        <v>51</v>
      </c>
      <c r="I14" s="1"/>
      <c r="J14" s="5"/>
      <c r="K14" s="81">
        <v>0</v>
      </c>
      <c r="L14" s="1"/>
      <c r="M14" s="129">
        <v>45768.625</v>
      </c>
      <c r="N14" s="54">
        <v>57.771999999999998</v>
      </c>
      <c r="O14" s="129">
        <v>45789.625</v>
      </c>
      <c r="P14" s="54">
        <v>34.728999999999999</v>
      </c>
      <c r="Q14" s="129">
        <v>45768.625</v>
      </c>
      <c r="R14" s="54">
        <v>79.674000000000007</v>
      </c>
    </row>
    <row r="15" spans="1:18" x14ac:dyDescent="0.3">
      <c r="A15" s="131">
        <v>45925</v>
      </c>
      <c r="B15" s="1">
        <f>VLOOKUP(A15+$G$2,M:N,2)</f>
        <v>46.070999999999998</v>
      </c>
      <c r="C15" s="31">
        <f>-1*(B15-$B$14)*10^-4*$B$8*$B$5</f>
        <v>-12888.483999999986</v>
      </c>
      <c r="D15" s="32">
        <f>$B$6*(A15-$A$14)/360*$B$5</f>
        <v>1944.4444444444443</v>
      </c>
      <c r="E15" s="4">
        <f>VLOOKUP(A15+$G$2,O:P,2)</f>
        <v>35.453000000000003</v>
      </c>
      <c r="F15" s="31">
        <f>-1*(E15-$E$14)*10^-4*$C$8*$C$5</f>
        <v>-11763.488000000023</v>
      </c>
      <c r="G15" s="32">
        <f>$C$6*(A15-$A$14)/360*$C$5</f>
        <v>444.44444444444446</v>
      </c>
      <c r="H15" s="4">
        <f>VLOOKUP(A15+$G$2,Q:R,2)</f>
        <v>49.83</v>
      </c>
      <c r="I15" s="31">
        <f>-1*(H15-$H$14)*10^-4*$D$8*$D$5</f>
        <v>14625.000000000022</v>
      </c>
      <c r="J15" s="32">
        <f>$D$6*(A15-$A$14)/360*$D$5</f>
        <v>694.44444444444446</v>
      </c>
      <c r="K15" s="98">
        <f>C15+D15+F15+G15-I15-J15</f>
        <v>-37582.527555555585</v>
      </c>
      <c r="L15" s="1"/>
      <c r="M15" s="129">
        <v>45769.625</v>
      </c>
      <c r="N15" s="54">
        <v>58.155000000000001</v>
      </c>
      <c r="O15" s="129">
        <v>45790.625</v>
      </c>
      <c r="P15" s="54">
        <v>33.344999999999999</v>
      </c>
      <c r="Q15" s="129">
        <v>45769.625</v>
      </c>
      <c r="R15" s="54">
        <v>80.539000000000001</v>
      </c>
    </row>
    <row r="16" spans="1:18" x14ac:dyDescent="0.3">
      <c r="A16" s="131">
        <v>45926</v>
      </c>
      <c r="B16" s="1">
        <f t="shared" ref="B16:B29" si="0">VLOOKUP(A16+$G$2,M:N,2)</f>
        <v>45.92</v>
      </c>
      <c r="C16" s="31">
        <f t="shared" ref="C16:C17" si="1">-1*(B16-$B$14)*10^-4*$B$8*$B$5</f>
        <v>-11649.680000000015</v>
      </c>
      <c r="D16" s="32">
        <f t="shared" ref="D16:D17" si="2">$B$6*(A16-$A$14)/360*$B$5</f>
        <v>3888.8888888888887</v>
      </c>
      <c r="E16" s="4">
        <f t="shared" ref="E16:E29" si="3">VLOOKUP(A16+$G$2,O:P,2)</f>
        <v>35.406999999999996</v>
      </c>
      <c r="F16" s="31">
        <f t="shared" ref="F16:F17" si="4">-1*(E16-$E$14)*10^-4*$C$8*$C$5</f>
        <v>-11391.071999999971</v>
      </c>
      <c r="G16" s="32">
        <f t="shared" ref="G16:G17" si="5">$C$6*(A16-$A$14)/360*$C$5</f>
        <v>888.88888888888891</v>
      </c>
      <c r="H16" s="4">
        <f t="shared" ref="H16:H29" si="6">VLOOKUP(A16+$G$2,Q:R,2)</f>
        <v>49.52</v>
      </c>
      <c r="I16" s="31">
        <f t="shared" ref="I16:I17" si="7">-1*(H16-$H$14)*10^-4*$D$8*$D$5</f>
        <v>18499.99999999996</v>
      </c>
      <c r="J16" s="32">
        <f t="shared" ref="J16:J17" si="8">$D$6*(A16-$A$14)/360*$D$5</f>
        <v>1388.8888888888889</v>
      </c>
      <c r="K16" s="98">
        <f t="shared" ref="K16:K17" si="9">C16+D16+F16+G16-I16-J16</f>
        <v>-38151.863111111059</v>
      </c>
      <c r="L16" s="1"/>
      <c r="M16" s="129">
        <v>45770.625</v>
      </c>
      <c r="N16" s="54">
        <v>55.276000000000003</v>
      </c>
      <c r="O16" s="129">
        <v>45791.625</v>
      </c>
      <c r="P16" s="54">
        <v>33.110999999999997</v>
      </c>
      <c r="Q16" s="129">
        <v>45770.625</v>
      </c>
      <c r="R16" s="54">
        <v>75.888000000000005</v>
      </c>
    </row>
    <row r="17" spans="1:18" x14ac:dyDescent="0.3">
      <c r="A17" s="131">
        <v>45929</v>
      </c>
      <c r="B17" s="1">
        <f t="shared" si="0"/>
        <v>45.886000000000003</v>
      </c>
      <c r="C17" s="31">
        <f t="shared" si="1"/>
        <v>-11370.744000000024</v>
      </c>
      <c r="D17" s="32">
        <f t="shared" si="2"/>
        <v>9722.2222222222226</v>
      </c>
      <c r="E17" s="4">
        <f t="shared" si="3"/>
        <v>35.353000000000002</v>
      </c>
      <c r="F17" s="31">
        <f t="shared" si="4"/>
        <v>-10953.888000000012</v>
      </c>
      <c r="G17" s="32">
        <f t="shared" si="5"/>
        <v>2222.2222222222222</v>
      </c>
      <c r="H17" s="4">
        <f t="shared" si="6"/>
        <v>48.94</v>
      </c>
      <c r="I17" s="31">
        <f t="shared" si="7"/>
        <v>25750.000000000029</v>
      </c>
      <c r="J17" s="32">
        <f t="shared" si="8"/>
        <v>3472.2222222222222</v>
      </c>
      <c r="K17" s="98">
        <f t="shared" si="9"/>
        <v>-39602.409777777837</v>
      </c>
      <c r="L17" s="1"/>
      <c r="M17" s="129">
        <v>45771.625</v>
      </c>
      <c r="N17" s="54">
        <v>53.866999999999997</v>
      </c>
      <c r="O17" s="129">
        <v>45792.625</v>
      </c>
      <c r="P17" s="54">
        <v>33.978000000000002</v>
      </c>
      <c r="Q17" s="129">
        <v>45771.625</v>
      </c>
      <c r="R17" s="54">
        <v>75.040000000000006</v>
      </c>
    </row>
    <row r="18" spans="1:18" x14ac:dyDescent="0.3">
      <c r="A18" s="131">
        <v>45930</v>
      </c>
      <c r="B18" s="1">
        <f t="shared" si="0"/>
        <v>46.996000000000002</v>
      </c>
      <c r="C18" s="31">
        <f t="shared" ref="C18:C23" si="10">-1*(B18-$B$14)*10^-4*$B$8*$B$5</f>
        <v>-20477.184000000019</v>
      </c>
      <c r="D18" s="32">
        <f t="shared" ref="D18:D23" si="11">$B$6*(A18-$A$14)/360*$B$5</f>
        <v>11666.66666666667</v>
      </c>
      <c r="E18" s="4">
        <f t="shared" si="3"/>
        <v>35.423000000000002</v>
      </c>
      <c r="F18" s="31">
        <f t="shared" ref="F18:F23" si="12">-1*(E18-$E$14)*10^-4*$C$8*$C$5</f>
        <v>-11520.608000000013</v>
      </c>
      <c r="G18" s="32">
        <f t="shared" ref="G18:G23" si="13">$C$6*(A18-$A$14)/360*$C$5</f>
        <v>2666.6666666666665</v>
      </c>
      <c r="H18" s="4">
        <f t="shared" si="6"/>
        <v>49.445</v>
      </c>
      <c r="I18" s="31">
        <f t="shared" ref="I18:I23" si="14">-1*(H18-$H$14)*10^-4*$D$8*$D$5</f>
        <v>19437.5</v>
      </c>
      <c r="J18" s="32">
        <f t="shared" ref="J18" si="15">$D$6*(A18-$A$14)/360*$D$5</f>
        <v>4166.666666666667</v>
      </c>
      <c r="K18" s="98">
        <f>C18+D18+F18+G18-I18-J18</f>
        <v>-41268.625333333359</v>
      </c>
      <c r="L18" s="1"/>
      <c r="M18" s="129">
        <v>45772.625</v>
      </c>
      <c r="N18" s="54">
        <v>52.73</v>
      </c>
      <c r="O18" s="129">
        <v>45793.625</v>
      </c>
      <c r="P18" s="54">
        <v>33.003999999999998</v>
      </c>
      <c r="Q18" s="129">
        <v>45772.625</v>
      </c>
      <c r="R18" s="54">
        <v>73.882999999999996</v>
      </c>
    </row>
    <row r="19" spans="1:18" x14ac:dyDescent="0.3">
      <c r="A19" s="131">
        <v>45931</v>
      </c>
      <c r="B19" s="1">
        <f t="shared" si="0"/>
        <v>46.935000000000002</v>
      </c>
      <c r="C19" s="31">
        <f t="shared" si="10"/>
        <v>-19976.74000000002</v>
      </c>
      <c r="D19" s="32">
        <f t="shared" si="11"/>
        <v>13611.111111111113</v>
      </c>
      <c r="E19" s="4">
        <f t="shared" si="3"/>
        <v>34.911999999999999</v>
      </c>
      <c r="F19" s="31">
        <f t="shared" si="12"/>
        <v>-7383.5519999999924</v>
      </c>
      <c r="G19" s="32">
        <f t="shared" si="13"/>
        <v>3111.1111111111113</v>
      </c>
      <c r="H19" s="4">
        <f t="shared" si="6"/>
        <v>49.313000000000002</v>
      </c>
      <c r="I19" s="31">
        <f t="shared" si="14"/>
        <v>21087.499999999971</v>
      </c>
      <c r="J19" s="32">
        <f t="shared" ref="J19" si="16">$D$6*(A19-$A$14)/360*$D$5</f>
        <v>4861.1111111111113</v>
      </c>
      <c r="K19" s="98">
        <f t="shared" ref="K19" si="17">C19+D19+F19+G19-I19-J19</f>
        <v>-36586.68088888887</v>
      </c>
      <c r="L19" s="1"/>
      <c r="M19" s="129">
        <v>45775.625</v>
      </c>
      <c r="N19" s="54">
        <v>52.848999999999997</v>
      </c>
      <c r="O19" s="129">
        <v>45796.625</v>
      </c>
      <c r="P19" s="54">
        <v>32.823999999999998</v>
      </c>
      <c r="Q19" s="129">
        <v>45775.625</v>
      </c>
      <c r="R19" s="54">
        <v>73.203000000000003</v>
      </c>
    </row>
    <row r="20" spans="1:18" x14ac:dyDescent="0.3">
      <c r="A20" s="131">
        <v>45932</v>
      </c>
      <c r="B20" s="1">
        <f t="shared" si="0"/>
        <v>46.104999999999997</v>
      </c>
      <c r="C20" s="31">
        <f t="shared" si="10"/>
        <v>-13167.419999999976</v>
      </c>
      <c r="D20" s="32">
        <f t="shared" si="11"/>
        <v>15555.555555555555</v>
      </c>
      <c r="E20" s="4">
        <f t="shared" si="3"/>
        <v>33.39</v>
      </c>
      <c r="F20" s="31">
        <f t="shared" si="12"/>
        <v>4938.5599999999959</v>
      </c>
      <c r="G20" s="32">
        <f t="shared" si="13"/>
        <v>3555.5555555555557</v>
      </c>
      <c r="H20" s="4">
        <f t="shared" si="6"/>
        <v>49.113999999999997</v>
      </c>
      <c r="I20" s="31">
        <f t="shared" si="14"/>
        <v>23575.000000000033</v>
      </c>
      <c r="J20" s="32">
        <f t="shared" ref="J20" si="18">$D$6*(A20-$A$14)/360*$D$5</f>
        <v>5555.5555555555557</v>
      </c>
      <c r="K20" s="98">
        <f t="shared" ref="K20" si="19">C20+D20+F20+G20-I20-J20</f>
        <v>-18248.304444444457</v>
      </c>
      <c r="L20" s="1"/>
      <c r="M20" s="129">
        <v>45776.625</v>
      </c>
      <c r="N20" s="54">
        <v>53.277999999999999</v>
      </c>
      <c r="O20" s="129">
        <v>45797.625</v>
      </c>
      <c r="P20" s="54">
        <v>32.951000000000001</v>
      </c>
      <c r="Q20" s="129">
        <v>45776.625</v>
      </c>
      <c r="R20" s="54">
        <v>73.915000000000006</v>
      </c>
    </row>
    <row r="21" spans="1:18" x14ac:dyDescent="0.3">
      <c r="A21" s="131">
        <v>45933</v>
      </c>
      <c r="B21" s="1">
        <f t="shared" si="0"/>
        <v>46.1</v>
      </c>
      <c r="C21" s="31">
        <f t="shared" si="10"/>
        <v>-13126.400000000012</v>
      </c>
      <c r="D21" s="32">
        <f t="shared" si="11"/>
        <v>17500</v>
      </c>
      <c r="E21" s="4">
        <f t="shared" si="3"/>
        <v>33.387</v>
      </c>
      <c r="F21" s="31">
        <f t="shared" si="12"/>
        <v>4962.8479999999963</v>
      </c>
      <c r="G21" s="32">
        <f t="shared" si="13"/>
        <v>4000</v>
      </c>
      <c r="H21" s="4">
        <f t="shared" si="6"/>
        <v>47.597000000000001</v>
      </c>
      <c r="I21" s="31">
        <f t="shared" si="14"/>
        <v>42537.499999999985</v>
      </c>
      <c r="J21" s="32">
        <f t="shared" ref="J21" si="20">$D$6*(A21-$A$14)/360*$D$5</f>
        <v>6250</v>
      </c>
      <c r="K21" s="98">
        <f t="shared" ref="K21" si="21">C21+D21+F21+G21-I21-J21</f>
        <v>-35451.052000000003</v>
      </c>
      <c r="L21" s="1"/>
      <c r="M21" s="129">
        <v>45777.625</v>
      </c>
      <c r="N21" s="54">
        <v>54.14</v>
      </c>
      <c r="O21" s="129">
        <v>45798.625</v>
      </c>
      <c r="P21" s="54">
        <v>32.616</v>
      </c>
      <c r="Q21" s="129">
        <v>45777.625</v>
      </c>
      <c r="R21" s="54">
        <v>76.536000000000001</v>
      </c>
    </row>
    <row r="22" spans="1:18" x14ac:dyDescent="0.3">
      <c r="A22" s="131">
        <v>45936</v>
      </c>
      <c r="B22" s="1">
        <f t="shared" si="0"/>
        <v>46.697000000000003</v>
      </c>
      <c r="C22" s="31">
        <f t="shared" si="10"/>
        <v>-18024.188000000024</v>
      </c>
      <c r="D22" s="32">
        <f t="shared" si="11"/>
        <v>23333.333333333339</v>
      </c>
      <c r="E22" s="4">
        <f t="shared" si="3"/>
        <v>34.415999999999997</v>
      </c>
      <c r="F22" s="31">
        <f t="shared" si="12"/>
        <v>-3367.9359999999742</v>
      </c>
      <c r="G22" s="32">
        <f t="shared" si="13"/>
        <v>5333.333333333333</v>
      </c>
      <c r="H22" s="4">
        <f t="shared" si="6"/>
        <v>49.274000000000001</v>
      </c>
      <c r="I22" s="31">
        <f t="shared" si="14"/>
        <v>21574.999999999989</v>
      </c>
      <c r="J22" s="32">
        <f t="shared" ref="J22" si="22">$D$6*(A22-$A$14)/360*$D$5</f>
        <v>8333.3333333333339</v>
      </c>
      <c r="K22" s="98">
        <f t="shared" ref="K22" si="23">C22+D22+F22+G22-I22-J22</f>
        <v>-22633.790666666646</v>
      </c>
      <c r="L22" s="1"/>
      <c r="M22" s="129">
        <v>45778.625</v>
      </c>
      <c r="N22" s="54">
        <v>53.204000000000001</v>
      </c>
      <c r="O22" s="129">
        <v>45799.625</v>
      </c>
      <c r="P22" s="54">
        <v>33.527999999999999</v>
      </c>
      <c r="Q22" s="129">
        <v>45778.625</v>
      </c>
      <c r="R22" s="54">
        <v>76.347999999999999</v>
      </c>
    </row>
    <row r="23" spans="1:18" x14ac:dyDescent="0.3">
      <c r="A23" s="131">
        <v>45937</v>
      </c>
      <c r="B23" s="1">
        <f t="shared" si="0"/>
        <v>46.832000000000001</v>
      </c>
      <c r="C23" s="31">
        <f t="shared" si="10"/>
        <v>-19131.728000000006</v>
      </c>
      <c r="D23" s="32">
        <f t="shared" si="11"/>
        <v>25277.777777777781</v>
      </c>
      <c r="E23" s="4">
        <f t="shared" si="3"/>
        <v>34.781999999999996</v>
      </c>
      <c r="F23" s="31">
        <f t="shared" si="12"/>
        <v>-6331.071999999971</v>
      </c>
      <c r="G23" s="32">
        <f t="shared" si="13"/>
        <v>5777.7777777777783</v>
      </c>
      <c r="H23" s="4">
        <f t="shared" si="6"/>
        <v>49.777999999999999</v>
      </c>
      <c r="I23" s="31">
        <f t="shared" si="14"/>
        <v>15275.000000000016</v>
      </c>
      <c r="J23" s="32">
        <f t="shared" ref="J23" si="24">$D$6*(A23-$A$14)/360*$D$5</f>
        <v>9027.7777777777792</v>
      </c>
      <c r="K23" s="98">
        <f t="shared" ref="K23" si="25">C23+D23+F23+G23-I23-J23</f>
        <v>-18710.022222222215</v>
      </c>
      <c r="L23" s="1"/>
      <c r="M23" s="129">
        <v>45779.625</v>
      </c>
      <c r="N23" s="54">
        <v>53.01</v>
      </c>
      <c r="O23" s="129">
        <v>45804.625</v>
      </c>
      <c r="P23" s="54">
        <v>32.281999999999996</v>
      </c>
      <c r="Q23" s="129">
        <v>45779.625</v>
      </c>
      <c r="R23" s="54">
        <v>74.768000000000001</v>
      </c>
    </row>
    <row r="24" spans="1:18" x14ac:dyDescent="0.3">
      <c r="A24" s="131">
        <v>45938</v>
      </c>
      <c r="B24" s="1">
        <f t="shared" si="0"/>
        <v>47.168999999999997</v>
      </c>
      <c r="C24" s="31">
        <f t="shared" ref="C24" si="26">-1*(B24-$B$14)*10^-4*$B$8*$B$5</f>
        <v>-21896.475999999977</v>
      </c>
      <c r="D24" s="32">
        <f t="shared" ref="D24" si="27">$B$6*(A24-$A$14)/360*$B$5</f>
        <v>27222.222222222226</v>
      </c>
      <c r="E24" s="4">
        <f t="shared" si="3"/>
        <v>35.098999999999997</v>
      </c>
      <c r="F24" s="31">
        <f t="shared" ref="F24" si="28">-1*(E24-$E$14)*10^-4*$C$8*$C$5</f>
        <v>-8897.5039999999735</v>
      </c>
      <c r="G24" s="32">
        <f t="shared" ref="G24" si="29">$C$6*(A24-$A$14)/360*$C$5</f>
        <v>6222.2222222222226</v>
      </c>
      <c r="H24" s="4">
        <f t="shared" si="6"/>
        <v>49.825000000000003</v>
      </c>
      <c r="I24" s="31">
        <f t="shared" ref="I24" si="30">-1*(H24-$H$14)*10^-4*$D$8*$D$5</f>
        <v>14687.499999999965</v>
      </c>
      <c r="J24" s="32">
        <f t="shared" ref="J24" si="31">$D$6*(A24-$A$14)/360*$D$5</f>
        <v>9722.2222222222226</v>
      </c>
      <c r="K24" s="98">
        <f t="shared" ref="K24" si="32">C24+D24+F24+G24-I24-J24</f>
        <v>-21759.25777777769</v>
      </c>
      <c r="L24" s="1"/>
      <c r="M24" s="129">
        <v>45782.625</v>
      </c>
      <c r="N24" s="54">
        <v>52.942</v>
      </c>
      <c r="O24" s="129">
        <v>45805.625</v>
      </c>
      <c r="P24" s="54">
        <v>31.815000000000001</v>
      </c>
      <c r="Q24" s="129">
        <v>45782.625</v>
      </c>
      <c r="R24" s="54">
        <v>74.805000000000007</v>
      </c>
    </row>
    <row r="25" spans="1:18" x14ac:dyDescent="0.3">
      <c r="A25" s="131">
        <v>45939</v>
      </c>
      <c r="B25" s="1">
        <f t="shared" si="0"/>
        <v>46.902000000000001</v>
      </c>
      <c r="C25" s="31">
        <f t="shared" ref="C25" si="33">-1*(B25-$B$14)*10^-4*$B$8*$B$5</f>
        <v>-19706.008000000013</v>
      </c>
      <c r="D25" s="32">
        <f t="shared" ref="D25" si="34">$B$6*(A25-$A$14)/360*$B$5</f>
        <v>29166.666666666668</v>
      </c>
      <c r="E25" s="4">
        <f t="shared" si="3"/>
        <v>34.442</v>
      </c>
      <c r="F25" s="31">
        <f t="shared" ref="F25" si="35">-1*(E25-$E$14)*10^-4*$C$8*$C$5</f>
        <v>-3578.4320000000012</v>
      </c>
      <c r="G25" s="32">
        <f t="shared" ref="G25" si="36">$C$6*(A25-$A$14)/360*$C$5</f>
        <v>6666.6666666666661</v>
      </c>
      <c r="H25" s="4">
        <f t="shared" si="6"/>
        <v>50.210999999999999</v>
      </c>
      <c r="I25" s="31">
        <f t="shared" ref="I25" si="37">-1*(H25-$H$14)*10^-4*$D$8*$D$5</f>
        <v>9862.5000000000182</v>
      </c>
      <c r="J25" s="32">
        <f t="shared" ref="J25" si="38">$D$6*(A25-$A$14)/360*$D$5</f>
        <v>10416.666666666666</v>
      </c>
      <c r="K25" s="98">
        <f t="shared" ref="K25" si="39">C25+D25+F25+G25-I25-J25</f>
        <v>-7730.2733333333636</v>
      </c>
      <c r="L25" s="1"/>
      <c r="M25" s="129">
        <v>45783.625</v>
      </c>
      <c r="N25" s="54">
        <v>52.347000000000001</v>
      </c>
      <c r="O25" s="129">
        <v>45806.625</v>
      </c>
      <c r="P25" s="54">
        <v>33.478999999999999</v>
      </c>
      <c r="Q25" s="129">
        <v>45783.625</v>
      </c>
      <c r="R25" s="54">
        <v>74.284999999999997</v>
      </c>
    </row>
    <row r="26" spans="1:18" x14ac:dyDescent="0.3">
      <c r="A26" s="131">
        <v>45940</v>
      </c>
      <c r="B26" s="1">
        <f t="shared" si="0"/>
        <v>48.610999999999997</v>
      </c>
      <c r="C26" s="31">
        <f t="shared" ref="C26" si="40">-1*(B26-$B$14)*10^-4*$B$8*$B$5</f>
        <v>-33726.643999999978</v>
      </c>
      <c r="D26" s="32">
        <f t="shared" ref="D26" si="41">$B$6*(A26-$A$14)/360*$B$5</f>
        <v>31111.111111111109</v>
      </c>
      <c r="E26" s="4">
        <f t="shared" si="3"/>
        <v>34.442</v>
      </c>
      <c r="F26" s="31">
        <f t="shared" ref="F26" si="42">-1*(E26-$E$14)*10^-4*$C$8*$C$5</f>
        <v>-3578.4320000000012</v>
      </c>
      <c r="G26" s="32">
        <f t="shared" ref="G26" si="43">$C$6*(A26-$A$14)/360*$C$5</f>
        <v>7111.1111111111113</v>
      </c>
      <c r="H26" s="4">
        <f t="shared" si="6"/>
        <v>50.311</v>
      </c>
      <c r="I26" s="31">
        <f t="shared" ref="I26" si="44">-1*(H26-$H$14)*10^-4*$D$8*$D$5</f>
        <v>8612.5</v>
      </c>
      <c r="J26" s="32">
        <f t="shared" ref="J26" si="45">$D$6*(A26-$A$14)/360*$D$5</f>
        <v>11111.111111111111</v>
      </c>
      <c r="K26" s="98">
        <f t="shared" ref="K26" si="46">C26+D26+F26+G26-I26-J26</f>
        <v>-18806.46488888887</v>
      </c>
      <c r="L26" s="1"/>
      <c r="M26" s="129">
        <v>45784.625</v>
      </c>
      <c r="N26" s="54">
        <v>50.865000000000002</v>
      </c>
      <c r="O26" s="129">
        <v>45810.625</v>
      </c>
      <c r="P26" s="54">
        <v>32.982999999999997</v>
      </c>
      <c r="Q26" s="129">
        <v>45784.625</v>
      </c>
      <c r="R26" s="54">
        <v>73.141000000000005</v>
      </c>
    </row>
    <row r="27" spans="1:18" x14ac:dyDescent="0.3">
      <c r="A27" s="131">
        <v>45943</v>
      </c>
      <c r="B27" s="1">
        <f t="shared" si="0"/>
        <v>50.231000000000002</v>
      </c>
      <c r="C27" s="31">
        <f t="shared" ref="C27" si="47">-1*(B27-$B$14)*10^-4*$B$8*$B$5</f>
        <v>-47017.124000000018</v>
      </c>
      <c r="D27" s="32">
        <f t="shared" ref="D27" si="48">$B$6*(A27-$A$14)/360*$B$5</f>
        <v>36944.444444444445</v>
      </c>
      <c r="E27" s="4">
        <f t="shared" si="3"/>
        <v>36.572000000000003</v>
      </c>
      <c r="F27" s="31">
        <f t="shared" ref="F27" si="49">-1*(E27-$E$14)*10^-4*$C$8*$C$5</f>
        <v>-20822.912000000022</v>
      </c>
      <c r="G27" s="32">
        <f t="shared" ref="G27" si="50">$C$6*(A27-$A$14)/360*$C$5</f>
        <v>8444.4444444444453</v>
      </c>
      <c r="H27" s="4">
        <f t="shared" si="6"/>
        <v>51.667000000000002</v>
      </c>
      <c r="I27" s="31">
        <f t="shared" ref="I27" si="51">-1*(H27-$H$14)*10^-4*$D$8*$D$5</f>
        <v>-8337.50000000002</v>
      </c>
      <c r="J27" s="32">
        <f t="shared" ref="J27" si="52">$D$6*(A27-$A$14)/360*$D$5</f>
        <v>13194.444444444445</v>
      </c>
      <c r="K27" s="98">
        <f t="shared" ref="K27" si="53">C27+D27+F27+G27-I27-J27</f>
        <v>-27308.091555555577</v>
      </c>
      <c r="L27" s="1"/>
      <c r="M27" s="129">
        <v>45785.625</v>
      </c>
      <c r="N27" s="54">
        <v>49.094999999999999</v>
      </c>
      <c r="O27" s="129">
        <v>45811.625</v>
      </c>
      <c r="P27" s="54">
        <v>31.821000000000002</v>
      </c>
      <c r="Q27" s="129">
        <v>45785.625</v>
      </c>
      <c r="R27" s="54">
        <v>71.284999999999997</v>
      </c>
    </row>
    <row r="28" spans="1:18" x14ac:dyDescent="0.3">
      <c r="A28" s="131">
        <v>45944</v>
      </c>
      <c r="B28" s="1">
        <f t="shared" si="0"/>
        <v>50.671999999999997</v>
      </c>
      <c r="C28" s="31">
        <f t="shared" ref="C28" si="54">-1*(B28-$B$14)*10^-4*$B$8*$B$5</f>
        <v>-50635.087999999982</v>
      </c>
      <c r="D28" s="32">
        <f t="shared" ref="D28" si="55">$B$6*(A28-$A$14)/360*$B$5</f>
        <v>38888.888888888891</v>
      </c>
      <c r="E28" s="4">
        <f t="shared" si="3"/>
        <v>37.72</v>
      </c>
      <c r="F28" s="31">
        <f t="shared" ref="F28" si="56">-1*(E28-$E$14)*10^-4*$C$8*$C$5</f>
        <v>-30117.119999999988</v>
      </c>
      <c r="G28" s="32">
        <f t="shared" ref="G28" si="57">$C$6*(A28-$A$14)/360*$C$5</f>
        <v>8888.8888888888887</v>
      </c>
      <c r="H28" s="4">
        <f t="shared" si="6"/>
        <v>53.13</v>
      </c>
      <c r="I28" s="31">
        <f t="shared" ref="I28" si="58">-1*(H28-$H$14)*10^-4*$D$8*$D$5</f>
        <v>-26625.000000000033</v>
      </c>
      <c r="J28" s="32">
        <f t="shared" ref="J28" si="59">$D$6*(A28-$A$14)/360*$D$5</f>
        <v>13888.888888888889</v>
      </c>
      <c r="K28" s="98">
        <f t="shared" ref="K28" si="60">C28+D28+F28+G28-I28-J28</f>
        <v>-20238.319111111043</v>
      </c>
      <c r="L28" s="1"/>
      <c r="M28" s="129">
        <v>45786.625</v>
      </c>
      <c r="N28" s="54">
        <v>48.186</v>
      </c>
      <c r="O28" s="129">
        <v>45812.625</v>
      </c>
      <c r="P28" s="54">
        <v>31.257000000000001</v>
      </c>
      <c r="Q28" s="129">
        <v>45786.625</v>
      </c>
      <c r="R28" s="54">
        <v>68.600999999999999</v>
      </c>
    </row>
    <row r="29" spans="1:18" x14ac:dyDescent="0.3">
      <c r="A29" s="131">
        <v>45945</v>
      </c>
      <c r="B29" s="1">
        <f t="shared" si="0"/>
        <v>47.665999999999997</v>
      </c>
      <c r="C29" s="31">
        <f t="shared" ref="C29" si="61">-1*(B29-$B$14)*10^-4*$B$8*$B$5</f>
        <v>-25973.863999999976</v>
      </c>
      <c r="D29" s="32">
        <f t="shared" ref="D29" si="62">$B$6*(A29-$A$14)/360*$B$5</f>
        <v>40833.333333333336</v>
      </c>
      <c r="E29" s="4">
        <f t="shared" si="3"/>
        <v>35.18</v>
      </c>
      <c r="F29" s="31">
        <f t="shared" ref="F29" si="63">-1*(E29-$E$14)*10^-4*$C$8*$C$5</f>
        <v>-9553.279999999997</v>
      </c>
      <c r="G29" s="32">
        <f t="shared" ref="G29" si="64">$C$6*(A29-$A$14)/360*$C$5</f>
        <v>9333.3333333333321</v>
      </c>
      <c r="H29" s="4">
        <f t="shared" si="6"/>
        <v>50.527999999999999</v>
      </c>
      <c r="I29" s="31">
        <f t="shared" ref="I29" si="65">-1*(H29-$H$14)*10^-4*$D$8*$D$5</f>
        <v>5900.0000000000164</v>
      </c>
      <c r="J29" s="32">
        <f t="shared" ref="J29" si="66">$D$6*(A29-$A$14)/360*$D$5</f>
        <v>14583.333333333332</v>
      </c>
      <c r="K29" s="98">
        <f t="shared" ref="K29" si="67">C29+D29+F29+G29-I29-J29</f>
        <v>-5843.8106666666536</v>
      </c>
      <c r="L29" s="1"/>
      <c r="M29" s="129">
        <v>45789.625</v>
      </c>
      <c r="N29" s="54">
        <v>46.173999999999999</v>
      </c>
      <c r="O29" s="129">
        <v>45817.625</v>
      </c>
      <c r="P29" s="54">
        <v>32.470999999999997</v>
      </c>
      <c r="Q29" s="129">
        <v>45789.625</v>
      </c>
      <c r="R29" s="54">
        <v>64.926000000000002</v>
      </c>
    </row>
    <row r="30" spans="1:18" x14ac:dyDescent="0.3">
      <c r="A30" s="131">
        <v>45946</v>
      </c>
      <c r="B30" s="1">
        <f t="shared" ref="B30" si="68">VLOOKUP(A30+$G$2,M:N,2)</f>
        <v>47.408999999999999</v>
      </c>
      <c r="C30" s="31">
        <f t="shared" ref="C30" si="69">-1*(B30-$B$14)*10^-4*$B$8*$B$5</f>
        <v>-23865.435999999994</v>
      </c>
      <c r="D30" s="32">
        <f t="shared" ref="D30" si="70">$B$6*(A30-$A$14)/360*$B$5</f>
        <v>42777.777777777781</v>
      </c>
      <c r="E30" s="4">
        <f t="shared" ref="E30" si="71">VLOOKUP(A30+$G$2,O:P,2)</f>
        <v>35.090000000000003</v>
      </c>
      <c r="F30" s="31">
        <f t="shared" ref="F30" si="72">-1*(E30-$E$14)*10^-4*$C$8*$C$5</f>
        <v>-8824.6400000000285</v>
      </c>
      <c r="G30" s="32">
        <f t="shared" ref="G30" si="73">$C$6*(A30-$A$14)/360*$C$5</f>
        <v>9777.7777777777774</v>
      </c>
      <c r="H30" s="4">
        <f t="shared" ref="H30" si="74">VLOOKUP(A30+$G$2,Q:R,2)</f>
        <v>50.088999999999999</v>
      </c>
      <c r="I30" s="31">
        <f t="shared" ref="I30" si="75">-1*(H30-$H$14)*10^-4*$D$8*$D$5</f>
        <v>11387.500000000018</v>
      </c>
      <c r="J30" s="32">
        <f t="shared" ref="J30" si="76">$D$6*(A30-$A$14)/360*$D$5</f>
        <v>15277.777777777777</v>
      </c>
      <c r="K30" s="98">
        <f t="shared" ref="K30" si="77">C30+D30+F30+G30-I30-J30</f>
        <v>-6799.7982222222599</v>
      </c>
      <c r="L30" s="1"/>
      <c r="M30" s="129">
        <v>45790.625</v>
      </c>
      <c r="N30" s="54">
        <v>43.274000000000001</v>
      </c>
      <c r="O30" s="129">
        <v>45818.625</v>
      </c>
      <c r="P30" s="54">
        <v>31.704999999999998</v>
      </c>
      <c r="Q30" s="129">
        <v>45790.625</v>
      </c>
      <c r="R30" s="54">
        <v>62.122</v>
      </c>
    </row>
    <row r="31" spans="1:18" x14ac:dyDescent="0.3">
      <c r="A31" s="131">
        <v>45947</v>
      </c>
      <c r="B31" s="46">
        <f>$B$10</f>
        <v>49.158580000000001</v>
      </c>
      <c r="C31" s="31">
        <f t="shared" ref="C31" si="78">-1*(B31-$B$14)*10^-4*$B$8*$B$5</f>
        <v>-38218.990320000012</v>
      </c>
      <c r="D31" s="32">
        <f t="shared" ref="D31" si="79">$B$6*(A31-$A$14)/360*$B$5</f>
        <v>44722.222222222226</v>
      </c>
      <c r="E31" s="45">
        <f>$C$10</f>
        <v>35.090350000000001</v>
      </c>
      <c r="F31" s="31">
        <f t="shared" ref="F31" si="80">-1*(E31-$E$14)*10^-4*$C$8*$C$5</f>
        <v>-8827.4736000000066</v>
      </c>
      <c r="G31" s="32">
        <f t="shared" ref="G31" si="81">$C$6*(A31-$A$14)/360*$C$5</f>
        <v>10222.222222222223</v>
      </c>
      <c r="H31" s="45">
        <f>$D$10</f>
        <v>51.612209999999997</v>
      </c>
      <c r="I31" s="31">
        <f>-1*(H31-$H$14)*10^-4*$D$8*$D$5</f>
        <v>-7652.6249999999682</v>
      </c>
      <c r="J31" s="32">
        <f>$D$6*(A31-$A$14)/360*$D$5</f>
        <v>15972.222222222223</v>
      </c>
      <c r="K31" s="98">
        <f>C31+D31+F31+G31-I31-J31</f>
        <v>-421.61669777782299</v>
      </c>
      <c r="L31" s="1"/>
      <c r="M31" s="129">
        <v>45791.625</v>
      </c>
      <c r="N31" s="54">
        <v>43.774999999999999</v>
      </c>
      <c r="O31" s="129">
        <v>45819.625</v>
      </c>
      <c r="P31" s="54">
        <v>31.355</v>
      </c>
      <c r="Q31" s="129">
        <v>45791.625</v>
      </c>
      <c r="R31" s="54">
        <v>61.744999999999997</v>
      </c>
    </row>
    <row r="32" spans="1:18" x14ac:dyDescent="0.3">
      <c r="A32" s="131">
        <v>45950</v>
      </c>
      <c r="B32" s="45"/>
      <c r="C32" s="31"/>
      <c r="D32" s="32"/>
      <c r="E32" s="4"/>
      <c r="F32" s="31"/>
      <c r="G32" s="32"/>
      <c r="H32" s="4"/>
      <c r="I32" s="31"/>
      <c r="J32" s="32"/>
      <c r="K32" s="81"/>
      <c r="L32" s="1"/>
      <c r="M32" s="129">
        <v>45792.625</v>
      </c>
      <c r="N32" s="54">
        <v>44.514000000000003</v>
      </c>
      <c r="O32" s="129">
        <v>45824.625</v>
      </c>
      <c r="P32" s="54">
        <v>32.851999999999997</v>
      </c>
      <c r="Q32" s="129">
        <v>45792.625</v>
      </c>
      <c r="R32" s="54">
        <v>62.554000000000002</v>
      </c>
    </row>
    <row r="33" spans="1:18" x14ac:dyDescent="0.3">
      <c r="A33" s="131">
        <v>45951</v>
      </c>
      <c r="B33" s="45"/>
      <c r="C33" s="31"/>
      <c r="D33" s="32"/>
      <c r="E33" s="4"/>
      <c r="F33" s="31"/>
      <c r="G33" s="32"/>
      <c r="H33" s="4"/>
      <c r="I33" s="31"/>
      <c r="J33" s="32"/>
      <c r="K33" s="81"/>
      <c r="L33" s="1"/>
      <c r="M33" s="129">
        <v>45793.625</v>
      </c>
      <c r="N33" s="54">
        <v>44.493000000000002</v>
      </c>
      <c r="O33" s="129">
        <v>45825.625</v>
      </c>
      <c r="P33" s="54">
        <v>33.970999999999997</v>
      </c>
      <c r="Q33" s="129">
        <v>45793.625</v>
      </c>
      <c r="R33" s="54">
        <v>63.191000000000003</v>
      </c>
    </row>
    <row r="34" spans="1:18" x14ac:dyDescent="0.3">
      <c r="A34" s="131">
        <v>45952</v>
      </c>
      <c r="B34" s="45"/>
      <c r="C34" s="31"/>
      <c r="D34" s="32"/>
      <c r="E34" s="4"/>
      <c r="F34" s="31"/>
      <c r="G34" s="32"/>
      <c r="H34" s="4"/>
      <c r="I34" s="31"/>
      <c r="J34" s="32"/>
      <c r="K34" s="81"/>
      <c r="L34" s="1"/>
      <c r="M34" s="129">
        <v>45796.625</v>
      </c>
      <c r="N34" s="54">
        <v>44.594999999999999</v>
      </c>
      <c r="O34" s="129">
        <v>45826.625</v>
      </c>
      <c r="P34" s="54">
        <v>34.889000000000003</v>
      </c>
      <c r="Q34" s="129">
        <v>45796.625</v>
      </c>
      <c r="R34" s="54">
        <v>63.14</v>
      </c>
    </row>
    <row r="35" spans="1:18" x14ac:dyDescent="0.3">
      <c r="A35" s="131">
        <v>45953</v>
      </c>
      <c r="B35" s="45"/>
      <c r="C35" s="31"/>
      <c r="D35" s="32"/>
      <c r="E35" s="4"/>
      <c r="F35" s="31"/>
      <c r="G35" s="32"/>
      <c r="H35" s="4"/>
      <c r="I35" s="31"/>
      <c r="J35" s="32"/>
      <c r="K35" s="38"/>
      <c r="L35" s="1"/>
      <c r="M35" s="129">
        <v>45797.625</v>
      </c>
      <c r="N35" s="54">
        <v>44.314999999999998</v>
      </c>
      <c r="O35" s="129">
        <v>45832.625</v>
      </c>
      <c r="P35" s="54">
        <v>33.630000000000003</v>
      </c>
      <c r="Q35" s="129">
        <v>45797.625</v>
      </c>
      <c r="R35" s="54">
        <v>62.087000000000003</v>
      </c>
    </row>
    <row r="36" spans="1:18" x14ac:dyDescent="0.3">
      <c r="A36" s="131">
        <v>45954</v>
      </c>
      <c r="B36" s="45"/>
      <c r="C36" s="31"/>
      <c r="D36" s="32"/>
      <c r="E36" s="4"/>
      <c r="F36" s="31"/>
      <c r="G36" s="32"/>
      <c r="H36" s="4"/>
      <c r="I36" s="31"/>
      <c r="J36" s="32"/>
      <c r="K36" s="38"/>
      <c r="L36" s="1"/>
      <c r="M36" s="129">
        <v>45798.625</v>
      </c>
      <c r="N36" s="54">
        <v>44.335999999999999</v>
      </c>
      <c r="O36" s="129">
        <v>45833.625</v>
      </c>
      <c r="P36" s="54">
        <v>32.624000000000002</v>
      </c>
      <c r="Q36" s="129">
        <v>45798.625</v>
      </c>
      <c r="R36" s="54">
        <v>62.185000000000002</v>
      </c>
    </row>
    <row r="37" spans="1:18" x14ac:dyDescent="0.3">
      <c r="A37" s="131">
        <v>45955</v>
      </c>
      <c r="B37" s="45"/>
      <c r="C37" s="31"/>
      <c r="D37" s="32"/>
      <c r="E37" s="4"/>
      <c r="F37" s="31"/>
      <c r="G37" s="32"/>
      <c r="H37" s="4"/>
      <c r="I37" s="31"/>
      <c r="J37" s="32"/>
      <c r="K37" s="38"/>
      <c r="L37" s="1"/>
      <c r="M37" s="129">
        <v>45799.625</v>
      </c>
      <c r="N37" s="54">
        <v>45.771999999999998</v>
      </c>
      <c r="O37" s="129">
        <v>45853.625</v>
      </c>
      <c r="P37" s="54">
        <v>31.337</v>
      </c>
      <c r="Q37" s="129">
        <v>45799.625</v>
      </c>
      <c r="R37" s="54">
        <v>62.945999999999998</v>
      </c>
    </row>
    <row r="38" spans="1:18" x14ac:dyDescent="0.3">
      <c r="A38" s="131">
        <v>45956</v>
      </c>
      <c r="B38" s="45"/>
      <c r="C38" s="31"/>
      <c r="D38" s="32"/>
      <c r="E38" s="4"/>
      <c r="F38" s="31"/>
      <c r="G38" s="32"/>
      <c r="H38" s="4"/>
      <c r="I38" s="31"/>
      <c r="J38" s="32"/>
      <c r="K38" s="38"/>
      <c r="L38" s="1"/>
      <c r="M38" s="129">
        <v>45800.625</v>
      </c>
      <c r="N38" s="54">
        <v>47.250999999999998</v>
      </c>
      <c r="O38" s="129">
        <v>45854.625</v>
      </c>
      <c r="P38" s="54">
        <v>31.843</v>
      </c>
      <c r="Q38" s="129">
        <v>45800.625</v>
      </c>
      <c r="R38" s="54">
        <v>64.626999999999995</v>
      </c>
    </row>
    <row r="39" spans="1:18" x14ac:dyDescent="0.3">
      <c r="A39" s="110"/>
      <c r="B39" s="45"/>
      <c r="C39" s="31"/>
      <c r="D39" s="32"/>
      <c r="E39" s="4"/>
      <c r="F39" s="31"/>
      <c r="G39" s="32"/>
      <c r="H39" s="4"/>
      <c r="I39" s="31"/>
      <c r="J39" s="32"/>
      <c r="K39" s="38"/>
      <c r="L39" s="1"/>
      <c r="M39" s="129">
        <v>45803.625</v>
      </c>
      <c r="N39" s="54">
        <v>47.389000000000003</v>
      </c>
      <c r="O39" s="129">
        <v>45855.625</v>
      </c>
      <c r="P39" s="54">
        <v>31.506</v>
      </c>
      <c r="Q39" s="129">
        <v>45803.625</v>
      </c>
      <c r="R39" s="54">
        <v>64.301000000000002</v>
      </c>
    </row>
    <row r="40" spans="1:18" x14ac:dyDescent="0.3">
      <c r="A40" s="110"/>
      <c r="B40" s="45"/>
      <c r="C40" s="31"/>
      <c r="D40" s="32"/>
      <c r="E40" s="4"/>
      <c r="F40" s="31"/>
      <c r="G40" s="32"/>
      <c r="H40" s="4"/>
      <c r="I40" s="31"/>
      <c r="J40" s="32"/>
      <c r="K40" s="38"/>
      <c r="L40" s="1"/>
      <c r="M40" s="129">
        <v>45804.625</v>
      </c>
      <c r="N40" s="54">
        <v>45.576000000000001</v>
      </c>
      <c r="O40" s="129">
        <v>45859.625</v>
      </c>
      <c r="P40" s="54">
        <v>30.71</v>
      </c>
      <c r="Q40" s="129">
        <v>45804.625</v>
      </c>
      <c r="R40" s="54">
        <v>62.533000000000001</v>
      </c>
    </row>
    <row r="41" spans="1:18" x14ac:dyDescent="0.3">
      <c r="A41" s="110"/>
      <c r="B41" s="45"/>
      <c r="C41" s="31"/>
      <c r="D41" s="32"/>
      <c r="E41" s="4"/>
      <c r="F41" s="31"/>
      <c r="G41" s="32"/>
      <c r="H41" s="4"/>
      <c r="I41" s="31"/>
      <c r="J41" s="32"/>
      <c r="K41" s="38"/>
      <c r="L41" s="1"/>
      <c r="M41" s="129">
        <v>45805.625</v>
      </c>
      <c r="N41" s="54">
        <v>44.938000000000002</v>
      </c>
      <c r="O41" s="129">
        <v>45866.625</v>
      </c>
      <c r="P41" s="54">
        <v>30.4</v>
      </c>
      <c r="Q41" s="129">
        <v>45805.625</v>
      </c>
      <c r="R41" s="54">
        <v>61.427999999999997</v>
      </c>
    </row>
    <row r="42" spans="1:18" x14ac:dyDescent="0.3">
      <c r="A42" s="110"/>
      <c r="B42" s="45"/>
      <c r="C42" s="31"/>
      <c r="D42" s="32"/>
      <c r="E42" s="4"/>
      <c r="F42" s="31"/>
      <c r="G42" s="32"/>
      <c r="H42" s="4"/>
      <c r="I42" s="31"/>
      <c r="J42" s="32"/>
      <c r="K42" s="38"/>
      <c r="L42" s="1"/>
      <c r="M42" s="129">
        <v>45806.625</v>
      </c>
      <c r="N42" s="54">
        <v>44.045000000000002</v>
      </c>
      <c r="O42" s="129">
        <v>45867.625</v>
      </c>
      <c r="P42" s="54">
        <v>31.736999999999998</v>
      </c>
      <c r="Q42" s="129">
        <v>45806.625</v>
      </c>
      <c r="R42" s="54">
        <v>60.792999999999999</v>
      </c>
    </row>
    <row r="43" spans="1:18" x14ac:dyDescent="0.3">
      <c r="A43" s="15"/>
      <c r="B43" s="45"/>
      <c r="C43" s="31"/>
      <c r="D43" s="32"/>
      <c r="E43" s="4"/>
      <c r="F43" s="31"/>
      <c r="G43" s="32"/>
      <c r="H43" s="4"/>
      <c r="I43" s="31"/>
      <c r="J43" s="32"/>
      <c r="K43" s="38"/>
      <c r="L43" s="1"/>
      <c r="M43" s="129">
        <v>45807.625</v>
      </c>
      <c r="N43" s="54">
        <v>45.179000000000002</v>
      </c>
      <c r="O43" s="129">
        <v>45868.625</v>
      </c>
      <c r="P43" s="54">
        <v>32.436</v>
      </c>
      <c r="Q43" s="129">
        <v>45807.625</v>
      </c>
      <c r="R43" s="54">
        <v>59.956000000000003</v>
      </c>
    </row>
    <row r="44" spans="1:18" ht="15" thickBot="1" x14ac:dyDescent="0.35">
      <c r="A44" s="16"/>
      <c r="B44" s="48"/>
      <c r="C44" s="49"/>
      <c r="D44" s="50"/>
      <c r="E44" s="11"/>
      <c r="F44" s="49"/>
      <c r="G44" s="50"/>
      <c r="H44" s="11"/>
      <c r="I44" s="49"/>
      <c r="J44" s="50"/>
      <c r="K44" s="51"/>
      <c r="L44" s="1"/>
      <c r="M44" s="129">
        <v>45810.625</v>
      </c>
      <c r="N44" s="54">
        <v>44.805999999999997</v>
      </c>
      <c r="O44" s="129">
        <v>45869.625</v>
      </c>
      <c r="P44" s="54">
        <v>32.579000000000001</v>
      </c>
      <c r="Q44" s="129">
        <v>45810.625</v>
      </c>
      <c r="R44" s="54">
        <v>60.311999999999998</v>
      </c>
    </row>
    <row r="45" spans="1:18" x14ac:dyDescent="0.3">
      <c r="B45" s="58"/>
      <c r="C45" s="58"/>
      <c r="D45" s="58"/>
      <c r="F45" s="57"/>
      <c r="G45" s="57"/>
      <c r="I45" s="57"/>
      <c r="J45" s="57"/>
      <c r="K45" s="57"/>
      <c r="M45" s="129">
        <v>45811.625</v>
      </c>
      <c r="N45" s="54">
        <v>43.595999999999997</v>
      </c>
      <c r="O45" s="129">
        <v>45873.625</v>
      </c>
      <c r="P45" s="54">
        <v>33.722000000000001</v>
      </c>
      <c r="Q45" s="129">
        <v>45811.625</v>
      </c>
      <c r="R45" s="54">
        <v>59.81</v>
      </c>
    </row>
    <row r="46" spans="1:18" x14ac:dyDescent="0.3">
      <c r="B46" s="58"/>
      <c r="C46" s="58"/>
      <c r="D46" s="58"/>
      <c r="I46" s="57"/>
      <c r="J46" s="57"/>
      <c r="K46" s="57"/>
      <c r="M46" s="129">
        <v>45812.625</v>
      </c>
      <c r="N46" s="54">
        <v>42.764000000000003</v>
      </c>
      <c r="O46" s="129">
        <v>45874.625</v>
      </c>
      <c r="P46" s="54">
        <v>33.027000000000001</v>
      </c>
      <c r="Q46" s="129">
        <v>45812.625</v>
      </c>
      <c r="R46" s="54">
        <v>58.168999999999997</v>
      </c>
    </row>
    <row r="47" spans="1:18" x14ac:dyDescent="0.3">
      <c r="B47" s="58"/>
      <c r="C47" s="58"/>
      <c r="D47" s="58"/>
      <c r="I47" s="57"/>
      <c r="J47" s="57"/>
      <c r="K47" s="57"/>
      <c r="M47" s="129">
        <v>45813.625</v>
      </c>
      <c r="N47" s="54">
        <v>44.244999999999997</v>
      </c>
      <c r="O47" s="129">
        <v>45875.625</v>
      </c>
      <c r="P47" s="54">
        <v>33.046999999999997</v>
      </c>
      <c r="Q47" s="129">
        <v>45813.625</v>
      </c>
      <c r="R47" s="54">
        <v>58.491999999999997</v>
      </c>
    </row>
    <row r="48" spans="1:18" x14ac:dyDescent="0.3">
      <c r="B48" s="58"/>
      <c r="C48" s="58"/>
      <c r="D48" s="58"/>
      <c r="I48" s="57"/>
      <c r="J48" s="57"/>
      <c r="K48" s="57"/>
      <c r="M48" s="129">
        <v>45814.625</v>
      </c>
      <c r="N48" s="54">
        <v>43.677999999999997</v>
      </c>
      <c r="O48" s="129">
        <v>45888.625</v>
      </c>
      <c r="P48" s="54">
        <v>32.750999999999998</v>
      </c>
      <c r="Q48" s="129">
        <v>45814.625</v>
      </c>
      <c r="R48" s="54">
        <v>58.716999999999999</v>
      </c>
    </row>
    <row r="49" spans="2:18" x14ac:dyDescent="0.3">
      <c r="B49" s="58"/>
      <c r="C49" s="58"/>
      <c r="D49" s="58"/>
      <c r="M49" s="129">
        <v>45817.625</v>
      </c>
      <c r="N49" s="54">
        <v>43.631</v>
      </c>
      <c r="O49" s="129">
        <v>45889.625</v>
      </c>
      <c r="P49" s="54">
        <v>32.89</v>
      </c>
      <c r="Q49" s="129">
        <v>45817.625</v>
      </c>
      <c r="R49" s="54">
        <v>58.598999999999997</v>
      </c>
    </row>
    <row r="50" spans="2:18" x14ac:dyDescent="0.3">
      <c r="B50" s="58"/>
      <c r="C50" s="58"/>
      <c r="D50" s="58"/>
      <c r="M50" s="129">
        <v>45818.625</v>
      </c>
      <c r="N50" s="54">
        <v>43.345999999999997</v>
      </c>
      <c r="O50" s="129">
        <v>45890.625</v>
      </c>
      <c r="P50" s="54">
        <v>32.731000000000002</v>
      </c>
      <c r="Q50" s="129">
        <v>45818.625</v>
      </c>
      <c r="R50" s="54">
        <v>57.927999999999997</v>
      </c>
    </row>
    <row r="51" spans="2:18" x14ac:dyDescent="0.3">
      <c r="B51" s="58"/>
      <c r="C51" s="58"/>
      <c r="D51" s="58"/>
      <c r="M51" s="129">
        <v>45819.625</v>
      </c>
      <c r="N51" s="54">
        <v>42.701999999999998</v>
      </c>
      <c r="O51" s="129">
        <v>45891.625</v>
      </c>
      <c r="P51" s="54">
        <v>33.159999999999997</v>
      </c>
      <c r="Q51" s="129">
        <v>45819.625</v>
      </c>
      <c r="R51" s="54">
        <v>57.012</v>
      </c>
    </row>
    <row r="52" spans="2:18" x14ac:dyDescent="0.3">
      <c r="B52" s="58"/>
      <c r="C52" s="58"/>
      <c r="D52" s="58"/>
      <c r="M52" s="129">
        <v>45820.625</v>
      </c>
      <c r="N52" s="54">
        <v>44.231999999999999</v>
      </c>
      <c r="O52" s="129">
        <v>45895.625</v>
      </c>
      <c r="P52" s="54">
        <v>33.363</v>
      </c>
      <c r="Q52" s="129">
        <v>45820.625</v>
      </c>
      <c r="R52" s="54">
        <v>57.642000000000003</v>
      </c>
    </row>
    <row r="53" spans="2:18" x14ac:dyDescent="0.3">
      <c r="B53" s="58"/>
      <c r="C53" s="58"/>
      <c r="D53" s="58"/>
      <c r="M53" s="129">
        <v>45821.625</v>
      </c>
      <c r="N53" s="54">
        <v>45.863999999999997</v>
      </c>
      <c r="O53" s="129">
        <v>45896.625</v>
      </c>
      <c r="P53" s="54">
        <v>33.249000000000002</v>
      </c>
      <c r="Q53" s="129">
        <v>45821.625</v>
      </c>
      <c r="R53" s="54">
        <v>58.883000000000003</v>
      </c>
    </row>
    <row r="54" spans="2:18" x14ac:dyDescent="0.3">
      <c r="B54" s="58"/>
      <c r="C54" s="58"/>
      <c r="D54" s="58"/>
      <c r="M54" s="129">
        <v>45824.625</v>
      </c>
      <c r="N54" s="54">
        <v>44.610999999999997</v>
      </c>
      <c r="O54" s="129">
        <v>45897.625</v>
      </c>
      <c r="P54" s="54">
        <v>33.628</v>
      </c>
      <c r="Q54" s="129">
        <v>45824.625</v>
      </c>
      <c r="R54" s="54">
        <v>58.064</v>
      </c>
    </row>
    <row r="55" spans="2:18" x14ac:dyDescent="0.3">
      <c r="B55" s="58"/>
      <c r="C55" s="58"/>
      <c r="D55" s="58"/>
      <c r="M55" s="129">
        <v>45825.625</v>
      </c>
      <c r="N55" s="54">
        <v>45.368000000000002</v>
      </c>
      <c r="O55" s="129">
        <v>45901.625</v>
      </c>
      <c r="P55" s="54">
        <v>34.606000000000002</v>
      </c>
      <c r="Q55" s="129">
        <v>45825.625</v>
      </c>
      <c r="R55" s="54">
        <v>57.911999999999999</v>
      </c>
    </row>
    <row r="56" spans="2:18" x14ac:dyDescent="0.3">
      <c r="B56" s="58"/>
      <c r="C56" s="58"/>
      <c r="D56" s="58"/>
      <c r="M56" s="129">
        <v>45826.625</v>
      </c>
      <c r="N56" s="54">
        <v>46.523000000000003</v>
      </c>
      <c r="O56" s="129">
        <v>45902.625</v>
      </c>
      <c r="P56" s="54">
        <v>35.195</v>
      </c>
      <c r="Q56" s="129">
        <v>45826.625</v>
      </c>
      <c r="R56" s="54">
        <v>57.851999999999997</v>
      </c>
    </row>
    <row r="57" spans="2:18" x14ac:dyDescent="0.3">
      <c r="M57" s="129">
        <v>45827.625</v>
      </c>
      <c r="N57" s="54">
        <v>48.179000000000002</v>
      </c>
      <c r="O57" s="129">
        <v>45903.625</v>
      </c>
      <c r="P57" s="54">
        <v>35.161000000000001</v>
      </c>
      <c r="Q57" s="129">
        <v>45827.625</v>
      </c>
      <c r="R57" s="54">
        <v>59.573</v>
      </c>
    </row>
    <row r="58" spans="2:18" x14ac:dyDescent="0.3">
      <c r="M58" s="129">
        <v>45828.625</v>
      </c>
      <c r="N58" s="54">
        <v>47.363</v>
      </c>
      <c r="O58" s="129">
        <v>45904.625</v>
      </c>
      <c r="P58" s="54">
        <v>34.134999999999998</v>
      </c>
      <c r="Q58" s="129">
        <v>45828.625</v>
      </c>
      <c r="R58" s="54">
        <v>58.72</v>
      </c>
    </row>
    <row r="59" spans="2:18" x14ac:dyDescent="0.3">
      <c r="M59" s="129">
        <v>45831.625</v>
      </c>
      <c r="N59" s="54">
        <v>46.848999999999997</v>
      </c>
      <c r="O59" s="129">
        <v>45908.625</v>
      </c>
      <c r="P59" s="54">
        <v>34.101999999999997</v>
      </c>
      <c r="Q59" s="129">
        <v>45831.625</v>
      </c>
      <c r="R59" s="54">
        <v>58.292999999999999</v>
      </c>
    </row>
    <row r="60" spans="2:18" x14ac:dyDescent="0.3">
      <c r="M60" s="129">
        <v>45832.625</v>
      </c>
      <c r="N60" s="54">
        <v>44.784999999999997</v>
      </c>
      <c r="O60" s="129">
        <v>45909.625</v>
      </c>
      <c r="P60" s="54">
        <v>33.658999999999999</v>
      </c>
      <c r="Q60" s="129">
        <v>45832.625</v>
      </c>
      <c r="R60" s="54">
        <v>56.517000000000003</v>
      </c>
    </row>
    <row r="61" spans="2:18" x14ac:dyDescent="0.3">
      <c r="M61" s="129">
        <v>45833.625</v>
      </c>
      <c r="N61" s="54">
        <v>44.518999999999998</v>
      </c>
      <c r="O61" s="129">
        <v>45910.625</v>
      </c>
      <c r="P61" s="54">
        <v>33.450000000000003</v>
      </c>
      <c r="Q61" s="129">
        <v>45833.625</v>
      </c>
      <c r="R61" s="54">
        <v>56.24</v>
      </c>
    </row>
    <row r="62" spans="2:18" x14ac:dyDescent="0.3">
      <c r="M62" s="129">
        <v>45834.625</v>
      </c>
      <c r="N62" s="54">
        <v>44.546999999999997</v>
      </c>
      <c r="O62" s="129">
        <v>45911.625</v>
      </c>
      <c r="P62" s="54">
        <v>33.253</v>
      </c>
      <c r="Q62" s="129">
        <v>45834.625</v>
      </c>
      <c r="R62" s="54">
        <v>56.137</v>
      </c>
    </row>
    <row r="63" spans="2:18" x14ac:dyDescent="0.3">
      <c r="M63" s="129">
        <v>45835.625</v>
      </c>
      <c r="N63" s="54">
        <v>43.511000000000003</v>
      </c>
      <c r="O63" s="129">
        <v>45912.625</v>
      </c>
      <c r="P63" s="54">
        <v>33.185000000000002</v>
      </c>
      <c r="Q63" s="129">
        <v>45835.625</v>
      </c>
      <c r="R63" s="54">
        <v>55.307000000000002</v>
      </c>
    </row>
    <row r="64" spans="2:18" x14ac:dyDescent="0.3">
      <c r="M64" s="129">
        <v>45838.625</v>
      </c>
      <c r="N64" s="54">
        <v>43.36</v>
      </c>
      <c r="O64" s="129">
        <v>45915.625</v>
      </c>
      <c r="P64" s="54">
        <v>32.991</v>
      </c>
      <c r="Q64" s="129">
        <v>45838.625</v>
      </c>
      <c r="R64" s="54">
        <v>55.210999999999999</v>
      </c>
    </row>
    <row r="65" spans="13:18" x14ac:dyDescent="0.3">
      <c r="M65" s="129">
        <v>45839.625</v>
      </c>
      <c r="N65" s="54">
        <v>42.436</v>
      </c>
      <c r="O65" s="129">
        <v>45916.625</v>
      </c>
      <c r="P65" s="54">
        <v>33.220999999999997</v>
      </c>
      <c r="Q65" s="129">
        <v>45839.625</v>
      </c>
      <c r="R65" s="54">
        <v>54.709000000000003</v>
      </c>
    </row>
    <row r="66" spans="13:18" x14ac:dyDescent="0.3">
      <c r="M66" s="129">
        <v>45840.625</v>
      </c>
      <c r="N66" s="54">
        <v>41.960999999999999</v>
      </c>
      <c r="O66" s="129">
        <v>45917.625</v>
      </c>
      <c r="P66" s="54">
        <v>33.203000000000003</v>
      </c>
      <c r="Q66" s="129">
        <v>45840.625</v>
      </c>
      <c r="R66" s="54">
        <v>54.116999999999997</v>
      </c>
    </row>
    <row r="67" spans="13:18" x14ac:dyDescent="0.3">
      <c r="M67" s="129">
        <v>45841.625</v>
      </c>
      <c r="N67" s="54">
        <v>41.48</v>
      </c>
      <c r="O67" s="129">
        <v>45918.625</v>
      </c>
      <c r="P67" s="54">
        <v>32.850999999999999</v>
      </c>
      <c r="Q67" s="129">
        <v>45841.625</v>
      </c>
      <c r="R67" s="54">
        <v>54.017000000000003</v>
      </c>
    </row>
    <row r="68" spans="13:18" x14ac:dyDescent="0.3">
      <c r="M68" s="129">
        <v>45842.625</v>
      </c>
      <c r="N68" s="54">
        <v>41.780999999999999</v>
      </c>
      <c r="O68" s="129">
        <v>45919.625</v>
      </c>
      <c r="P68" s="54">
        <v>32.515999999999998</v>
      </c>
      <c r="Q68" s="129">
        <v>45842.625</v>
      </c>
      <c r="R68" s="54">
        <v>54.71</v>
      </c>
    </row>
    <row r="69" spans="13:18" x14ac:dyDescent="0.3">
      <c r="M69" s="129">
        <v>45845.625</v>
      </c>
      <c r="N69" s="54">
        <v>41.323</v>
      </c>
      <c r="O69" s="129">
        <v>45922.625</v>
      </c>
      <c r="P69" s="54">
        <v>35.517000000000003</v>
      </c>
      <c r="Q69" s="129">
        <v>45845.625</v>
      </c>
      <c r="R69" s="54">
        <v>54.939</v>
      </c>
    </row>
    <row r="70" spans="13:18" x14ac:dyDescent="0.3">
      <c r="M70" s="129">
        <v>45846.625</v>
      </c>
      <c r="N70" s="54">
        <v>41.024000000000001</v>
      </c>
      <c r="O70" s="129">
        <v>45923.625</v>
      </c>
      <c r="P70" s="54">
        <v>35.253</v>
      </c>
      <c r="Q70" s="129">
        <v>45846.625</v>
      </c>
      <c r="R70" s="54">
        <v>54.756</v>
      </c>
    </row>
    <row r="71" spans="13:18" x14ac:dyDescent="0.3">
      <c r="M71" s="129">
        <v>45847.625</v>
      </c>
      <c r="N71" s="54">
        <v>41.223999999999997</v>
      </c>
      <c r="O71" s="129">
        <v>45924.625</v>
      </c>
      <c r="P71" s="54">
        <v>35.186999999999998</v>
      </c>
      <c r="Q71" s="129">
        <v>45847.625</v>
      </c>
      <c r="R71" s="54">
        <v>54.945</v>
      </c>
    </row>
    <row r="72" spans="13:18" x14ac:dyDescent="0.3">
      <c r="M72" s="129">
        <v>45848.625</v>
      </c>
      <c r="N72" s="54">
        <v>40.31</v>
      </c>
      <c r="O72" s="129">
        <v>45925.625</v>
      </c>
      <c r="P72" s="54">
        <v>35.453000000000003</v>
      </c>
      <c r="Q72" s="129">
        <v>45848.625</v>
      </c>
      <c r="R72" s="54">
        <v>53.68</v>
      </c>
    </row>
    <row r="73" spans="13:18" x14ac:dyDescent="0.3">
      <c r="M73" s="129">
        <v>45849.625</v>
      </c>
      <c r="N73" s="54">
        <v>40.499000000000002</v>
      </c>
      <c r="O73" s="129">
        <v>45926.625</v>
      </c>
      <c r="P73" s="54">
        <v>35.406999999999996</v>
      </c>
      <c r="Q73" s="129">
        <v>45849.625</v>
      </c>
      <c r="R73" s="54">
        <v>55.517000000000003</v>
      </c>
    </row>
    <row r="74" spans="13:18" x14ac:dyDescent="0.3">
      <c r="M74" s="129">
        <v>45852.625</v>
      </c>
      <c r="N74" s="54">
        <v>41.247999999999998</v>
      </c>
      <c r="O74" s="129">
        <v>45929.625</v>
      </c>
      <c r="P74" s="54">
        <v>35.353000000000002</v>
      </c>
      <c r="Q74" s="129">
        <v>45852.625</v>
      </c>
      <c r="R74" s="54">
        <v>56.43</v>
      </c>
    </row>
    <row r="75" spans="13:18" x14ac:dyDescent="0.3">
      <c r="M75" s="129">
        <v>45853.625</v>
      </c>
      <c r="N75" s="54">
        <v>40.006</v>
      </c>
      <c r="O75" s="129">
        <v>45930.625</v>
      </c>
      <c r="P75" s="54">
        <v>35.423000000000002</v>
      </c>
      <c r="Q75" s="129">
        <v>45853.625</v>
      </c>
      <c r="R75" s="54">
        <v>55.691000000000003</v>
      </c>
    </row>
    <row r="76" spans="13:18" x14ac:dyDescent="0.3">
      <c r="M76" s="129">
        <v>45854.625</v>
      </c>
      <c r="N76" s="54">
        <v>40.494999999999997</v>
      </c>
      <c r="O76" s="129">
        <v>45931.625</v>
      </c>
      <c r="P76" s="54">
        <v>34.911999999999999</v>
      </c>
      <c r="Q76" s="129">
        <v>45854.625</v>
      </c>
      <c r="R76" s="54">
        <v>56.423999999999999</v>
      </c>
    </row>
    <row r="77" spans="13:18" x14ac:dyDescent="0.3">
      <c r="M77" s="129">
        <v>45855.625</v>
      </c>
      <c r="N77" s="54">
        <v>39.448999999999998</v>
      </c>
      <c r="O77" s="129">
        <v>45932.625</v>
      </c>
      <c r="P77" s="54">
        <v>33.39</v>
      </c>
      <c r="Q77" s="129">
        <v>45855.625</v>
      </c>
      <c r="R77" s="54">
        <v>56.11</v>
      </c>
    </row>
    <row r="78" spans="13:18" x14ac:dyDescent="0.3">
      <c r="M78" s="129">
        <v>45856.625</v>
      </c>
      <c r="N78" s="54">
        <v>39.037999999999997</v>
      </c>
      <c r="O78" s="129">
        <v>45933.625</v>
      </c>
      <c r="P78" s="54">
        <v>33.387</v>
      </c>
      <c r="Q78" s="129">
        <v>45856.625</v>
      </c>
      <c r="R78" s="54">
        <v>56.037999999999997</v>
      </c>
    </row>
    <row r="79" spans="13:18" x14ac:dyDescent="0.3">
      <c r="M79" s="129">
        <v>45859.625</v>
      </c>
      <c r="N79" s="54">
        <v>38.61</v>
      </c>
      <c r="O79" s="129">
        <v>45936.625</v>
      </c>
      <c r="P79" s="54">
        <v>34.415999999999997</v>
      </c>
      <c r="Q79" s="129">
        <v>45859.625</v>
      </c>
      <c r="R79" s="54">
        <v>56.106000000000002</v>
      </c>
    </row>
    <row r="80" spans="13:18" x14ac:dyDescent="0.3">
      <c r="M80" s="129">
        <v>45860.625</v>
      </c>
      <c r="N80" s="54">
        <v>39.155999999999999</v>
      </c>
      <c r="O80" s="129">
        <v>45937.625</v>
      </c>
      <c r="P80" s="54">
        <v>34.781999999999996</v>
      </c>
      <c r="Q80" s="129">
        <v>45860.625</v>
      </c>
      <c r="R80" s="54">
        <v>56.417999999999999</v>
      </c>
    </row>
    <row r="81" spans="13:18" x14ac:dyDescent="0.3">
      <c r="M81" s="129">
        <v>45861.625</v>
      </c>
      <c r="N81" s="54">
        <v>38.594000000000001</v>
      </c>
      <c r="O81" s="129">
        <v>45938.625</v>
      </c>
      <c r="P81" s="54">
        <v>35.098999999999997</v>
      </c>
      <c r="Q81" s="129">
        <v>45861.625</v>
      </c>
      <c r="R81" s="54">
        <v>56.917000000000002</v>
      </c>
    </row>
    <row r="82" spans="13:18" x14ac:dyDescent="0.3">
      <c r="M82" s="129">
        <v>45862.625</v>
      </c>
      <c r="N82" s="54">
        <v>37.491999999999997</v>
      </c>
      <c r="O82" s="129">
        <v>45939.625</v>
      </c>
      <c r="P82" s="54">
        <v>34.442</v>
      </c>
      <c r="Q82" s="129">
        <v>45862.625</v>
      </c>
      <c r="R82" s="54">
        <v>56.223999999999997</v>
      </c>
    </row>
    <row r="83" spans="13:18" x14ac:dyDescent="0.3">
      <c r="M83" s="129">
        <v>45863.625</v>
      </c>
      <c r="N83" s="54">
        <v>37.991999999999997</v>
      </c>
      <c r="O83" s="129">
        <v>45940.625</v>
      </c>
      <c r="P83" s="54">
        <v>34.442</v>
      </c>
      <c r="Q83" s="129">
        <v>45863.625</v>
      </c>
      <c r="R83" s="54">
        <v>57.046999999999997</v>
      </c>
    </row>
    <row r="84" spans="13:18" x14ac:dyDescent="0.3">
      <c r="M84" s="129">
        <v>45866.625</v>
      </c>
      <c r="N84" s="54">
        <v>38.216000000000001</v>
      </c>
      <c r="O84" s="129">
        <v>45943.625</v>
      </c>
      <c r="P84" s="54">
        <v>36.572000000000003</v>
      </c>
      <c r="Q84" s="129">
        <v>45866.625</v>
      </c>
      <c r="R84" s="54">
        <v>57.008000000000003</v>
      </c>
    </row>
    <row r="85" spans="13:18" x14ac:dyDescent="0.3">
      <c r="M85" s="129">
        <v>45867.625</v>
      </c>
      <c r="N85" s="54">
        <v>39.076000000000001</v>
      </c>
      <c r="O85" s="129">
        <v>45944.625</v>
      </c>
      <c r="P85" s="54">
        <v>37.72</v>
      </c>
      <c r="Q85" s="129">
        <v>45867.625</v>
      </c>
      <c r="R85" s="54">
        <v>56.99</v>
      </c>
    </row>
    <row r="86" spans="13:18" x14ac:dyDescent="0.3">
      <c r="M86" s="129">
        <v>45868.625</v>
      </c>
      <c r="N86" s="54">
        <v>39.246000000000002</v>
      </c>
      <c r="O86" s="129">
        <v>45945.625</v>
      </c>
      <c r="P86" s="54">
        <v>35.18</v>
      </c>
      <c r="Q86" s="129">
        <v>45868.625</v>
      </c>
      <c r="R86" s="54">
        <v>56.664000000000001</v>
      </c>
    </row>
    <row r="87" spans="13:18" x14ac:dyDescent="0.3">
      <c r="M87" s="129">
        <v>45869.625</v>
      </c>
      <c r="N87" s="54">
        <v>40.393999999999998</v>
      </c>
      <c r="O87" s="129">
        <v>45946.625</v>
      </c>
      <c r="P87" s="54">
        <v>35.090000000000003</v>
      </c>
      <c r="Q87" s="129">
        <v>45869.625</v>
      </c>
      <c r="R87" s="54">
        <v>56.28</v>
      </c>
    </row>
    <row r="88" spans="13:18" x14ac:dyDescent="0.3">
      <c r="M88" s="129">
        <v>45870.625</v>
      </c>
      <c r="N88" s="54">
        <v>42.654000000000003</v>
      </c>
      <c r="Q88" s="129">
        <v>45870.625</v>
      </c>
      <c r="R88" s="54">
        <v>58.079000000000001</v>
      </c>
    </row>
    <row r="89" spans="13:18" x14ac:dyDescent="0.3">
      <c r="M89" s="129">
        <v>45873.625</v>
      </c>
      <c r="N89" s="54">
        <v>42.503999999999998</v>
      </c>
      <c r="Q89" s="129">
        <v>45873.625</v>
      </c>
      <c r="R89" s="54">
        <v>57.991</v>
      </c>
    </row>
    <row r="90" spans="13:18" x14ac:dyDescent="0.3">
      <c r="M90" s="129">
        <v>45874.625</v>
      </c>
      <c r="N90" s="54">
        <v>42.567999999999998</v>
      </c>
      <c r="Q90" s="129">
        <v>45874.625</v>
      </c>
      <c r="R90" s="54">
        <v>57.472999999999999</v>
      </c>
    </row>
    <row r="91" spans="13:18" x14ac:dyDescent="0.3">
      <c r="M91" s="129">
        <v>45875.625</v>
      </c>
      <c r="N91" s="54">
        <v>42.811</v>
      </c>
      <c r="Q91" s="129">
        <v>45875.625</v>
      </c>
      <c r="R91" s="54">
        <v>57.191000000000003</v>
      </c>
    </row>
    <row r="92" spans="13:18" x14ac:dyDescent="0.3">
      <c r="M92" s="129">
        <v>45876.625</v>
      </c>
      <c r="N92" s="54">
        <v>42.009</v>
      </c>
      <c r="Q92" s="129">
        <v>45876.625</v>
      </c>
      <c r="R92" s="54">
        <v>56.19</v>
      </c>
    </row>
    <row r="93" spans="13:18" x14ac:dyDescent="0.3">
      <c r="M93" s="129">
        <v>45877.625</v>
      </c>
      <c r="N93" s="54">
        <v>42.15</v>
      </c>
      <c r="Q93" s="129">
        <v>45877.625</v>
      </c>
      <c r="R93" s="54">
        <v>55.26</v>
      </c>
    </row>
    <row r="94" spans="13:18" x14ac:dyDescent="0.3">
      <c r="M94" s="129">
        <v>45880.625</v>
      </c>
      <c r="N94" s="54">
        <v>41.886000000000003</v>
      </c>
      <c r="Q94" s="129">
        <v>45880.625</v>
      </c>
      <c r="R94" s="54">
        <v>55.061999999999998</v>
      </c>
    </row>
    <row r="95" spans="13:18" x14ac:dyDescent="0.3">
      <c r="M95" s="129">
        <v>45881.625</v>
      </c>
      <c r="N95" s="54">
        <v>42.012</v>
      </c>
      <c r="Q95" s="129">
        <v>45881.625</v>
      </c>
      <c r="R95" s="54">
        <v>54.386000000000003</v>
      </c>
    </row>
    <row r="96" spans="13:18" x14ac:dyDescent="0.3">
      <c r="M96" s="129">
        <v>45882.625</v>
      </c>
      <c r="N96" s="54">
        <v>41.433999999999997</v>
      </c>
      <c r="Q96" s="129">
        <v>45882.625</v>
      </c>
      <c r="R96" s="54">
        <v>53.500999999999998</v>
      </c>
    </row>
    <row r="97" spans="13:18" x14ac:dyDescent="0.3">
      <c r="M97" s="129">
        <v>45883.625</v>
      </c>
      <c r="N97" s="54">
        <v>40.765000000000001</v>
      </c>
      <c r="Q97" s="129">
        <v>45883.625</v>
      </c>
      <c r="R97" s="54">
        <v>52.978000000000002</v>
      </c>
    </row>
    <row r="98" spans="13:18" x14ac:dyDescent="0.3">
      <c r="M98" s="129">
        <v>45884.625</v>
      </c>
      <c r="N98" s="54">
        <v>40.72</v>
      </c>
      <c r="Q98" s="129">
        <v>45884.625</v>
      </c>
      <c r="R98" s="54">
        <v>52.999000000000002</v>
      </c>
    </row>
    <row r="99" spans="13:18" x14ac:dyDescent="0.3">
      <c r="M99" s="129">
        <v>45887.625</v>
      </c>
      <c r="N99" s="54">
        <v>40.914999999999999</v>
      </c>
      <c r="Q99" s="129">
        <v>45887.625</v>
      </c>
      <c r="R99" s="54">
        <v>53.317</v>
      </c>
    </row>
    <row r="100" spans="13:18" x14ac:dyDescent="0.3">
      <c r="M100" s="129">
        <v>45888.625</v>
      </c>
      <c r="N100" s="54">
        <v>41.639000000000003</v>
      </c>
      <c r="Q100" s="129">
        <v>45888.625</v>
      </c>
      <c r="R100" s="54">
        <v>53.121000000000002</v>
      </c>
    </row>
    <row r="101" spans="13:18" x14ac:dyDescent="0.3">
      <c r="M101" s="129">
        <v>45889.625</v>
      </c>
      <c r="N101" s="54">
        <v>42.988999999999997</v>
      </c>
      <c r="Q101" s="129">
        <v>45889.625</v>
      </c>
      <c r="R101" s="54">
        <v>53.008000000000003</v>
      </c>
    </row>
    <row r="102" spans="13:18" x14ac:dyDescent="0.3">
      <c r="M102" s="129">
        <v>45890.625</v>
      </c>
      <c r="N102" s="54">
        <v>42.866999999999997</v>
      </c>
      <c r="Q102" s="129">
        <v>45890.625</v>
      </c>
      <c r="R102" s="54">
        <v>53.393000000000001</v>
      </c>
    </row>
    <row r="103" spans="13:18" x14ac:dyDescent="0.3">
      <c r="M103" s="129">
        <v>45891.625</v>
      </c>
      <c r="N103" s="54">
        <v>43.009</v>
      </c>
      <c r="Q103" s="129">
        <v>45891.625</v>
      </c>
      <c r="R103" s="54">
        <v>53.387</v>
      </c>
    </row>
    <row r="104" spans="13:18" x14ac:dyDescent="0.3">
      <c r="M104" s="129">
        <v>45894.625</v>
      </c>
      <c r="N104" s="54">
        <v>42.521999999999998</v>
      </c>
      <c r="Q104" s="129">
        <v>45894.625</v>
      </c>
      <c r="R104" s="54">
        <v>52.463999999999999</v>
      </c>
    </row>
    <row r="105" spans="13:18" x14ac:dyDescent="0.3">
      <c r="M105" s="129">
        <v>45895.625</v>
      </c>
      <c r="N105" s="54">
        <v>43.627000000000002</v>
      </c>
      <c r="Q105" s="129">
        <v>45895.625</v>
      </c>
      <c r="R105" s="54">
        <v>53.911999999999999</v>
      </c>
    </row>
    <row r="106" spans="13:18" x14ac:dyDescent="0.3">
      <c r="M106" s="129">
        <v>45896.625</v>
      </c>
      <c r="N106" s="54">
        <v>43.198999999999998</v>
      </c>
      <c r="Q106" s="129">
        <v>45896.625</v>
      </c>
      <c r="R106" s="54">
        <v>53.225000000000001</v>
      </c>
    </row>
    <row r="107" spans="13:18" x14ac:dyDescent="0.3">
      <c r="M107" s="129">
        <v>45897.625</v>
      </c>
      <c r="N107" s="54">
        <v>43.302999999999997</v>
      </c>
      <c r="Q107" s="129">
        <v>45897.625</v>
      </c>
      <c r="R107" s="54">
        <v>54.14</v>
      </c>
    </row>
    <row r="108" spans="13:18" x14ac:dyDescent="0.3">
      <c r="M108" s="129">
        <v>45898.625</v>
      </c>
      <c r="N108" s="54">
        <v>43.933</v>
      </c>
      <c r="Q108" s="129">
        <v>45898.625</v>
      </c>
      <c r="R108" s="54">
        <v>54.610999999999997</v>
      </c>
    </row>
    <row r="109" spans="13:18" x14ac:dyDescent="0.3">
      <c r="M109" s="129">
        <v>45901.625</v>
      </c>
      <c r="N109" s="54">
        <v>43.805</v>
      </c>
      <c r="Q109" s="129">
        <v>45901.625</v>
      </c>
      <c r="R109" s="54">
        <v>54.036999999999999</v>
      </c>
    </row>
    <row r="110" spans="13:18" x14ac:dyDescent="0.3">
      <c r="M110" s="129">
        <v>45902.625</v>
      </c>
      <c r="N110" s="54">
        <v>44.895000000000003</v>
      </c>
      <c r="Q110" s="129">
        <v>45902.625</v>
      </c>
      <c r="R110" s="54">
        <v>54.703000000000003</v>
      </c>
    </row>
    <row r="111" spans="13:18" x14ac:dyDescent="0.3">
      <c r="M111" s="129">
        <v>45903.625</v>
      </c>
      <c r="N111" s="54">
        <v>44.619</v>
      </c>
      <c r="Q111" s="129">
        <v>45903.625</v>
      </c>
      <c r="R111" s="54">
        <v>54.1</v>
      </c>
    </row>
    <row r="112" spans="13:18" x14ac:dyDescent="0.3">
      <c r="M112" s="129">
        <v>45904.625</v>
      </c>
      <c r="N112" s="54">
        <v>43.335000000000001</v>
      </c>
      <c r="Q112" s="129">
        <v>45904.625</v>
      </c>
      <c r="R112" s="54">
        <v>53.344000000000001</v>
      </c>
    </row>
    <row r="113" spans="13:18" x14ac:dyDescent="0.3">
      <c r="M113" s="129">
        <v>45905.625</v>
      </c>
      <c r="N113" s="54">
        <v>43.165999999999997</v>
      </c>
      <c r="Q113" s="129">
        <v>45905.625</v>
      </c>
      <c r="R113" s="54">
        <v>51.8</v>
      </c>
    </row>
    <row r="114" spans="13:18" x14ac:dyDescent="0.3">
      <c r="M114" s="129">
        <v>45908.625</v>
      </c>
      <c r="N114" s="54">
        <v>42.848999999999997</v>
      </c>
      <c r="Q114" s="129">
        <v>45908.625</v>
      </c>
      <c r="R114" s="54">
        <v>51.392000000000003</v>
      </c>
    </row>
    <row r="115" spans="13:18" x14ac:dyDescent="0.3">
      <c r="M115" s="129">
        <v>45909.625</v>
      </c>
      <c r="N115" s="54">
        <v>42.512</v>
      </c>
      <c r="Q115" s="129">
        <v>45909.625</v>
      </c>
      <c r="R115" s="54">
        <v>50.817</v>
      </c>
    </row>
    <row r="116" spans="13:18" x14ac:dyDescent="0.3">
      <c r="M116" s="129">
        <v>45910.625</v>
      </c>
      <c r="N116" s="54">
        <v>42.311999999999998</v>
      </c>
      <c r="Q116" s="129">
        <v>45910.625</v>
      </c>
      <c r="R116" s="54">
        <v>49.832999999999998</v>
      </c>
    </row>
    <row r="117" spans="13:18" x14ac:dyDescent="0.3">
      <c r="M117" s="129">
        <v>45911.625</v>
      </c>
      <c r="N117" s="54">
        <v>42.148000000000003</v>
      </c>
      <c r="Q117" s="129">
        <v>45911.625</v>
      </c>
      <c r="R117" s="54">
        <v>49.048999999999999</v>
      </c>
    </row>
    <row r="118" spans="13:18" x14ac:dyDescent="0.3">
      <c r="M118" s="129">
        <v>45912.625</v>
      </c>
      <c r="N118" s="54">
        <v>42.167000000000002</v>
      </c>
      <c r="Q118" s="129">
        <v>45912.625</v>
      </c>
      <c r="R118" s="54">
        <v>48.445999999999998</v>
      </c>
    </row>
    <row r="119" spans="13:18" x14ac:dyDescent="0.3">
      <c r="M119" s="129">
        <v>45915.625</v>
      </c>
      <c r="N119" s="54">
        <v>41.593000000000004</v>
      </c>
      <c r="Q119" s="129">
        <v>45915.625</v>
      </c>
      <c r="R119" s="54">
        <v>48.027999999999999</v>
      </c>
    </row>
    <row r="120" spans="13:18" x14ac:dyDescent="0.3">
      <c r="M120" s="129">
        <v>45916.625</v>
      </c>
      <c r="N120" s="54">
        <v>41.957999999999998</v>
      </c>
      <c r="Q120" s="129">
        <v>45916.625</v>
      </c>
      <c r="R120" s="54">
        <v>46.912999999999997</v>
      </c>
    </row>
    <row r="121" spans="13:18" x14ac:dyDescent="0.3">
      <c r="M121" s="129">
        <v>45917.625</v>
      </c>
      <c r="N121" s="54">
        <v>42.527000000000001</v>
      </c>
      <c r="Q121" s="129">
        <v>45917.625</v>
      </c>
      <c r="R121" s="54">
        <v>47.116</v>
      </c>
    </row>
    <row r="122" spans="13:18" x14ac:dyDescent="0.3">
      <c r="M122" s="129">
        <v>45918.625</v>
      </c>
      <c r="N122" s="54">
        <v>42.009</v>
      </c>
      <c r="Q122" s="129">
        <v>45918.625</v>
      </c>
      <c r="R122" s="54">
        <v>46.26</v>
      </c>
    </row>
    <row r="123" spans="13:18" x14ac:dyDescent="0.3">
      <c r="M123" s="129">
        <v>45919.625</v>
      </c>
      <c r="N123" s="54">
        <v>41.935000000000002</v>
      </c>
      <c r="Q123" s="129">
        <v>45919.625</v>
      </c>
      <c r="R123" s="54">
        <v>45.433</v>
      </c>
    </row>
    <row r="124" spans="13:18" x14ac:dyDescent="0.3">
      <c r="M124" s="129">
        <v>45922.625</v>
      </c>
      <c r="N124" s="54">
        <v>46.195</v>
      </c>
      <c r="Q124" s="129">
        <v>45922.625</v>
      </c>
      <c r="R124" s="54">
        <v>50.432000000000002</v>
      </c>
    </row>
    <row r="125" spans="13:18" x14ac:dyDescent="0.3">
      <c r="M125" s="129">
        <v>45923.625</v>
      </c>
      <c r="N125" s="54">
        <v>45.677999999999997</v>
      </c>
      <c r="Q125" s="129">
        <v>45923.625</v>
      </c>
      <c r="R125" s="54">
        <v>49.762999999999998</v>
      </c>
    </row>
    <row r="126" spans="13:18" x14ac:dyDescent="0.3">
      <c r="M126" s="129">
        <v>45924.625</v>
      </c>
      <c r="N126" s="54">
        <v>45.94</v>
      </c>
      <c r="Q126" s="129">
        <v>45924.625</v>
      </c>
      <c r="R126" s="54">
        <v>49.73</v>
      </c>
    </row>
    <row r="127" spans="13:18" x14ac:dyDescent="0.3">
      <c r="M127" s="129">
        <v>45925.625</v>
      </c>
      <c r="N127" s="54">
        <v>46.070999999999998</v>
      </c>
      <c r="Q127" s="129">
        <v>45925.625</v>
      </c>
      <c r="R127" s="54">
        <v>49.83</v>
      </c>
    </row>
    <row r="128" spans="13:18" x14ac:dyDescent="0.3">
      <c r="M128" s="129">
        <v>45926.625</v>
      </c>
      <c r="N128" s="54">
        <v>45.92</v>
      </c>
      <c r="Q128" s="129">
        <v>45926.625</v>
      </c>
      <c r="R128" s="54">
        <v>49.52</v>
      </c>
    </row>
    <row r="129" spans="13:18" x14ac:dyDescent="0.3">
      <c r="M129" s="129">
        <v>45929.625</v>
      </c>
      <c r="N129" s="54">
        <v>45.886000000000003</v>
      </c>
      <c r="Q129" s="129">
        <v>45929.625</v>
      </c>
      <c r="R129" s="54">
        <v>48.94</v>
      </c>
    </row>
    <row r="130" spans="13:18" x14ac:dyDescent="0.3">
      <c r="M130" s="129">
        <v>45930.625</v>
      </c>
      <c r="N130" s="54">
        <v>46.996000000000002</v>
      </c>
      <c r="Q130" s="129">
        <v>45930.625</v>
      </c>
      <c r="R130" s="54">
        <v>49.445</v>
      </c>
    </row>
    <row r="131" spans="13:18" x14ac:dyDescent="0.3">
      <c r="M131" s="129">
        <v>45931.625</v>
      </c>
      <c r="N131" s="54">
        <v>46.935000000000002</v>
      </c>
      <c r="Q131" s="129">
        <v>45931.625</v>
      </c>
      <c r="R131" s="54">
        <v>49.313000000000002</v>
      </c>
    </row>
    <row r="132" spans="13:18" x14ac:dyDescent="0.3">
      <c r="M132" s="129">
        <v>45932.625</v>
      </c>
      <c r="N132" s="54">
        <v>46.104999999999997</v>
      </c>
      <c r="Q132" s="129">
        <v>45932.625</v>
      </c>
      <c r="R132" s="54">
        <v>49.113999999999997</v>
      </c>
    </row>
    <row r="133" spans="13:18" x14ac:dyDescent="0.3">
      <c r="M133" s="129">
        <v>45933.625</v>
      </c>
      <c r="N133" s="54">
        <v>46.1</v>
      </c>
      <c r="Q133" s="129">
        <v>45933.625</v>
      </c>
      <c r="R133" s="54">
        <v>47.597000000000001</v>
      </c>
    </row>
    <row r="134" spans="13:18" x14ac:dyDescent="0.3">
      <c r="M134" s="129">
        <v>45936.625</v>
      </c>
      <c r="N134" s="54">
        <v>46.697000000000003</v>
      </c>
      <c r="Q134" s="129">
        <v>45936.625</v>
      </c>
      <c r="R134" s="54">
        <v>49.274000000000001</v>
      </c>
    </row>
    <row r="135" spans="13:18" x14ac:dyDescent="0.3">
      <c r="M135" s="129">
        <v>45937.625</v>
      </c>
      <c r="N135" s="54">
        <v>46.832000000000001</v>
      </c>
      <c r="Q135" s="129">
        <v>45937.625</v>
      </c>
      <c r="R135" s="54">
        <v>49.777999999999999</v>
      </c>
    </row>
    <row r="136" spans="13:18" x14ac:dyDescent="0.3">
      <c r="M136" s="129">
        <v>45938.625</v>
      </c>
      <c r="N136" s="54">
        <v>47.168999999999997</v>
      </c>
      <c r="Q136" s="129">
        <v>45938.625</v>
      </c>
      <c r="R136" s="54">
        <v>49.825000000000003</v>
      </c>
    </row>
    <row r="137" spans="13:18" x14ac:dyDescent="0.3">
      <c r="M137" s="129">
        <v>45939.625</v>
      </c>
      <c r="N137" s="54">
        <v>46.902000000000001</v>
      </c>
      <c r="Q137" s="129">
        <v>45939.625</v>
      </c>
      <c r="R137" s="54">
        <v>50.210999999999999</v>
      </c>
    </row>
    <row r="138" spans="13:18" x14ac:dyDescent="0.3">
      <c r="M138" s="129">
        <v>45940.625</v>
      </c>
      <c r="N138" s="54">
        <v>48.610999999999997</v>
      </c>
      <c r="Q138" s="129">
        <v>45940.625</v>
      </c>
      <c r="R138" s="54">
        <v>50.311</v>
      </c>
    </row>
    <row r="139" spans="13:18" x14ac:dyDescent="0.3">
      <c r="M139" s="129">
        <v>45943.625</v>
      </c>
      <c r="N139" s="54">
        <v>50.231000000000002</v>
      </c>
      <c r="Q139" s="129">
        <v>45943.625</v>
      </c>
      <c r="R139" s="54">
        <v>51.667000000000002</v>
      </c>
    </row>
    <row r="140" spans="13:18" x14ac:dyDescent="0.3">
      <c r="M140" s="129">
        <v>45944.625</v>
      </c>
      <c r="N140" s="54">
        <v>50.671999999999997</v>
      </c>
      <c r="Q140" s="129">
        <v>45944.625</v>
      </c>
      <c r="R140" s="54">
        <v>53.13</v>
      </c>
    </row>
    <row r="141" spans="13:18" x14ac:dyDescent="0.3">
      <c r="M141" s="129">
        <v>45945.625</v>
      </c>
      <c r="N141" s="54">
        <v>47.665999999999997</v>
      </c>
      <c r="Q141" s="129">
        <v>45945.625</v>
      </c>
      <c r="R141" s="54">
        <v>50.527999999999999</v>
      </c>
    </row>
    <row r="142" spans="13:18" x14ac:dyDescent="0.3">
      <c r="M142" s="129">
        <v>45946.625</v>
      </c>
      <c r="N142" s="54">
        <v>47.408999999999999</v>
      </c>
      <c r="Q142" s="129">
        <v>45946.625</v>
      </c>
      <c r="R142" s="54">
        <v>50.088999999999999</v>
      </c>
    </row>
  </sheetData>
  <mergeCells count="3">
    <mergeCell ref="H12:J12"/>
    <mergeCell ref="B12:D12"/>
    <mergeCell ref="E12:G12"/>
  </mergeCells>
  <conditionalFormatting sqref="R1:R7 K8:K1048576">
    <cfRule type="cellIs" dxfId="12" priority="1" operator="lessThan">
      <formula>0</formula>
    </cfRule>
  </conditionalFormatting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48B78D-6B56-41EA-B5B5-A7E5C4EDD0A1}">
  <dimension ref="A1:M142"/>
  <sheetViews>
    <sheetView zoomScale="80" zoomScaleNormal="80" workbookViewId="0"/>
  </sheetViews>
  <sheetFormatPr defaultColWidth="8.88671875" defaultRowHeight="14.4" x14ac:dyDescent="0.3"/>
  <cols>
    <col min="1" max="1" width="15.44140625" style="3" bestFit="1" customWidth="1"/>
    <col min="2" max="4" width="16.88671875" style="3" customWidth="1"/>
    <col min="5" max="5" width="24.6640625" style="3" bestFit="1" customWidth="1"/>
    <col min="6" max="6" width="10.44140625" style="3" bestFit="1" customWidth="1"/>
    <col min="7" max="7" width="10.5546875" style="3" bestFit="1" customWidth="1"/>
    <col min="8" max="8" width="11" style="3" bestFit="1" customWidth="1"/>
    <col min="9" max="9" width="10.6640625" style="3" bestFit="1" customWidth="1"/>
    <col min="10" max="10" width="15.6640625" style="3" hidden="1" customWidth="1"/>
    <col min="11" max="11" width="8.88671875" style="3" hidden="1" customWidth="1"/>
    <col min="12" max="12" width="15.6640625" style="3" hidden="1" customWidth="1"/>
    <col min="13" max="13" width="8.88671875" style="3" hidden="1" customWidth="1"/>
    <col min="14" max="16384" width="8.88671875" style="3"/>
  </cols>
  <sheetData>
    <row r="1" spans="1:13" ht="15" thickBot="1" x14ac:dyDescent="0.35">
      <c r="A1" s="1"/>
      <c r="B1" s="1"/>
      <c r="C1" s="1"/>
      <c r="D1" s="1"/>
      <c r="I1" s="1"/>
      <c r="J1" s="53"/>
      <c r="L1" s="1"/>
      <c r="M1" s="1"/>
    </row>
    <row r="2" spans="1:13" ht="15" thickBot="1" x14ac:dyDescent="0.35">
      <c r="A2" s="30"/>
      <c r="B2" s="40" t="s">
        <v>0</v>
      </c>
      <c r="C2" s="28" t="s">
        <v>1</v>
      </c>
      <c r="E2" s="127" t="s">
        <v>101</v>
      </c>
      <c r="F2" s="128">
        <v>0.625</v>
      </c>
      <c r="J2" s="27" t="s">
        <v>0</v>
      </c>
      <c r="K2" s="1"/>
      <c r="L2" s="28" t="s">
        <v>1</v>
      </c>
      <c r="M2" s="2"/>
    </row>
    <row r="3" spans="1:13" x14ac:dyDescent="0.3">
      <c r="A3" s="15" t="s">
        <v>32</v>
      </c>
      <c r="B3" s="1" t="s">
        <v>36</v>
      </c>
      <c r="C3" s="5" t="s">
        <v>37</v>
      </c>
      <c r="J3" s="126" cm="1">
        <f t="array" ref="J3:K142">_xll.BDH(B4, "LAST_PRICE", "01/01/2025 15:00:00", "01/01/2035 16:00:00", "BarSize=60", "BarType=T", "RecurDaily=True", "TZ=London")</f>
        <v>45751.625</v>
      </c>
      <c r="K3" s="1">
        <v>68.006</v>
      </c>
      <c r="L3" s="126" cm="1">
        <f t="array" ref="L3:M142">_xll.BDH(C4, "LAST_PRICE", "01/01/2025 15:00:00", "01/01/2035 16:00:00", "BarSize=60", "BarType=T", "RecurDaily=True", "TZ=London")</f>
        <v>45751.625</v>
      </c>
      <c r="M3" s="46">
        <v>60.997</v>
      </c>
    </row>
    <row r="4" spans="1:13" ht="32.25" customHeight="1" x14ac:dyDescent="0.3">
      <c r="A4" s="15" t="s">
        <v>33</v>
      </c>
      <c r="B4" s="41" t="s">
        <v>38</v>
      </c>
      <c r="C4" s="42" t="s">
        <v>39</v>
      </c>
      <c r="I4" s="1"/>
      <c r="J4" s="130">
        <v>45754.625</v>
      </c>
      <c r="K4" s="1">
        <v>75.381</v>
      </c>
      <c r="L4" s="130">
        <v>45754.625</v>
      </c>
      <c r="M4" s="1">
        <v>66.171999999999997</v>
      </c>
    </row>
    <row r="5" spans="1:13" x14ac:dyDescent="0.3">
      <c r="A5" s="15" t="s">
        <v>8</v>
      </c>
      <c r="B5" s="7">
        <f>20*10^6</f>
        <v>20000000</v>
      </c>
      <c r="C5" s="8">
        <f>28*10^6</f>
        <v>28000000</v>
      </c>
      <c r="I5" s="1"/>
      <c r="J5" s="130">
        <v>45755.625</v>
      </c>
      <c r="K5" s="1">
        <v>73.911000000000001</v>
      </c>
      <c r="L5" s="130">
        <v>45755.625</v>
      </c>
      <c r="M5" s="1">
        <v>64.888000000000005</v>
      </c>
    </row>
    <row r="6" spans="1:13" x14ac:dyDescent="0.3">
      <c r="A6" s="15" t="s">
        <v>10</v>
      </c>
      <c r="B6" s="9">
        <v>0.01</v>
      </c>
      <c r="C6" s="43">
        <v>0.01</v>
      </c>
      <c r="I6" s="1"/>
      <c r="J6" s="130">
        <v>45756.625</v>
      </c>
      <c r="K6" s="1">
        <v>80.438999999999993</v>
      </c>
      <c r="L6" s="130">
        <v>45756.625</v>
      </c>
      <c r="M6" s="1">
        <v>69.603999999999999</v>
      </c>
    </row>
    <row r="7" spans="1:13" x14ac:dyDescent="0.3">
      <c r="A7" s="15" t="s">
        <v>12</v>
      </c>
      <c r="B7" s="9">
        <v>0</v>
      </c>
      <c r="C7" s="43">
        <v>0</v>
      </c>
      <c r="I7" s="1"/>
      <c r="J7" s="130">
        <v>45757.625</v>
      </c>
      <c r="K7" s="1">
        <v>70.930999999999997</v>
      </c>
      <c r="L7" s="130">
        <v>45757.625</v>
      </c>
      <c r="M7" s="1">
        <v>61.728999999999999</v>
      </c>
    </row>
    <row r="8" spans="1:13" x14ac:dyDescent="0.3">
      <c r="A8" s="15" t="s">
        <v>14</v>
      </c>
      <c r="B8" s="1">
        <v>4.96</v>
      </c>
      <c r="C8" s="5">
        <v>5.03</v>
      </c>
      <c r="E8" s="1"/>
      <c r="F8" s="1"/>
      <c r="G8" s="1"/>
      <c r="H8" s="1"/>
      <c r="I8" s="1"/>
      <c r="J8" s="126">
        <v>45758.625</v>
      </c>
      <c r="K8" s="3">
        <v>73.141999999999996</v>
      </c>
      <c r="L8" s="126">
        <v>45758.625</v>
      </c>
      <c r="M8" s="3">
        <v>66.543999999999997</v>
      </c>
    </row>
    <row r="9" spans="1:13" x14ac:dyDescent="0.3">
      <c r="A9" s="15" t="s">
        <v>15</v>
      </c>
      <c r="B9" s="1" t="s">
        <v>23</v>
      </c>
      <c r="C9" s="5" t="s">
        <v>23</v>
      </c>
      <c r="E9" s="1"/>
      <c r="F9" s="1"/>
      <c r="G9" s="1"/>
      <c r="H9" s="1"/>
      <c r="I9" s="1"/>
      <c r="J9" s="126">
        <v>45761.625</v>
      </c>
      <c r="K9" s="3">
        <v>71.98</v>
      </c>
      <c r="L9" s="126">
        <v>45761.625</v>
      </c>
      <c r="M9" s="3">
        <v>65.197999999999993</v>
      </c>
    </row>
    <row r="10" spans="1:13" ht="15" thickBot="1" x14ac:dyDescent="0.35">
      <c r="A10" s="16" t="s">
        <v>28</v>
      </c>
      <c r="B10" s="21" cm="1">
        <f t="array" ref="B10">_xll.BDP(B4,"px_last")</f>
        <v>60.10136</v>
      </c>
      <c r="C10" s="22" cm="1">
        <f t="array" ref="C10">_xll.BDP(C4,"px_last")</f>
        <v>42.913670000000003</v>
      </c>
      <c r="E10" s="1"/>
      <c r="F10" s="1"/>
      <c r="G10" s="1"/>
      <c r="H10" s="1"/>
      <c r="I10" s="1"/>
      <c r="J10" s="126">
        <v>45762.625</v>
      </c>
      <c r="K10" s="3">
        <v>68.724000000000004</v>
      </c>
      <c r="L10" s="126">
        <v>45762.625</v>
      </c>
      <c r="M10" s="3">
        <v>61.610999999999997</v>
      </c>
    </row>
    <row r="11" spans="1:13" ht="15" thickBot="1" x14ac:dyDescent="0.35">
      <c r="C11" s="1"/>
      <c r="D11" s="1"/>
      <c r="E11" s="1"/>
      <c r="F11" s="1"/>
      <c r="G11" s="1"/>
      <c r="H11" s="1"/>
      <c r="I11" s="1"/>
      <c r="J11" s="126">
        <v>45763.625</v>
      </c>
      <c r="K11" s="3">
        <v>68.763000000000005</v>
      </c>
      <c r="L11" s="126">
        <v>45763.625</v>
      </c>
      <c r="M11" s="3">
        <v>62.048999999999999</v>
      </c>
    </row>
    <row r="12" spans="1:13" ht="15" thickBot="1" x14ac:dyDescent="0.35">
      <c r="A12" s="39" t="s">
        <v>22</v>
      </c>
      <c r="B12" s="135" t="s">
        <v>0</v>
      </c>
      <c r="C12" s="136"/>
      <c r="D12" s="137"/>
      <c r="E12" s="138" t="s">
        <v>1</v>
      </c>
      <c r="F12" s="139"/>
      <c r="G12" s="140"/>
      <c r="H12" s="39" t="s">
        <v>16</v>
      </c>
      <c r="I12" s="1"/>
      <c r="J12" s="126">
        <v>45764.625</v>
      </c>
      <c r="K12" s="3">
        <v>67.513999999999996</v>
      </c>
      <c r="L12" s="126">
        <v>45764.625</v>
      </c>
      <c r="M12" s="3">
        <v>60.872999999999998</v>
      </c>
    </row>
    <row r="13" spans="1:13" ht="15" thickBot="1" x14ac:dyDescent="0.35">
      <c r="A13" s="16"/>
      <c r="B13" s="11" t="s">
        <v>24</v>
      </c>
      <c r="C13" s="21" t="s">
        <v>19</v>
      </c>
      <c r="D13" s="22" t="s">
        <v>20</v>
      </c>
      <c r="E13" s="11" t="s">
        <v>24</v>
      </c>
      <c r="F13" s="21" t="s">
        <v>19</v>
      </c>
      <c r="G13" s="22" t="s">
        <v>20</v>
      </c>
      <c r="H13" s="97"/>
      <c r="I13" s="1"/>
      <c r="J13" s="126">
        <v>45765.625</v>
      </c>
      <c r="K13" s="3">
        <v>67.954999999999998</v>
      </c>
      <c r="L13" s="126">
        <v>45765.625</v>
      </c>
      <c r="M13" s="3">
        <v>61.368000000000002</v>
      </c>
    </row>
    <row r="14" spans="1:13" x14ac:dyDescent="0.3">
      <c r="A14" s="36">
        <v>45925</v>
      </c>
      <c r="B14" s="45">
        <v>57.5</v>
      </c>
      <c r="C14" s="46"/>
      <c r="D14" s="47"/>
      <c r="E14" s="4">
        <v>40</v>
      </c>
      <c r="F14" s="1"/>
      <c r="G14" s="5"/>
      <c r="H14" s="82">
        <v>0</v>
      </c>
      <c r="I14" s="1"/>
      <c r="J14" s="126">
        <v>45768.625</v>
      </c>
      <c r="K14" s="3">
        <v>68.281000000000006</v>
      </c>
      <c r="L14" s="126">
        <v>45768.625</v>
      </c>
      <c r="M14" s="3">
        <v>61.371000000000002</v>
      </c>
    </row>
    <row r="15" spans="1:13" x14ac:dyDescent="0.3">
      <c r="A15" s="36">
        <v>45926</v>
      </c>
      <c r="B15" s="45">
        <f>VLOOKUP(A15+$F$2,J:K,2)</f>
        <v>58.136000000000003</v>
      </c>
      <c r="C15" s="31">
        <f t="shared" ref="C15:C22" si="0">-1*(B15-$B$14)*10^-4*$B$8*$B$5</f>
        <v>-6309.1200000000281</v>
      </c>
      <c r="D15" s="32">
        <f t="shared" ref="D15:D22" si="1">$B$6*(A15-$A$14)/360*$B$5</f>
        <v>555.55555555555554</v>
      </c>
      <c r="E15" s="4">
        <f>VLOOKUP(A15+$F$2,L:M,2)</f>
        <v>40.026000000000003</v>
      </c>
      <c r="F15" s="31">
        <f t="shared" ref="F15:F22" si="2">-1*(E15-$E$14)*10^-4*$C$8*$C$5</f>
        <v>-366.18400000004726</v>
      </c>
      <c r="G15" s="32">
        <f t="shared" ref="G15:G20" si="3">$C$6*(A15-$A$14)/360*$C$5</f>
        <v>777.77777777777783</v>
      </c>
      <c r="H15" s="82">
        <f>C15+D15-F15-G15</f>
        <v>-6165.1582222222023</v>
      </c>
      <c r="I15" s="1"/>
      <c r="J15" s="126">
        <v>45769.625</v>
      </c>
      <c r="K15" s="3">
        <v>69.747</v>
      </c>
      <c r="L15" s="126">
        <v>45769.625</v>
      </c>
      <c r="M15" s="3">
        <v>61.530999999999999</v>
      </c>
    </row>
    <row r="16" spans="1:13" x14ac:dyDescent="0.3">
      <c r="A16" s="36">
        <v>45929</v>
      </c>
      <c r="B16" s="45">
        <f t="shared" ref="B16:B28" si="4">VLOOKUP(A16+$F$2,J:K,2)</f>
        <v>57.792000000000002</v>
      </c>
      <c r="C16" s="31">
        <f t="shared" si="0"/>
        <v>-2896.6400000000158</v>
      </c>
      <c r="D16" s="32">
        <f t="shared" si="1"/>
        <v>2222.2222222222222</v>
      </c>
      <c r="E16" s="4">
        <f t="shared" ref="E16:E28" si="5">VLOOKUP(A16+$F$2,L:M,2)</f>
        <v>39.997</v>
      </c>
      <c r="F16" s="31">
        <f t="shared" si="2"/>
        <v>42.252000000001601</v>
      </c>
      <c r="G16" s="32">
        <f t="shared" si="3"/>
        <v>3111.1111111111113</v>
      </c>
      <c r="H16" s="82">
        <f t="shared" ref="H16" si="6">C16+D16-F16-G16</f>
        <v>-3827.7808888889067</v>
      </c>
      <c r="I16" s="1"/>
      <c r="J16" s="126">
        <v>45770.625</v>
      </c>
      <c r="K16" s="3">
        <v>65.537999999999997</v>
      </c>
      <c r="L16" s="126">
        <v>45770.625</v>
      </c>
      <c r="M16" s="3">
        <v>57.609000000000002</v>
      </c>
    </row>
    <row r="17" spans="1:13" x14ac:dyDescent="0.3">
      <c r="A17" s="36">
        <v>45930</v>
      </c>
      <c r="B17" s="45">
        <f t="shared" si="4"/>
        <v>57.51</v>
      </c>
      <c r="C17" s="31">
        <f t="shared" si="0"/>
        <v>-99.199999999980264</v>
      </c>
      <c r="D17" s="32">
        <f t="shared" si="1"/>
        <v>2777.7777777777778</v>
      </c>
      <c r="E17" s="4">
        <f t="shared" si="5"/>
        <v>40.194000000000003</v>
      </c>
      <c r="F17" s="31">
        <f t="shared" si="2"/>
        <v>-2732.2960000000367</v>
      </c>
      <c r="G17" s="32">
        <f t="shared" si="3"/>
        <v>3888.8888888888887</v>
      </c>
      <c r="H17" s="82">
        <f t="shared" ref="H17:H18" si="7">C17+D17-F17-G17</f>
        <v>1521.9848888889455</v>
      </c>
      <c r="I17" s="1"/>
      <c r="J17" s="126">
        <v>45771.625</v>
      </c>
      <c r="K17" s="3">
        <v>63.646999999999998</v>
      </c>
      <c r="L17" s="126">
        <v>45771.625</v>
      </c>
      <c r="M17" s="3">
        <v>57.097999999999999</v>
      </c>
    </row>
    <row r="18" spans="1:13" x14ac:dyDescent="0.3">
      <c r="A18" s="36">
        <v>45931</v>
      </c>
      <c r="B18" s="45">
        <f t="shared" si="4"/>
        <v>57.616</v>
      </c>
      <c r="C18" s="31">
        <f t="shared" si="0"/>
        <v>-1150.7199999999968</v>
      </c>
      <c r="D18" s="32">
        <f t="shared" si="1"/>
        <v>3333.333333333333</v>
      </c>
      <c r="E18" s="4">
        <f t="shared" si="5"/>
        <v>40.406999999999996</v>
      </c>
      <c r="F18" s="31">
        <f t="shared" si="2"/>
        <v>-5732.1879999999501</v>
      </c>
      <c r="G18" s="32">
        <f t="shared" si="3"/>
        <v>4666.6666666666661</v>
      </c>
      <c r="H18" s="82">
        <f t="shared" si="7"/>
        <v>3248.1346666666204</v>
      </c>
      <c r="I18" s="1"/>
      <c r="J18" s="126">
        <v>45772.625</v>
      </c>
      <c r="K18" s="3">
        <v>62.796999999999997</v>
      </c>
      <c r="L18" s="126">
        <v>45772.625</v>
      </c>
      <c r="M18" s="3">
        <v>56.945999999999998</v>
      </c>
    </row>
    <row r="19" spans="1:13" x14ac:dyDescent="0.3">
      <c r="A19" s="36">
        <v>45932</v>
      </c>
      <c r="B19" s="45">
        <f t="shared" si="4"/>
        <v>57.011000000000003</v>
      </c>
      <c r="C19" s="31">
        <f t="shared" si="0"/>
        <v>4850.8799999999728</v>
      </c>
      <c r="D19" s="32">
        <f t="shared" si="1"/>
        <v>3888.8888888888891</v>
      </c>
      <c r="E19" s="4">
        <f t="shared" si="5"/>
        <v>39.887</v>
      </c>
      <c r="F19" s="31">
        <f t="shared" si="2"/>
        <v>1591.4919999999936</v>
      </c>
      <c r="G19" s="32">
        <f t="shared" si="3"/>
        <v>5444.4444444444453</v>
      </c>
      <c r="H19" s="82">
        <f t="shared" ref="H19" si="8">C19+D19-F19-G19</f>
        <v>1703.8324444444233</v>
      </c>
      <c r="I19" s="1"/>
      <c r="J19" s="126">
        <v>45775.625</v>
      </c>
      <c r="K19" s="3">
        <v>62.593000000000004</v>
      </c>
      <c r="L19" s="126">
        <v>45775.625</v>
      </c>
      <c r="M19" s="3">
        <v>55.893000000000001</v>
      </c>
    </row>
    <row r="20" spans="1:13" x14ac:dyDescent="0.3">
      <c r="A20" s="36">
        <v>45933</v>
      </c>
      <c r="B20" s="45">
        <f t="shared" si="4"/>
        <v>56.552</v>
      </c>
      <c r="C20" s="31">
        <f t="shared" si="0"/>
        <v>9404.1600000000053</v>
      </c>
      <c r="D20" s="32">
        <f t="shared" si="1"/>
        <v>4444.4444444444443</v>
      </c>
      <c r="E20" s="4">
        <f t="shared" si="5"/>
        <v>39.756999999999998</v>
      </c>
      <c r="F20" s="31">
        <f t="shared" si="2"/>
        <v>3422.4120000000298</v>
      </c>
      <c r="G20" s="32">
        <f t="shared" si="3"/>
        <v>6222.2222222222226</v>
      </c>
      <c r="H20" s="82">
        <f t="shared" ref="H20" si="9">C20+D20-F20-G20</f>
        <v>4203.9702222221968</v>
      </c>
      <c r="I20" s="1"/>
      <c r="J20" s="126">
        <v>45776.625</v>
      </c>
      <c r="K20" s="3">
        <v>62.488999999999997</v>
      </c>
      <c r="L20" s="126">
        <v>45776.625</v>
      </c>
      <c r="M20" s="3">
        <v>56.052</v>
      </c>
    </row>
    <row r="21" spans="1:13" x14ac:dyDescent="0.3">
      <c r="A21" s="36">
        <v>45936</v>
      </c>
      <c r="B21" s="45">
        <f t="shared" si="4"/>
        <v>57.633000000000003</v>
      </c>
      <c r="C21" s="31">
        <f t="shared" si="0"/>
        <v>-1319.3600000000265</v>
      </c>
      <c r="D21" s="32">
        <f t="shared" si="1"/>
        <v>6111.1111111111113</v>
      </c>
      <c r="E21" s="4">
        <f t="shared" si="5"/>
        <v>40.533999999999999</v>
      </c>
      <c r="F21" s="31">
        <f t="shared" si="2"/>
        <v>-7520.8559999999861</v>
      </c>
      <c r="G21" s="32">
        <f t="shared" ref="G21" si="10">$C$6*(A21-$A$14)/360*$C$5</f>
        <v>8555.5555555555547</v>
      </c>
      <c r="H21" s="82">
        <f t="shared" ref="H21" si="11">C21+D21-F21-G21</f>
        <v>3757.0515555555176</v>
      </c>
      <c r="I21" s="1"/>
      <c r="J21" s="126">
        <v>45777.625</v>
      </c>
      <c r="K21" s="3">
        <v>63.695</v>
      </c>
      <c r="L21" s="126">
        <v>45777.625</v>
      </c>
      <c r="M21" s="3">
        <v>57.515999999999998</v>
      </c>
    </row>
    <row r="22" spans="1:13" x14ac:dyDescent="0.3">
      <c r="A22" s="36">
        <v>45937</v>
      </c>
      <c r="B22" s="45">
        <f t="shared" si="4"/>
        <v>57.856000000000002</v>
      </c>
      <c r="C22" s="31">
        <f t="shared" si="0"/>
        <v>-3531.5200000000164</v>
      </c>
      <c r="D22" s="32">
        <f t="shared" si="1"/>
        <v>6666.6666666666661</v>
      </c>
      <c r="E22" s="4">
        <f t="shared" si="5"/>
        <v>40.628</v>
      </c>
      <c r="F22" s="31">
        <f t="shared" si="2"/>
        <v>-8844.7520000000022</v>
      </c>
      <c r="G22" s="32">
        <f t="shared" ref="G22" si="12">$C$6*(A22-$A$14)/360*$C$5</f>
        <v>9333.3333333333321</v>
      </c>
      <c r="H22" s="82">
        <f t="shared" ref="H22" si="13">C22+D22-F22-G22</f>
        <v>2646.5653333333194</v>
      </c>
      <c r="I22" s="1"/>
      <c r="J22" s="126">
        <v>45778.625</v>
      </c>
      <c r="K22" s="3">
        <v>63.323999999999998</v>
      </c>
      <c r="L22" s="126">
        <v>45778.625</v>
      </c>
      <c r="M22" s="3">
        <v>56.442999999999998</v>
      </c>
    </row>
    <row r="23" spans="1:13" x14ac:dyDescent="0.3">
      <c r="A23" s="36">
        <v>45938</v>
      </c>
      <c r="B23" s="45">
        <f t="shared" si="4"/>
        <v>57.947000000000003</v>
      </c>
      <c r="C23" s="31">
        <f t="shared" ref="C23" si="14">-1*(B23-$B$14)*10^-4*$B$8*$B$5</f>
        <v>-4434.2400000000271</v>
      </c>
      <c r="D23" s="32">
        <f t="shared" ref="D23" si="15">$B$6*(A23-$A$14)/360*$B$5</f>
        <v>7222.2222222222226</v>
      </c>
      <c r="E23" s="4">
        <f t="shared" si="5"/>
        <v>40.613999999999997</v>
      </c>
      <c r="F23" s="31">
        <f t="shared" ref="F23" si="16">-1*(E23-$E$14)*10^-4*$C$8*$C$5</f>
        <v>-8647.5759999999627</v>
      </c>
      <c r="G23" s="32">
        <f t="shared" ref="G23" si="17">$C$6*(A23-$A$14)/360*$C$5</f>
        <v>10111.111111111111</v>
      </c>
      <c r="H23" s="82">
        <f t="shared" ref="H23" si="18">C23+D23-F23-G23</f>
        <v>1324.447111111047</v>
      </c>
      <c r="I23" s="1"/>
      <c r="J23" s="126">
        <v>45779.625</v>
      </c>
      <c r="K23" s="3">
        <v>62.088000000000001</v>
      </c>
      <c r="L23" s="126">
        <v>45779.625</v>
      </c>
      <c r="M23" s="3">
        <v>55.758000000000003</v>
      </c>
    </row>
    <row r="24" spans="1:13" x14ac:dyDescent="0.3">
      <c r="A24" s="36">
        <v>45939</v>
      </c>
      <c r="B24" s="45">
        <f t="shared" si="4"/>
        <v>58.323999999999998</v>
      </c>
      <c r="C24" s="31">
        <f t="shared" ref="C24" si="19">-1*(B24-$B$14)*10^-4*$B$8*$B$5</f>
        <v>-8174.0799999999808</v>
      </c>
      <c r="D24" s="32">
        <f t="shared" ref="D24" si="20">$B$6*(A24-$A$14)/360*$B$5</f>
        <v>7777.7777777777783</v>
      </c>
      <c r="E24" s="4">
        <f t="shared" si="5"/>
        <v>40.503999999999998</v>
      </c>
      <c r="F24" s="31">
        <f t="shared" ref="F24" si="21">-1*(E24-$E$14)*10^-4*$C$8*$C$5</f>
        <v>-7098.3359999999702</v>
      </c>
      <c r="G24" s="32">
        <f t="shared" ref="G24" si="22">$C$6*(A24-$A$14)/360*$C$5</f>
        <v>10888.888888888891</v>
      </c>
      <c r="H24" s="82">
        <f t="shared" ref="H24" si="23">C24+D24-F24-G24</f>
        <v>-4186.8551111111228</v>
      </c>
      <c r="I24" s="1"/>
      <c r="J24" s="126">
        <v>45782.625</v>
      </c>
      <c r="K24" s="3">
        <v>62.707000000000001</v>
      </c>
      <c r="L24" s="126">
        <v>45782.625</v>
      </c>
      <c r="M24" s="3">
        <v>55.198999999999998</v>
      </c>
    </row>
    <row r="25" spans="1:13" x14ac:dyDescent="0.3">
      <c r="A25" s="36">
        <v>45940</v>
      </c>
      <c r="B25" s="45">
        <f t="shared" si="4"/>
        <v>58.451999999999998</v>
      </c>
      <c r="C25" s="31">
        <f t="shared" ref="C25" si="24">-1*(B25-$B$14)*10^-4*$B$8*$B$5</f>
        <v>-9443.839999999982</v>
      </c>
      <c r="D25" s="32">
        <f t="shared" ref="D25" si="25">$B$6*(A25-$A$14)/360*$B$5</f>
        <v>8333.3333333333321</v>
      </c>
      <c r="E25" s="4">
        <f t="shared" si="5"/>
        <v>41.215000000000003</v>
      </c>
      <c r="F25" s="31">
        <f t="shared" ref="F25" si="26">-1*(E25-$E$14)*10^-4*$C$8*$C$5</f>
        <v>-17112.060000000052</v>
      </c>
      <c r="G25" s="32">
        <f t="shared" ref="G25" si="27">$C$6*(A25-$A$14)/360*$C$5</f>
        <v>11666.666666666666</v>
      </c>
      <c r="H25" s="82">
        <f t="shared" ref="H25" si="28">C25+D25-F25-G25</f>
        <v>4334.8866666667363</v>
      </c>
      <c r="I25" s="1"/>
      <c r="J25" s="126">
        <v>45783.625</v>
      </c>
      <c r="K25" s="3">
        <v>62.177</v>
      </c>
      <c r="L25" s="126">
        <v>45783.625</v>
      </c>
      <c r="M25" s="3">
        <v>54.997999999999998</v>
      </c>
    </row>
    <row r="26" spans="1:13" x14ac:dyDescent="0.3">
      <c r="A26" s="36">
        <v>45943</v>
      </c>
      <c r="B26" s="45">
        <f t="shared" si="4"/>
        <v>59.344000000000001</v>
      </c>
      <c r="C26" s="31">
        <f t="shared" ref="C26" si="29">-1*(B26-$B$14)*10^-4*$B$8*$B$5</f>
        <v>-18292.48000000001</v>
      </c>
      <c r="D26" s="32">
        <f t="shared" ref="D26" si="30">$B$6*(A26-$A$14)/360*$B$5</f>
        <v>10000</v>
      </c>
      <c r="E26" s="4">
        <f t="shared" si="5"/>
        <v>42.545000000000002</v>
      </c>
      <c r="F26" s="31">
        <f t="shared" ref="F26" si="31">-1*(E26-$E$14)*10^-4*$C$8*$C$5</f>
        <v>-35843.780000000021</v>
      </c>
      <c r="G26" s="32">
        <f t="shared" ref="G26" si="32">$C$6*(A26-$A$14)/360*$C$5</f>
        <v>14000</v>
      </c>
      <c r="H26" s="82">
        <f t="shared" ref="H26" si="33">C26+D26-F26-G26</f>
        <v>13551.30000000001</v>
      </c>
      <c r="I26" s="1"/>
      <c r="J26" s="126">
        <v>45784.625</v>
      </c>
      <c r="K26" s="3">
        <v>62.27</v>
      </c>
      <c r="L26" s="126">
        <v>45784.625</v>
      </c>
      <c r="M26" s="3">
        <v>54.741999999999997</v>
      </c>
    </row>
    <row r="27" spans="1:13" x14ac:dyDescent="0.3">
      <c r="A27" s="36">
        <v>45944</v>
      </c>
      <c r="B27" s="45">
        <f t="shared" si="4"/>
        <v>60.168999999999997</v>
      </c>
      <c r="C27" s="31">
        <f t="shared" ref="C27" si="34">-1*(B27-$B$14)*10^-4*$B$8*$B$5</f>
        <v>-26476.479999999974</v>
      </c>
      <c r="D27" s="32">
        <f t="shared" ref="D27" si="35">$B$6*(A27-$A$14)/360*$B$5</f>
        <v>10555.555555555557</v>
      </c>
      <c r="E27" s="4">
        <f t="shared" si="5"/>
        <v>42.634</v>
      </c>
      <c r="F27" s="31">
        <f t="shared" ref="F27" si="36">-1*(E27-$E$14)*10^-4*$C$8*$C$5</f>
        <v>-37097.256000000008</v>
      </c>
      <c r="G27" s="32">
        <f t="shared" ref="G27" si="37">$C$6*(A27-$A$14)/360*$C$5</f>
        <v>14777.777777777779</v>
      </c>
      <c r="H27" s="82">
        <f t="shared" ref="H27" si="38">C27+D27-F27-G27</f>
        <v>6398.55377777781</v>
      </c>
      <c r="I27" s="1"/>
      <c r="J27" s="126">
        <v>45785.625</v>
      </c>
      <c r="K27" s="3">
        <v>60.957000000000001</v>
      </c>
      <c r="L27" s="126">
        <v>45785.625</v>
      </c>
      <c r="M27" s="3">
        <v>54.015000000000001</v>
      </c>
    </row>
    <row r="28" spans="1:13" x14ac:dyDescent="0.3">
      <c r="A28" s="36">
        <v>45945</v>
      </c>
      <c r="B28" s="45">
        <f t="shared" si="4"/>
        <v>58.076000000000001</v>
      </c>
      <c r="C28" s="31">
        <f t="shared" ref="C28" si="39">-1*(B28-$B$14)*10^-4*$B$8*$B$5</f>
        <v>-5713.9200000000055</v>
      </c>
      <c r="D28" s="32">
        <f t="shared" ref="D28" si="40">$B$6*(A28-$A$14)/360*$B$5</f>
        <v>11111.111111111111</v>
      </c>
      <c r="E28" s="4">
        <f t="shared" si="5"/>
        <v>40.781999999999996</v>
      </c>
      <c r="F28" s="31">
        <f t="shared" ref="F28" si="41">-1*(E28-$E$14)*10^-4*$C$8*$C$5</f>
        <v>-11013.687999999951</v>
      </c>
      <c r="G28" s="32">
        <f t="shared" ref="G28" si="42">$C$6*(A28-$A$14)/360*$C$5</f>
        <v>15555.555555555555</v>
      </c>
      <c r="H28" s="82">
        <f t="shared" ref="H28" si="43">C28+D28-F28-G28</f>
        <v>855.32355555550021</v>
      </c>
      <c r="I28" s="1"/>
      <c r="J28" s="126">
        <v>45786.625</v>
      </c>
      <c r="K28" s="3">
        <v>59.165999999999997</v>
      </c>
      <c r="L28" s="126">
        <v>45786.625</v>
      </c>
      <c r="M28" s="3">
        <v>52.176000000000002</v>
      </c>
    </row>
    <row r="29" spans="1:13" x14ac:dyDescent="0.3">
      <c r="A29" s="36">
        <v>45946</v>
      </c>
      <c r="B29" s="45">
        <f t="shared" ref="B29" si="44">VLOOKUP(A29+$F$2,J:K,2)</f>
        <v>57.722999999999999</v>
      </c>
      <c r="C29" s="31">
        <f t="shared" ref="C29:C30" si="45">-1*(B29-$B$14)*10^-4*$B$8*$B$5</f>
        <v>-2212.1599999999899</v>
      </c>
      <c r="D29" s="32">
        <f t="shared" ref="D29:D30" si="46">$B$6*(A29-$A$14)/360*$B$5</f>
        <v>11666.666666666666</v>
      </c>
      <c r="E29" s="4">
        <f t="shared" ref="E29" si="47">VLOOKUP(A29+$F$2,L:M,2)</f>
        <v>40.509</v>
      </c>
      <c r="F29" s="31">
        <f t="shared" ref="F29:F30" si="48">-1*(E29-$E$14)*10^-4*$C$8*$C$5</f>
        <v>-7168.7560000000058</v>
      </c>
      <c r="G29" s="32">
        <f t="shared" ref="G29:G30" si="49">$C$6*(A29-$A$14)/360*$C$5</f>
        <v>16333.333333333332</v>
      </c>
      <c r="H29" s="82">
        <f t="shared" ref="H29:H30" si="50">C29+D29-F29-G29</f>
        <v>289.92933333334804</v>
      </c>
      <c r="I29" s="1"/>
      <c r="J29" s="126">
        <v>45789.625</v>
      </c>
      <c r="K29" s="3">
        <v>57.408999999999999</v>
      </c>
      <c r="L29" s="126">
        <v>45789.625</v>
      </c>
      <c r="M29" s="3">
        <v>50.143999999999998</v>
      </c>
    </row>
    <row r="30" spans="1:13" x14ac:dyDescent="0.3">
      <c r="A30" s="131">
        <v>45947</v>
      </c>
      <c r="B30" s="45">
        <f>$B$10</f>
        <v>60.10136</v>
      </c>
      <c r="C30" s="31">
        <f t="shared" si="45"/>
        <v>-25805.4912</v>
      </c>
      <c r="D30" s="32">
        <f t="shared" si="46"/>
        <v>12222.222222222223</v>
      </c>
      <c r="E30" s="4">
        <f>$C$10</f>
        <v>42.913670000000003</v>
      </c>
      <c r="F30" s="31">
        <f t="shared" si="48"/>
        <v>-41036.128280000048</v>
      </c>
      <c r="G30" s="32">
        <f t="shared" si="49"/>
        <v>17111.111111111109</v>
      </c>
      <c r="H30" s="82">
        <f t="shared" si="50"/>
        <v>10341.748191111161</v>
      </c>
      <c r="I30" s="1"/>
      <c r="J30" s="126">
        <v>45790.625</v>
      </c>
      <c r="K30" s="3">
        <v>55.457000000000001</v>
      </c>
      <c r="L30" s="126">
        <v>45790.625</v>
      </c>
      <c r="M30" s="3">
        <v>47.427999999999997</v>
      </c>
    </row>
    <row r="31" spans="1:13" x14ac:dyDescent="0.3">
      <c r="A31" s="131">
        <v>45950</v>
      </c>
      <c r="B31" s="45"/>
      <c r="C31" s="31"/>
      <c r="D31" s="32"/>
      <c r="E31" s="4"/>
      <c r="F31" s="31"/>
      <c r="G31" s="32"/>
      <c r="H31" s="18"/>
      <c r="I31" s="1"/>
      <c r="J31" s="126">
        <v>45791.625</v>
      </c>
      <c r="K31" s="3">
        <v>54.484999999999999</v>
      </c>
      <c r="L31" s="126">
        <v>45791.625</v>
      </c>
      <c r="M31" s="3">
        <v>47.1</v>
      </c>
    </row>
    <row r="32" spans="1:13" x14ac:dyDescent="0.3">
      <c r="A32" s="131">
        <v>45951</v>
      </c>
      <c r="B32" s="45"/>
      <c r="C32" s="31"/>
      <c r="D32" s="32"/>
      <c r="E32" s="4"/>
      <c r="F32" s="31"/>
      <c r="G32" s="32"/>
      <c r="H32" s="18"/>
      <c r="I32" s="1"/>
      <c r="J32" s="126">
        <v>45792.625</v>
      </c>
      <c r="K32" s="3">
        <v>55.613</v>
      </c>
      <c r="L32" s="126">
        <v>45792.625</v>
      </c>
      <c r="M32" s="3">
        <v>47.670999999999999</v>
      </c>
    </row>
    <row r="33" spans="1:13" x14ac:dyDescent="0.3">
      <c r="A33" s="131">
        <v>45952</v>
      </c>
      <c r="B33" s="45"/>
      <c r="C33" s="31"/>
      <c r="D33" s="32"/>
      <c r="E33" s="4"/>
      <c r="F33" s="31"/>
      <c r="G33" s="32"/>
      <c r="H33" s="18"/>
      <c r="I33" s="1"/>
      <c r="J33" s="126">
        <v>45793.625</v>
      </c>
      <c r="K33" s="3">
        <v>55.064</v>
      </c>
      <c r="L33" s="126">
        <v>45793.625</v>
      </c>
      <c r="M33" s="3">
        <v>47.079000000000001</v>
      </c>
    </row>
    <row r="34" spans="1:13" x14ac:dyDescent="0.3">
      <c r="A34" s="131">
        <v>45953</v>
      </c>
      <c r="B34" s="45"/>
      <c r="C34" s="31"/>
      <c r="D34" s="32"/>
      <c r="E34" s="4"/>
      <c r="F34" s="31"/>
      <c r="G34" s="32"/>
      <c r="H34" s="38"/>
      <c r="I34" s="1"/>
      <c r="J34" s="126">
        <v>45796.625</v>
      </c>
      <c r="K34" s="3">
        <v>55.41</v>
      </c>
      <c r="L34" s="126">
        <v>45796.625</v>
      </c>
      <c r="M34" s="3">
        <v>47.253999999999998</v>
      </c>
    </row>
    <row r="35" spans="1:13" x14ac:dyDescent="0.3">
      <c r="A35" s="131">
        <v>45954</v>
      </c>
      <c r="B35" s="45"/>
      <c r="C35" s="31"/>
      <c r="D35" s="32"/>
      <c r="E35" s="4"/>
      <c r="F35" s="31"/>
      <c r="G35" s="32"/>
      <c r="H35" s="38"/>
      <c r="I35" s="1"/>
      <c r="J35" s="126">
        <v>45797.625</v>
      </c>
      <c r="K35" s="3">
        <v>54.796999999999997</v>
      </c>
      <c r="L35" s="126">
        <v>45797.625</v>
      </c>
      <c r="M35" s="3">
        <v>46.546999999999997</v>
      </c>
    </row>
    <row r="36" spans="1:13" x14ac:dyDescent="0.3">
      <c r="A36" s="131">
        <v>45955</v>
      </c>
      <c r="B36" s="45"/>
      <c r="C36" s="31"/>
      <c r="D36" s="32"/>
      <c r="E36" s="4"/>
      <c r="F36" s="31"/>
      <c r="G36" s="32"/>
      <c r="H36" s="38"/>
      <c r="I36" s="1"/>
      <c r="J36" s="126">
        <v>45798.625</v>
      </c>
      <c r="K36" s="3">
        <v>55.066000000000003</v>
      </c>
      <c r="L36" s="126">
        <v>45798.625</v>
      </c>
      <c r="M36" s="3">
        <v>47.01</v>
      </c>
    </row>
    <row r="37" spans="1:13" x14ac:dyDescent="0.3">
      <c r="A37" s="131">
        <v>45956</v>
      </c>
      <c r="B37" s="45"/>
      <c r="C37" s="31"/>
      <c r="D37" s="32"/>
      <c r="E37" s="4"/>
      <c r="F37" s="31"/>
      <c r="G37" s="32"/>
      <c r="H37" s="38"/>
      <c r="I37" s="1"/>
      <c r="J37" s="126">
        <v>45799.625</v>
      </c>
      <c r="K37" s="3">
        <v>56.084000000000003</v>
      </c>
      <c r="L37" s="126">
        <v>45799.625</v>
      </c>
      <c r="M37" s="3">
        <v>47.945</v>
      </c>
    </row>
    <row r="38" spans="1:13" x14ac:dyDescent="0.3">
      <c r="A38" s="15"/>
      <c r="B38" s="45"/>
      <c r="C38" s="31"/>
      <c r="D38" s="32"/>
      <c r="E38" s="4"/>
      <c r="F38" s="31"/>
      <c r="G38" s="32"/>
      <c r="H38" s="38"/>
      <c r="I38" s="1"/>
      <c r="J38" s="126">
        <v>45800.625</v>
      </c>
      <c r="K38" s="3">
        <v>56.822000000000003</v>
      </c>
      <c r="L38" s="126">
        <v>45800.625</v>
      </c>
      <c r="M38" s="3">
        <v>48.249000000000002</v>
      </c>
    </row>
    <row r="39" spans="1:13" x14ac:dyDescent="0.3">
      <c r="A39" s="15"/>
      <c r="B39" s="45"/>
      <c r="C39" s="31"/>
      <c r="D39" s="32"/>
      <c r="E39" s="4"/>
      <c r="F39" s="31"/>
      <c r="G39" s="32"/>
      <c r="H39" s="38"/>
      <c r="I39" s="1"/>
      <c r="J39" s="126">
        <v>45803.625</v>
      </c>
      <c r="K39" s="3">
        <v>56.56</v>
      </c>
      <c r="L39" s="126">
        <v>45803.625</v>
      </c>
      <c r="M39" s="3">
        <v>48.801000000000002</v>
      </c>
    </row>
    <row r="40" spans="1:13" x14ac:dyDescent="0.3">
      <c r="A40" s="15"/>
      <c r="B40" s="45"/>
      <c r="C40" s="31"/>
      <c r="D40" s="32"/>
      <c r="E40" s="4"/>
      <c r="F40" s="31"/>
      <c r="G40" s="32"/>
      <c r="H40" s="38"/>
      <c r="I40" s="1"/>
      <c r="J40" s="126">
        <v>45804.625</v>
      </c>
      <c r="K40" s="3">
        <v>54.860999999999997</v>
      </c>
      <c r="L40" s="126">
        <v>45804.625</v>
      </c>
      <c r="M40" s="3">
        <v>46.593000000000004</v>
      </c>
    </row>
    <row r="41" spans="1:13" ht="15" thickBot="1" x14ac:dyDescent="0.35">
      <c r="A41" s="16"/>
      <c r="B41" s="48"/>
      <c r="C41" s="49"/>
      <c r="D41" s="50"/>
      <c r="E41" s="11"/>
      <c r="F41" s="49"/>
      <c r="G41" s="50"/>
      <c r="H41" s="51"/>
      <c r="I41" s="1"/>
      <c r="J41" s="126">
        <v>45805.625</v>
      </c>
      <c r="K41" s="3">
        <v>54.534999999999997</v>
      </c>
      <c r="L41" s="126">
        <v>45805.625</v>
      </c>
      <c r="M41" s="3">
        <v>46.209000000000003</v>
      </c>
    </row>
    <row r="42" spans="1:13" x14ac:dyDescent="0.3">
      <c r="B42" s="62"/>
      <c r="C42" s="62"/>
      <c r="D42" s="62"/>
      <c r="F42" s="60"/>
      <c r="G42" s="60"/>
      <c r="H42" s="60"/>
      <c r="J42" s="126">
        <v>45806.625</v>
      </c>
      <c r="K42" s="3">
        <v>53.756999999999998</v>
      </c>
      <c r="L42" s="126">
        <v>45806.625</v>
      </c>
      <c r="M42" s="3">
        <v>45.494999999999997</v>
      </c>
    </row>
    <row r="43" spans="1:13" x14ac:dyDescent="0.3">
      <c r="B43" s="62"/>
      <c r="C43" s="62"/>
      <c r="D43" s="62"/>
      <c r="F43" s="60"/>
      <c r="G43" s="60"/>
      <c r="H43" s="60"/>
      <c r="J43" s="126">
        <v>45807.625</v>
      </c>
      <c r="K43" s="3">
        <v>54.356000000000002</v>
      </c>
      <c r="L43" s="126">
        <v>45807.625</v>
      </c>
      <c r="M43" s="3">
        <v>46.136000000000003</v>
      </c>
    </row>
    <row r="44" spans="1:13" x14ac:dyDescent="0.3">
      <c r="B44" s="62"/>
      <c r="C44" s="62"/>
      <c r="D44" s="62"/>
      <c r="F44" s="60"/>
      <c r="G44" s="60"/>
      <c r="H44" s="60"/>
      <c r="J44" s="126">
        <v>45810.625</v>
      </c>
      <c r="K44" s="3">
        <v>54.506</v>
      </c>
      <c r="L44" s="126">
        <v>45810.625</v>
      </c>
      <c r="M44" s="3">
        <v>46.256</v>
      </c>
    </row>
    <row r="45" spans="1:13" x14ac:dyDescent="0.3">
      <c r="B45" s="62"/>
      <c r="C45" s="62"/>
      <c r="D45" s="62"/>
      <c r="F45" s="60"/>
      <c r="G45" s="60"/>
      <c r="H45" s="60"/>
      <c r="J45" s="126">
        <v>45811.625</v>
      </c>
      <c r="K45" s="3">
        <v>53.761000000000003</v>
      </c>
      <c r="L45" s="126">
        <v>45811.625</v>
      </c>
      <c r="M45" s="3">
        <v>45.429000000000002</v>
      </c>
    </row>
    <row r="46" spans="1:13" x14ac:dyDescent="0.3">
      <c r="B46" s="62"/>
      <c r="C46" s="62"/>
      <c r="D46" s="62"/>
      <c r="J46" s="126">
        <v>45812.625</v>
      </c>
      <c r="K46" s="3">
        <v>53.343000000000004</v>
      </c>
      <c r="L46" s="126">
        <v>45812.625</v>
      </c>
      <c r="M46" s="3">
        <v>45.515999999999998</v>
      </c>
    </row>
    <row r="47" spans="1:13" x14ac:dyDescent="0.3">
      <c r="B47" s="62"/>
      <c r="C47" s="62"/>
      <c r="D47" s="62"/>
      <c r="J47" s="126">
        <v>45813.625</v>
      </c>
      <c r="K47" s="3">
        <v>53.338999999999999</v>
      </c>
      <c r="L47" s="126">
        <v>45813.625</v>
      </c>
      <c r="M47" s="3">
        <v>45.408999999999999</v>
      </c>
    </row>
    <row r="48" spans="1:13" x14ac:dyDescent="0.3">
      <c r="B48" s="62"/>
      <c r="C48" s="62"/>
      <c r="D48" s="62"/>
      <c r="J48" s="126">
        <v>45814.625</v>
      </c>
      <c r="K48" s="3">
        <v>53.445</v>
      </c>
      <c r="L48" s="126">
        <v>45814.625</v>
      </c>
      <c r="M48" s="3">
        <v>45.503999999999998</v>
      </c>
    </row>
    <row r="49" spans="2:13" x14ac:dyDescent="0.3">
      <c r="B49" s="62"/>
      <c r="C49" s="62"/>
      <c r="D49" s="62"/>
      <c r="J49" s="126">
        <v>45817.625</v>
      </c>
      <c r="K49" s="3">
        <v>52.607999999999997</v>
      </c>
      <c r="L49" s="126">
        <v>45817.625</v>
      </c>
      <c r="M49" s="3">
        <v>44.362000000000002</v>
      </c>
    </row>
    <row r="50" spans="2:13" x14ac:dyDescent="0.3">
      <c r="B50" s="62"/>
      <c r="C50" s="62"/>
      <c r="D50" s="62"/>
      <c r="J50" s="126">
        <v>45818.625</v>
      </c>
      <c r="K50" s="3">
        <v>52.526000000000003</v>
      </c>
      <c r="L50" s="126">
        <v>45818.625</v>
      </c>
      <c r="M50" s="3">
        <v>44.154000000000003</v>
      </c>
    </row>
    <row r="51" spans="2:13" x14ac:dyDescent="0.3">
      <c r="B51" s="62"/>
      <c r="C51" s="62"/>
      <c r="D51" s="62"/>
      <c r="J51" s="126">
        <v>45819.625</v>
      </c>
      <c r="K51" s="3">
        <v>52.320999999999998</v>
      </c>
      <c r="L51" s="126">
        <v>45819.625</v>
      </c>
      <c r="M51" s="3">
        <v>44.084000000000003</v>
      </c>
    </row>
    <row r="52" spans="2:13" x14ac:dyDescent="0.3">
      <c r="B52" s="62"/>
      <c r="C52" s="62"/>
      <c r="D52" s="62"/>
      <c r="J52" s="126">
        <v>45820.625</v>
      </c>
      <c r="K52" s="3">
        <v>52.792999999999999</v>
      </c>
      <c r="L52" s="126">
        <v>45820.625</v>
      </c>
      <c r="M52" s="3">
        <v>43.744</v>
      </c>
    </row>
    <row r="53" spans="2:13" x14ac:dyDescent="0.3">
      <c r="B53" s="62"/>
      <c r="C53" s="62"/>
      <c r="D53" s="62"/>
      <c r="J53" s="126">
        <v>45821.625</v>
      </c>
      <c r="K53" s="3">
        <v>54.625999999999998</v>
      </c>
      <c r="L53" s="126">
        <v>45821.625</v>
      </c>
      <c r="M53" s="3">
        <v>45.664000000000001</v>
      </c>
    </row>
    <row r="54" spans="2:13" x14ac:dyDescent="0.3">
      <c r="J54" s="126">
        <v>45824.625</v>
      </c>
      <c r="K54" s="3">
        <v>53.648000000000003</v>
      </c>
      <c r="L54" s="126">
        <v>45824.625</v>
      </c>
      <c r="M54" s="3">
        <v>44.643000000000001</v>
      </c>
    </row>
    <row r="55" spans="2:13" x14ac:dyDescent="0.3">
      <c r="J55" s="126">
        <v>45825.625</v>
      </c>
      <c r="K55" s="3">
        <v>54.304000000000002</v>
      </c>
      <c r="L55" s="126">
        <v>45825.625</v>
      </c>
      <c r="M55" s="3">
        <v>45.134999999999998</v>
      </c>
    </row>
    <row r="56" spans="2:13" x14ac:dyDescent="0.3">
      <c r="J56" s="126">
        <v>45826.625</v>
      </c>
      <c r="K56" s="3">
        <v>55.563000000000002</v>
      </c>
      <c r="L56" s="126">
        <v>45826.625</v>
      </c>
      <c r="M56" s="3">
        <v>45.765999999999998</v>
      </c>
    </row>
    <row r="57" spans="2:13" x14ac:dyDescent="0.3">
      <c r="J57" s="126">
        <v>45827.625</v>
      </c>
      <c r="K57" s="3">
        <v>56.548999999999999</v>
      </c>
      <c r="L57" s="126">
        <v>45827.625</v>
      </c>
      <c r="M57" s="3">
        <v>46.936</v>
      </c>
    </row>
    <row r="58" spans="2:13" x14ac:dyDescent="0.3">
      <c r="J58" s="126">
        <v>45828.625</v>
      </c>
      <c r="K58" s="3">
        <v>56.744999999999997</v>
      </c>
      <c r="L58" s="126">
        <v>45828.625</v>
      </c>
      <c r="M58" s="3">
        <v>47.334000000000003</v>
      </c>
    </row>
    <row r="59" spans="2:13" x14ac:dyDescent="0.3">
      <c r="J59" s="126">
        <v>45831.625</v>
      </c>
      <c r="K59" s="3">
        <v>56.445999999999998</v>
      </c>
      <c r="L59" s="126">
        <v>45831.625</v>
      </c>
      <c r="M59" s="3">
        <v>47.360999999999997</v>
      </c>
    </row>
    <row r="60" spans="2:13" x14ac:dyDescent="0.3">
      <c r="J60" s="126">
        <v>45832.625</v>
      </c>
      <c r="K60" s="3">
        <v>54.844000000000001</v>
      </c>
      <c r="L60" s="126">
        <v>45832.625</v>
      </c>
      <c r="M60" s="3">
        <v>44.459000000000003</v>
      </c>
    </row>
    <row r="61" spans="2:13" x14ac:dyDescent="0.3">
      <c r="J61" s="126">
        <v>45833.625</v>
      </c>
      <c r="K61" s="3">
        <v>54.302999999999997</v>
      </c>
      <c r="L61" s="126">
        <v>45833.625</v>
      </c>
      <c r="M61" s="3">
        <v>44.405000000000001</v>
      </c>
    </row>
    <row r="62" spans="2:13" x14ac:dyDescent="0.3">
      <c r="J62" s="126">
        <v>45834.625</v>
      </c>
      <c r="K62" s="3">
        <v>54.546999999999997</v>
      </c>
      <c r="L62" s="126">
        <v>45834.625</v>
      </c>
      <c r="M62" s="3">
        <v>44.191000000000003</v>
      </c>
    </row>
    <row r="63" spans="2:13" x14ac:dyDescent="0.3">
      <c r="J63" s="126">
        <v>45835.625</v>
      </c>
      <c r="K63" s="3">
        <v>53.935000000000002</v>
      </c>
      <c r="L63" s="126">
        <v>45835.625</v>
      </c>
      <c r="M63" s="3">
        <v>42.99</v>
      </c>
    </row>
    <row r="64" spans="2:13" x14ac:dyDescent="0.3">
      <c r="J64" s="126">
        <v>45838.625</v>
      </c>
      <c r="K64" s="3">
        <v>53.621000000000002</v>
      </c>
      <c r="L64" s="126">
        <v>45838.625</v>
      </c>
      <c r="M64" s="3">
        <v>42.261000000000003</v>
      </c>
    </row>
    <row r="65" spans="10:13" x14ac:dyDescent="0.3">
      <c r="J65" s="126">
        <v>45839.625</v>
      </c>
      <c r="K65" s="3">
        <v>53.929000000000002</v>
      </c>
      <c r="L65" s="126">
        <v>45839.625</v>
      </c>
      <c r="M65" s="3">
        <v>42.802999999999997</v>
      </c>
    </row>
    <row r="66" spans="10:13" x14ac:dyDescent="0.3">
      <c r="J66" s="126">
        <v>45840.625</v>
      </c>
      <c r="K66" s="3">
        <v>53.387999999999998</v>
      </c>
      <c r="L66" s="126">
        <v>45840.625</v>
      </c>
      <c r="M66" s="3">
        <v>42.024000000000001</v>
      </c>
    </row>
    <row r="67" spans="10:13" x14ac:dyDescent="0.3">
      <c r="J67" s="126">
        <v>45841.625</v>
      </c>
      <c r="K67" s="3">
        <v>53.204999999999998</v>
      </c>
      <c r="L67" s="126">
        <v>45841.625</v>
      </c>
      <c r="M67" s="3">
        <v>41.826999999999998</v>
      </c>
    </row>
    <row r="68" spans="10:13" x14ac:dyDescent="0.3">
      <c r="J68" s="126">
        <v>45842.625</v>
      </c>
      <c r="K68" s="3">
        <v>53.658999999999999</v>
      </c>
      <c r="L68" s="126">
        <v>45842.625</v>
      </c>
      <c r="M68" s="3">
        <v>42.152000000000001</v>
      </c>
    </row>
    <row r="69" spans="10:13" x14ac:dyDescent="0.3">
      <c r="J69" s="126">
        <v>45845.625</v>
      </c>
      <c r="K69" s="3">
        <v>53.37</v>
      </c>
      <c r="L69" s="126">
        <v>45845.625</v>
      </c>
      <c r="M69" s="3">
        <v>42.04</v>
      </c>
    </row>
    <row r="70" spans="10:13" x14ac:dyDescent="0.3">
      <c r="J70" s="126">
        <v>45846.625</v>
      </c>
      <c r="K70" s="3">
        <v>53.279000000000003</v>
      </c>
      <c r="L70" s="126">
        <v>45846.625</v>
      </c>
      <c r="M70" s="3">
        <v>41.741</v>
      </c>
    </row>
    <row r="71" spans="10:13" x14ac:dyDescent="0.3">
      <c r="J71" s="126">
        <v>45847.625</v>
      </c>
      <c r="K71" s="3">
        <v>53.136000000000003</v>
      </c>
      <c r="L71" s="126">
        <v>45847.625</v>
      </c>
      <c r="M71" s="3">
        <v>41.680999999999997</v>
      </c>
    </row>
    <row r="72" spans="10:13" x14ac:dyDescent="0.3">
      <c r="J72" s="126">
        <v>45848.625</v>
      </c>
      <c r="K72" s="3">
        <v>52.456000000000003</v>
      </c>
      <c r="L72" s="126">
        <v>45848.625</v>
      </c>
      <c r="M72" s="3">
        <v>41.457999999999998</v>
      </c>
    </row>
    <row r="73" spans="10:13" x14ac:dyDescent="0.3">
      <c r="J73" s="126">
        <v>45849.625</v>
      </c>
      <c r="K73" s="3">
        <v>53.395000000000003</v>
      </c>
      <c r="L73" s="126">
        <v>45849.625</v>
      </c>
      <c r="M73" s="3">
        <v>41.636000000000003</v>
      </c>
    </row>
    <row r="74" spans="10:13" x14ac:dyDescent="0.3">
      <c r="J74" s="126">
        <v>45852.625</v>
      </c>
      <c r="K74" s="3">
        <v>53.255000000000003</v>
      </c>
      <c r="L74" s="126">
        <v>45852.625</v>
      </c>
      <c r="M74" s="3">
        <v>42.579000000000001</v>
      </c>
    </row>
    <row r="75" spans="10:13" x14ac:dyDescent="0.3">
      <c r="J75" s="126">
        <v>45853.625</v>
      </c>
      <c r="K75" s="3">
        <v>52.918999999999997</v>
      </c>
      <c r="L75" s="126">
        <v>45853.625</v>
      </c>
      <c r="M75" s="3">
        <v>41.76</v>
      </c>
    </row>
    <row r="76" spans="10:13" x14ac:dyDescent="0.3">
      <c r="J76" s="126">
        <v>45854.625</v>
      </c>
      <c r="K76" s="3">
        <v>53.899000000000001</v>
      </c>
      <c r="L76" s="126">
        <v>45854.625</v>
      </c>
      <c r="M76" s="3">
        <v>42.137</v>
      </c>
    </row>
    <row r="77" spans="10:13" x14ac:dyDescent="0.3">
      <c r="J77" s="126">
        <v>45855.625</v>
      </c>
      <c r="K77" s="3">
        <v>53.494999999999997</v>
      </c>
      <c r="L77" s="126">
        <v>45855.625</v>
      </c>
      <c r="M77" s="3">
        <v>41.612000000000002</v>
      </c>
    </row>
    <row r="78" spans="10:13" x14ac:dyDescent="0.3">
      <c r="J78" s="126">
        <v>45856.625</v>
      </c>
      <c r="K78" s="3">
        <v>52.932000000000002</v>
      </c>
      <c r="L78" s="126">
        <v>45856.625</v>
      </c>
      <c r="M78" s="3">
        <v>40.875999999999998</v>
      </c>
    </row>
    <row r="79" spans="10:13" x14ac:dyDescent="0.3">
      <c r="J79" s="126">
        <v>45859.625</v>
      </c>
      <c r="K79" s="3">
        <v>52.993000000000002</v>
      </c>
      <c r="L79" s="126">
        <v>45859.625</v>
      </c>
      <c r="M79" s="3">
        <v>40.923999999999999</v>
      </c>
    </row>
    <row r="80" spans="10:13" x14ac:dyDescent="0.3">
      <c r="J80" s="126">
        <v>45860.625</v>
      </c>
      <c r="K80" s="3">
        <v>53.313000000000002</v>
      </c>
      <c r="L80" s="126">
        <v>45860.625</v>
      </c>
      <c r="M80" s="3">
        <v>41.140999999999998</v>
      </c>
    </row>
    <row r="81" spans="10:13" x14ac:dyDescent="0.3">
      <c r="J81" s="126">
        <v>45861.625</v>
      </c>
      <c r="K81" s="3">
        <v>52.954000000000001</v>
      </c>
      <c r="L81" s="126">
        <v>45861.625</v>
      </c>
      <c r="M81" s="3">
        <v>40.151000000000003</v>
      </c>
    </row>
    <row r="82" spans="10:13" x14ac:dyDescent="0.3">
      <c r="J82" s="126">
        <v>45862.625</v>
      </c>
      <c r="K82" s="3">
        <v>52.107999999999997</v>
      </c>
      <c r="L82" s="126">
        <v>45862.625</v>
      </c>
      <c r="M82" s="3">
        <v>40.003</v>
      </c>
    </row>
    <row r="83" spans="10:13" x14ac:dyDescent="0.3">
      <c r="J83" s="126">
        <v>45863.625</v>
      </c>
      <c r="K83" s="3">
        <v>52.244999999999997</v>
      </c>
      <c r="L83" s="126">
        <v>45863.625</v>
      </c>
      <c r="M83" s="3">
        <v>39.965000000000003</v>
      </c>
    </row>
    <row r="84" spans="10:13" x14ac:dyDescent="0.3">
      <c r="J84" s="126">
        <v>45866.625</v>
      </c>
      <c r="K84" s="3">
        <v>51.534999999999997</v>
      </c>
      <c r="L84" s="126">
        <v>45866.625</v>
      </c>
      <c r="M84" s="3">
        <v>39.429000000000002</v>
      </c>
    </row>
    <row r="85" spans="10:13" x14ac:dyDescent="0.3">
      <c r="J85" s="126">
        <v>45867.625</v>
      </c>
      <c r="K85" s="3">
        <v>51.484999999999999</v>
      </c>
      <c r="L85" s="126">
        <v>45867.625</v>
      </c>
      <c r="M85" s="3">
        <v>39.277000000000001</v>
      </c>
    </row>
    <row r="86" spans="10:13" x14ac:dyDescent="0.3">
      <c r="J86" s="126">
        <v>45868.625</v>
      </c>
      <c r="K86" s="3">
        <v>51.128999999999998</v>
      </c>
      <c r="L86" s="126">
        <v>45868.625</v>
      </c>
      <c r="M86" s="3">
        <v>39.100999999999999</v>
      </c>
    </row>
    <row r="87" spans="10:13" x14ac:dyDescent="0.3">
      <c r="J87" s="126">
        <v>45869.625</v>
      </c>
      <c r="K87" s="3">
        <v>51.021000000000001</v>
      </c>
      <c r="L87" s="126">
        <v>45869.625</v>
      </c>
      <c r="M87" s="3">
        <v>39.020000000000003</v>
      </c>
    </row>
    <row r="88" spans="10:13" x14ac:dyDescent="0.3">
      <c r="J88" s="126">
        <v>45870.625</v>
      </c>
      <c r="K88" s="3">
        <v>53.116</v>
      </c>
      <c r="L88" s="126">
        <v>45870.625</v>
      </c>
      <c r="M88" s="3">
        <v>40.494999999999997</v>
      </c>
    </row>
    <row r="89" spans="10:13" x14ac:dyDescent="0.3">
      <c r="J89" s="126">
        <v>45873.625</v>
      </c>
      <c r="K89" s="3">
        <v>53.188000000000002</v>
      </c>
      <c r="L89" s="126">
        <v>45873.625</v>
      </c>
      <c r="M89" s="3">
        <v>40.552999999999997</v>
      </c>
    </row>
    <row r="90" spans="10:13" x14ac:dyDescent="0.3">
      <c r="J90" s="126">
        <v>45874.625</v>
      </c>
      <c r="K90" s="3">
        <v>53.186999999999998</v>
      </c>
      <c r="L90" s="126">
        <v>45874.625</v>
      </c>
      <c r="M90" s="3">
        <v>40.091000000000001</v>
      </c>
    </row>
    <row r="91" spans="10:13" x14ac:dyDescent="0.3">
      <c r="J91" s="126">
        <v>45875.625</v>
      </c>
      <c r="K91" s="3">
        <v>52.622</v>
      </c>
      <c r="L91" s="126">
        <v>45875.625</v>
      </c>
      <c r="M91" s="3">
        <v>39.817</v>
      </c>
    </row>
    <row r="92" spans="10:13" x14ac:dyDescent="0.3">
      <c r="J92" s="126">
        <v>45876.625</v>
      </c>
      <c r="K92" s="3">
        <v>52.198</v>
      </c>
      <c r="L92" s="126">
        <v>45876.625</v>
      </c>
      <c r="M92" s="3">
        <v>38.610999999999997</v>
      </c>
    </row>
    <row r="93" spans="10:13" x14ac:dyDescent="0.3">
      <c r="J93" s="126">
        <v>45877.625</v>
      </c>
      <c r="K93" s="3">
        <v>51.991999999999997</v>
      </c>
      <c r="L93" s="126">
        <v>45877.625</v>
      </c>
      <c r="M93" s="3">
        <v>38.204999999999998</v>
      </c>
    </row>
    <row r="94" spans="10:13" x14ac:dyDescent="0.3">
      <c r="J94" s="126">
        <v>45880.625</v>
      </c>
      <c r="K94" s="3">
        <v>51.926000000000002</v>
      </c>
      <c r="L94" s="126">
        <v>45880.625</v>
      </c>
      <c r="M94" s="3">
        <v>37.720999999999997</v>
      </c>
    </row>
    <row r="95" spans="10:13" x14ac:dyDescent="0.3">
      <c r="J95" s="126">
        <v>45881.625</v>
      </c>
      <c r="K95" s="3">
        <v>52.116</v>
      </c>
      <c r="L95" s="126">
        <v>45881.625</v>
      </c>
      <c r="M95" s="3">
        <v>37.566000000000003</v>
      </c>
    </row>
    <row r="96" spans="10:13" x14ac:dyDescent="0.3">
      <c r="J96" s="126">
        <v>45882.625</v>
      </c>
      <c r="K96" s="3">
        <v>51.146000000000001</v>
      </c>
      <c r="L96" s="126">
        <v>45882.625</v>
      </c>
      <c r="M96" s="3">
        <v>37.143000000000001</v>
      </c>
    </row>
    <row r="97" spans="10:13" x14ac:dyDescent="0.3">
      <c r="J97" s="126">
        <v>45883.625</v>
      </c>
      <c r="K97" s="3">
        <v>51.491</v>
      </c>
      <c r="L97" s="126">
        <v>45883.625</v>
      </c>
      <c r="M97" s="3">
        <v>36.136000000000003</v>
      </c>
    </row>
    <row r="98" spans="10:13" x14ac:dyDescent="0.3">
      <c r="J98" s="126">
        <v>45884.625</v>
      </c>
      <c r="K98" s="3">
        <v>51.177</v>
      </c>
      <c r="L98" s="126">
        <v>45884.625</v>
      </c>
      <c r="M98" s="3">
        <v>36.046999999999997</v>
      </c>
    </row>
    <row r="99" spans="10:13" x14ac:dyDescent="0.3">
      <c r="J99" s="126">
        <v>45887.625</v>
      </c>
      <c r="K99" s="3">
        <v>51.094000000000001</v>
      </c>
      <c r="L99" s="126">
        <v>45887.625</v>
      </c>
      <c r="M99" s="3">
        <v>35.988</v>
      </c>
    </row>
    <row r="100" spans="10:13" x14ac:dyDescent="0.3">
      <c r="J100" s="126">
        <v>45888.625</v>
      </c>
      <c r="K100" s="3">
        <v>51.646000000000001</v>
      </c>
      <c r="L100" s="126">
        <v>45888.625</v>
      </c>
      <c r="M100" s="3">
        <v>35.609000000000002</v>
      </c>
    </row>
    <row r="101" spans="10:13" x14ac:dyDescent="0.3">
      <c r="J101" s="126">
        <v>45889.625</v>
      </c>
      <c r="K101" s="3">
        <v>51.572000000000003</v>
      </c>
      <c r="L101" s="126">
        <v>45889.625</v>
      </c>
      <c r="M101" s="3">
        <v>35.808</v>
      </c>
    </row>
    <row r="102" spans="10:13" x14ac:dyDescent="0.3">
      <c r="J102" s="126">
        <v>45890.625</v>
      </c>
      <c r="K102" s="3">
        <v>52.003</v>
      </c>
      <c r="L102" s="126">
        <v>45890.625</v>
      </c>
      <c r="M102" s="3">
        <v>36.588999999999999</v>
      </c>
    </row>
    <row r="103" spans="10:13" x14ac:dyDescent="0.3">
      <c r="J103" s="126">
        <v>45891.625</v>
      </c>
      <c r="K103" s="3">
        <v>51.804000000000002</v>
      </c>
      <c r="L103" s="126">
        <v>45891.625</v>
      </c>
      <c r="M103" s="3">
        <v>36.652000000000001</v>
      </c>
    </row>
    <row r="104" spans="10:13" x14ac:dyDescent="0.3">
      <c r="J104" s="126">
        <v>45894.625</v>
      </c>
      <c r="K104" s="3">
        <v>50.963000000000001</v>
      </c>
      <c r="L104" s="126">
        <v>45894.625</v>
      </c>
      <c r="M104" s="3">
        <v>36.311999999999998</v>
      </c>
    </row>
    <row r="105" spans="10:13" x14ac:dyDescent="0.3">
      <c r="J105" s="126">
        <v>45895.625</v>
      </c>
      <c r="K105" s="3">
        <v>52.515999999999998</v>
      </c>
      <c r="L105" s="126">
        <v>45895.625</v>
      </c>
      <c r="M105" s="3">
        <v>36.866999999999997</v>
      </c>
    </row>
    <row r="106" spans="10:13" x14ac:dyDescent="0.3">
      <c r="J106" s="126">
        <v>45896.625</v>
      </c>
      <c r="K106" s="3">
        <v>52.853000000000002</v>
      </c>
      <c r="L106" s="126">
        <v>45896.625</v>
      </c>
      <c r="M106" s="3">
        <v>38.023000000000003</v>
      </c>
    </row>
    <row r="107" spans="10:13" x14ac:dyDescent="0.3">
      <c r="J107" s="126">
        <v>45897.625</v>
      </c>
      <c r="K107" s="3">
        <v>53.463000000000001</v>
      </c>
      <c r="L107" s="126">
        <v>45897.625</v>
      </c>
      <c r="M107" s="3">
        <v>39.009</v>
      </c>
    </row>
    <row r="108" spans="10:13" x14ac:dyDescent="0.3">
      <c r="J108" s="126">
        <v>45898.625</v>
      </c>
      <c r="K108" s="3">
        <v>53.823</v>
      </c>
      <c r="L108" s="126">
        <v>45898.625</v>
      </c>
      <c r="M108" s="3">
        <v>39.082999999999998</v>
      </c>
    </row>
    <row r="109" spans="10:13" x14ac:dyDescent="0.3">
      <c r="J109" s="126">
        <v>45901.625</v>
      </c>
      <c r="K109" s="3">
        <v>54.084000000000003</v>
      </c>
      <c r="L109" s="126">
        <v>45901.625</v>
      </c>
      <c r="M109" s="3">
        <v>39.572000000000003</v>
      </c>
    </row>
    <row r="110" spans="10:13" x14ac:dyDescent="0.3">
      <c r="J110" s="126">
        <v>45902.625</v>
      </c>
      <c r="K110" s="3">
        <v>54.981000000000002</v>
      </c>
      <c r="L110" s="126">
        <v>45902.625</v>
      </c>
      <c r="M110" s="3">
        <v>40.35</v>
      </c>
    </row>
    <row r="111" spans="10:13" x14ac:dyDescent="0.3">
      <c r="J111" s="126">
        <v>45903.625</v>
      </c>
      <c r="K111" s="3">
        <v>55.804000000000002</v>
      </c>
      <c r="L111" s="126">
        <v>45903.625</v>
      </c>
      <c r="M111" s="3">
        <v>39.996000000000002</v>
      </c>
    </row>
    <row r="112" spans="10:13" x14ac:dyDescent="0.3">
      <c r="J112" s="126">
        <v>45904.625</v>
      </c>
      <c r="K112" s="3">
        <v>55.631</v>
      </c>
      <c r="L112" s="126">
        <v>45904.625</v>
      </c>
      <c r="M112" s="3">
        <v>38.920999999999999</v>
      </c>
    </row>
    <row r="113" spans="10:13" x14ac:dyDescent="0.3">
      <c r="J113" s="126">
        <v>45905.625</v>
      </c>
      <c r="K113" s="3">
        <v>55.226999999999997</v>
      </c>
      <c r="L113" s="126">
        <v>45905.625</v>
      </c>
      <c r="M113" s="3">
        <v>38.055999999999997</v>
      </c>
    </row>
    <row r="114" spans="10:13" x14ac:dyDescent="0.3">
      <c r="J114" s="126">
        <v>45908.625</v>
      </c>
      <c r="K114" s="3">
        <v>54.622999999999998</v>
      </c>
      <c r="L114" s="126">
        <v>45908.625</v>
      </c>
      <c r="M114" s="3">
        <v>38.365000000000002</v>
      </c>
    </row>
    <row r="115" spans="10:13" x14ac:dyDescent="0.3">
      <c r="J115" s="126">
        <v>45909.625</v>
      </c>
      <c r="K115" s="3">
        <v>54.384999999999998</v>
      </c>
      <c r="L115" s="126">
        <v>45909.625</v>
      </c>
      <c r="M115" s="3">
        <v>37.978999999999999</v>
      </c>
    </row>
    <row r="116" spans="10:13" x14ac:dyDescent="0.3">
      <c r="J116" s="126">
        <v>45910.625</v>
      </c>
      <c r="K116" s="3">
        <v>53.143999999999998</v>
      </c>
      <c r="L116" s="126">
        <v>45910.625</v>
      </c>
      <c r="M116" s="3">
        <v>37.517000000000003</v>
      </c>
    </row>
    <row r="117" spans="10:13" x14ac:dyDescent="0.3">
      <c r="J117" s="126">
        <v>45911.625</v>
      </c>
      <c r="K117" s="3">
        <v>52.847999999999999</v>
      </c>
      <c r="L117" s="126">
        <v>45911.625</v>
      </c>
      <c r="M117" s="3">
        <v>36.485999999999997</v>
      </c>
    </row>
    <row r="118" spans="10:13" x14ac:dyDescent="0.3">
      <c r="J118" s="126">
        <v>45912.625</v>
      </c>
      <c r="K118" s="3">
        <v>51.688000000000002</v>
      </c>
      <c r="L118" s="126">
        <v>45912.625</v>
      </c>
      <c r="M118" s="3">
        <v>36.246000000000002</v>
      </c>
    </row>
    <row r="119" spans="10:13" x14ac:dyDescent="0.3">
      <c r="J119" s="126">
        <v>45915.625</v>
      </c>
      <c r="K119" s="3">
        <v>51.258000000000003</v>
      </c>
      <c r="L119" s="126">
        <v>45915.625</v>
      </c>
      <c r="M119" s="3">
        <v>36.031999999999996</v>
      </c>
    </row>
    <row r="120" spans="10:13" x14ac:dyDescent="0.3">
      <c r="J120" s="126">
        <v>45916.625</v>
      </c>
      <c r="K120" s="3">
        <v>51.31</v>
      </c>
      <c r="L120" s="126">
        <v>45916.625</v>
      </c>
      <c r="M120" s="3">
        <v>35.906999999999996</v>
      </c>
    </row>
    <row r="121" spans="10:13" x14ac:dyDescent="0.3">
      <c r="J121" s="126">
        <v>45917.625</v>
      </c>
      <c r="K121" s="3">
        <v>51.664000000000001</v>
      </c>
      <c r="L121" s="126">
        <v>45917.625</v>
      </c>
      <c r="M121" s="3">
        <v>36.252000000000002</v>
      </c>
    </row>
    <row r="122" spans="10:13" x14ac:dyDescent="0.3">
      <c r="J122" s="126">
        <v>45918.625</v>
      </c>
      <c r="K122" s="3">
        <v>51.064999999999998</v>
      </c>
      <c r="L122" s="126">
        <v>45918.625</v>
      </c>
      <c r="M122" s="3">
        <v>35.774000000000001</v>
      </c>
    </row>
    <row r="123" spans="10:13" x14ac:dyDescent="0.3">
      <c r="J123" s="126">
        <v>45919.625</v>
      </c>
      <c r="K123" s="3">
        <v>51.167000000000002</v>
      </c>
      <c r="L123" s="126">
        <v>45919.625</v>
      </c>
      <c r="M123" s="3">
        <v>35.689</v>
      </c>
    </row>
    <row r="124" spans="10:13" x14ac:dyDescent="0.3">
      <c r="J124" s="126">
        <v>45922.625</v>
      </c>
      <c r="K124" s="3">
        <v>56.96</v>
      </c>
      <c r="L124" s="126">
        <v>45922.625</v>
      </c>
      <c r="M124" s="3">
        <v>39.006999999999998</v>
      </c>
    </row>
    <row r="125" spans="10:13" x14ac:dyDescent="0.3">
      <c r="J125" s="126">
        <v>45923.625</v>
      </c>
      <c r="K125" s="3">
        <v>57.104999999999997</v>
      </c>
      <c r="L125" s="126">
        <v>45923.625</v>
      </c>
      <c r="M125" s="3">
        <v>39.052999999999997</v>
      </c>
    </row>
    <row r="126" spans="10:13" x14ac:dyDescent="0.3">
      <c r="J126" s="126">
        <v>45924.625</v>
      </c>
      <c r="K126" s="3">
        <v>57.107999999999997</v>
      </c>
      <c r="L126" s="126">
        <v>45924.625</v>
      </c>
      <c r="M126" s="3">
        <v>39.125999999999998</v>
      </c>
    </row>
    <row r="127" spans="10:13" x14ac:dyDescent="0.3">
      <c r="J127" s="126">
        <v>45925.625</v>
      </c>
      <c r="K127" s="3">
        <v>57.837000000000003</v>
      </c>
      <c r="L127" s="126">
        <v>45925.625</v>
      </c>
      <c r="M127" s="3">
        <v>39.826000000000001</v>
      </c>
    </row>
    <row r="128" spans="10:13" x14ac:dyDescent="0.3">
      <c r="J128" s="126">
        <v>45926.625</v>
      </c>
      <c r="K128" s="3">
        <v>58.136000000000003</v>
      </c>
      <c r="L128" s="126">
        <v>45926.625</v>
      </c>
      <c r="M128" s="3">
        <v>40.026000000000003</v>
      </c>
    </row>
    <row r="129" spans="10:13" x14ac:dyDescent="0.3">
      <c r="J129" s="126">
        <v>45929.625</v>
      </c>
      <c r="K129" s="3">
        <v>57.792000000000002</v>
      </c>
      <c r="L129" s="126">
        <v>45929.625</v>
      </c>
      <c r="M129" s="3">
        <v>39.997</v>
      </c>
    </row>
    <row r="130" spans="10:13" x14ac:dyDescent="0.3">
      <c r="J130" s="126">
        <v>45930.625</v>
      </c>
      <c r="K130" s="3">
        <v>57.51</v>
      </c>
      <c r="L130" s="126">
        <v>45930.625</v>
      </c>
      <c r="M130" s="3">
        <v>40.194000000000003</v>
      </c>
    </row>
    <row r="131" spans="10:13" x14ac:dyDescent="0.3">
      <c r="J131" s="126">
        <v>45931.625</v>
      </c>
      <c r="K131" s="3">
        <v>57.616</v>
      </c>
      <c r="L131" s="126">
        <v>45931.625</v>
      </c>
      <c r="M131" s="3">
        <v>40.406999999999996</v>
      </c>
    </row>
    <row r="132" spans="10:13" x14ac:dyDescent="0.3">
      <c r="J132" s="126">
        <v>45932.625</v>
      </c>
      <c r="K132" s="3">
        <v>57.011000000000003</v>
      </c>
      <c r="L132" s="126">
        <v>45932.625</v>
      </c>
      <c r="M132" s="3">
        <v>39.887</v>
      </c>
    </row>
    <row r="133" spans="10:13" x14ac:dyDescent="0.3">
      <c r="J133" s="126">
        <v>45933.625</v>
      </c>
      <c r="K133" s="3">
        <v>56.552</v>
      </c>
      <c r="L133" s="126">
        <v>45933.625</v>
      </c>
      <c r="M133" s="3">
        <v>39.756999999999998</v>
      </c>
    </row>
    <row r="134" spans="10:13" x14ac:dyDescent="0.3">
      <c r="J134" s="126">
        <v>45936.625</v>
      </c>
      <c r="K134" s="3">
        <v>57.633000000000003</v>
      </c>
      <c r="L134" s="126">
        <v>45936.625</v>
      </c>
      <c r="M134" s="3">
        <v>40.533999999999999</v>
      </c>
    </row>
    <row r="135" spans="10:13" x14ac:dyDescent="0.3">
      <c r="J135" s="126">
        <v>45937.625</v>
      </c>
      <c r="K135" s="3">
        <v>57.856000000000002</v>
      </c>
      <c r="L135" s="126">
        <v>45937.625</v>
      </c>
      <c r="M135" s="3">
        <v>40.628</v>
      </c>
    </row>
    <row r="136" spans="10:13" x14ac:dyDescent="0.3">
      <c r="J136" s="126">
        <v>45938.625</v>
      </c>
      <c r="K136" s="3">
        <v>57.947000000000003</v>
      </c>
      <c r="L136" s="126">
        <v>45938.625</v>
      </c>
      <c r="M136" s="3">
        <v>40.613999999999997</v>
      </c>
    </row>
    <row r="137" spans="10:13" x14ac:dyDescent="0.3">
      <c r="J137" s="126">
        <v>45939.625</v>
      </c>
      <c r="K137" s="3">
        <v>58.323999999999998</v>
      </c>
      <c r="L137" s="126">
        <v>45939.625</v>
      </c>
      <c r="M137" s="3">
        <v>40.503999999999998</v>
      </c>
    </row>
    <row r="138" spans="10:13" x14ac:dyDescent="0.3">
      <c r="J138" s="126">
        <v>45940.625</v>
      </c>
      <c r="K138" s="3">
        <v>58.451999999999998</v>
      </c>
      <c r="L138" s="126">
        <v>45940.625</v>
      </c>
      <c r="M138" s="3">
        <v>41.215000000000003</v>
      </c>
    </row>
    <row r="139" spans="10:13" x14ac:dyDescent="0.3">
      <c r="J139" s="126">
        <v>45943.625</v>
      </c>
      <c r="K139" s="3">
        <v>59.344000000000001</v>
      </c>
      <c r="L139" s="126">
        <v>45943.625</v>
      </c>
      <c r="M139" s="3">
        <v>42.545000000000002</v>
      </c>
    </row>
    <row r="140" spans="10:13" x14ac:dyDescent="0.3">
      <c r="J140" s="126">
        <v>45944.625</v>
      </c>
      <c r="K140" s="3">
        <v>60.168999999999997</v>
      </c>
      <c r="L140" s="126">
        <v>45944.625</v>
      </c>
      <c r="M140" s="3">
        <v>42.634</v>
      </c>
    </row>
    <row r="141" spans="10:13" x14ac:dyDescent="0.3">
      <c r="J141" s="126">
        <v>45945.625</v>
      </c>
      <c r="K141" s="3">
        <v>58.076000000000001</v>
      </c>
      <c r="L141" s="126">
        <v>45945.625</v>
      </c>
      <c r="M141" s="3">
        <v>40.781999999999996</v>
      </c>
    </row>
    <row r="142" spans="10:13" x14ac:dyDescent="0.3">
      <c r="J142" s="126">
        <v>45946.625</v>
      </c>
      <c r="K142" s="3">
        <v>57.722999999999999</v>
      </c>
      <c r="L142" s="126">
        <v>45946.625</v>
      </c>
      <c r="M142" s="3">
        <v>40.509</v>
      </c>
    </row>
  </sheetData>
  <mergeCells count="2">
    <mergeCell ref="B12:D12"/>
    <mergeCell ref="E12:G12"/>
  </mergeCells>
  <conditionalFormatting sqref="M1:M7 H8:H1048576">
    <cfRule type="cellIs" dxfId="11" priority="1" operator="lessThan">
      <formula>0</formula>
    </cfRule>
  </conditionalFormatting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04F07A-A306-493C-9741-6E1F9D9D790F}">
  <dimension ref="A1:M135"/>
  <sheetViews>
    <sheetView zoomScale="80" zoomScaleNormal="80" workbookViewId="0">
      <selection activeCell="B26" sqref="B26"/>
    </sheetView>
  </sheetViews>
  <sheetFormatPr defaultColWidth="8.88671875" defaultRowHeight="14.4" x14ac:dyDescent="0.3"/>
  <cols>
    <col min="1" max="1" width="15.44140625" style="3" bestFit="1" customWidth="1"/>
    <col min="2" max="3" width="18.33203125" style="3" bestFit="1" customWidth="1"/>
    <col min="4" max="4" width="16.88671875" style="3" customWidth="1"/>
    <col min="5" max="5" width="24.6640625" style="3" bestFit="1" customWidth="1"/>
    <col min="6" max="6" width="10.44140625" style="3" bestFit="1" customWidth="1"/>
    <col min="7" max="7" width="10.5546875" style="3" bestFit="1" customWidth="1"/>
    <col min="8" max="8" width="11.88671875" style="3" bestFit="1" customWidth="1"/>
    <col min="9" max="9" width="10.6640625" style="3" bestFit="1" customWidth="1"/>
    <col min="10" max="10" width="15.6640625" style="3" hidden="1" customWidth="1"/>
    <col min="11" max="11" width="10.33203125" style="62" hidden="1" customWidth="1"/>
    <col min="12" max="12" width="12.33203125" style="3" hidden="1" customWidth="1"/>
    <col min="13" max="13" width="8.88671875" style="62" hidden="1" customWidth="1"/>
    <col min="14" max="16384" width="8.88671875" style="3"/>
  </cols>
  <sheetData>
    <row r="1" spans="1:13" ht="15" thickBot="1" x14ac:dyDescent="0.35">
      <c r="A1" s="1"/>
      <c r="B1" s="1"/>
      <c r="C1" s="1"/>
      <c r="D1" s="1"/>
      <c r="I1" s="1"/>
      <c r="J1" s="53"/>
      <c r="L1" s="1"/>
      <c r="M1" s="46"/>
    </row>
    <row r="2" spans="1:13" ht="15" thickBot="1" x14ac:dyDescent="0.35">
      <c r="A2" s="30"/>
      <c r="B2" s="40" t="s">
        <v>0</v>
      </c>
      <c r="C2" s="28" t="s">
        <v>1</v>
      </c>
      <c r="E2" s="127" t="s">
        <v>101</v>
      </c>
      <c r="F2" s="128">
        <v>0.625</v>
      </c>
      <c r="J2" s="27" t="s">
        <v>0</v>
      </c>
      <c r="K2" s="46"/>
      <c r="L2" s="28" t="s">
        <v>1</v>
      </c>
      <c r="M2" s="46"/>
    </row>
    <row r="3" spans="1:13" x14ac:dyDescent="0.3">
      <c r="A3" s="15" t="s">
        <v>32</v>
      </c>
      <c r="B3" s="64" t="s">
        <v>40</v>
      </c>
      <c r="C3" s="65" t="s">
        <v>41</v>
      </c>
      <c r="J3" s="126" cm="1">
        <f t="array" ref="J3:K135">_xll.BDH(B4, "LAST_PRICE", "01/01/2025 15:00:00", "01/01/2035 16:00:00", "BarSize=60", "BarType=T", "RecurDaily=True", "TZ=London")</f>
        <v>45751.625</v>
      </c>
      <c r="K3" s="46">
        <v>89.521000000000001</v>
      </c>
      <c r="L3" s="52" cm="1">
        <f t="array" ref="L3:M63">_xll.BDH(C4, "LAST_PRICE", "01/01/2025 15:00:00", "01/01/2035 16:00:00", "BarSize=60", "BarType=T", "RecurDaily=True", "TZ=London")</f>
        <v>45859.625</v>
      </c>
      <c r="M3" s="46">
        <v>101.462</v>
      </c>
    </row>
    <row r="4" spans="1:13" ht="32.25" customHeight="1" x14ac:dyDescent="0.3">
      <c r="A4" s="15" t="s">
        <v>33</v>
      </c>
      <c r="B4" s="66" t="s">
        <v>42</v>
      </c>
      <c r="C4" s="42" t="s">
        <v>43</v>
      </c>
      <c r="I4" s="1"/>
      <c r="J4" s="130">
        <v>45754.625</v>
      </c>
      <c r="K4" s="46">
        <v>86.241</v>
      </c>
      <c r="L4" s="53">
        <v>45860.625</v>
      </c>
      <c r="M4" s="46">
        <v>101.461</v>
      </c>
    </row>
    <row r="5" spans="1:13" x14ac:dyDescent="0.3">
      <c r="A5" s="15" t="s">
        <v>8</v>
      </c>
      <c r="B5" s="67">
        <f>18*10^6</f>
        <v>18000000</v>
      </c>
      <c r="C5" s="8">
        <f>10*10^6</f>
        <v>10000000</v>
      </c>
      <c r="I5" s="1"/>
      <c r="J5" s="130">
        <v>45755.625</v>
      </c>
      <c r="K5" s="46">
        <v>87.18</v>
      </c>
      <c r="L5" s="53">
        <v>45861.625</v>
      </c>
      <c r="M5" s="46">
        <v>101.749</v>
      </c>
    </row>
    <row r="6" spans="1:13" x14ac:dyDescent="0.3">
      <c r="A6" s="15" t="s">
        <v>10</v>
      </c>
      <c r="B6" s="68">
        <v>4.3749999999999997E-2</v>
      </c>
      <c r="C6" s="63">
        <v>7.6249999999999998E-2</v>
      </c>
      <c r="I6" s="1"/>
      <c r="J6" s="130">
        <v>45756.625</v>
      </c>
      <c r="K6" s="46">
        <v>84.856999999999999</v>
      </c>
      <c r="L6" s="53">
        <v>45862.625</v>
      </c>
      <c r="M6" s="46">
        <v>101.851</v>
      </c>
    </row>
    <row r="7" spans="1:13" x14ac:dyDescent="0.3">
      <c r="A7" s="15" t="s">
        <v>12</v>
      </c>
      <c r="B7" s="69">
        <v>4.2299999999999997E-2</v>
      </c>
      <c r="C7" s="10">
        <v>4.2299999999999997E-2</v>
      </c>
      <c r="I7" s="1"/>
      <c r="J7" s="130">
        <v>45757.625</v>
      </c>
      <c r="K7" s="46">
        <v>86.483999999999995</v>
      </c>
      <c r="L7" s="53">
        <v>45863.625</v>
      </c>
      <c r="M7" s="46">
        <v>101.883</v>
      </c>
    </row>
    <row r="8" spans="1:13" x14ac:dyDescent="0.3">
      <c r="A8" s="15" t="s">
        <v>14</v>
      </c>
      <c r="B8" s="4" t="s">
        <v>23</v>
      </c>
      <c r="C8" s="5" t="s">
        <v>23</v>
      </c>
      <c r="E8" s="1"/>
      <c r="F8" s="1"/>
      <c r="G8" s="1"/>
      <c r="H8" s="1"/>
      <c r="I8" s="1"/>
      <c r="J8" s="126">
        <v>45758.625</v>
      </c>
      <c r="K8" s="62">
        <v>85.887</v>
      </c>
      <c r="L8" s="52">
        <v>45866.625</v>
      </c>
      <c r="M8" s="62">
        <v>102.01300000000001</v>
      </c>
    </row>
    <row r="9" spans="1:13" x14ac:dyDescent="0.3">
      <c r="A9" s="15" t="s">
        <v>15</v>
      </c>
      <c r="B9" s="4" t="s">
        <v>23</v>
      </c>
      <c r="C9" s="5" t="s">
        <v>23</v>
      </c>
      <c r="E9" s="1"/>
      <c r="F9" s="1"/>
      <c r="G9" s="1"/>
      <c r="H9" s="1"/>
      <c r="I9" s="1"/>
      <c r="J9" s="126">
        <v>45761.625</v>
      </c>
      <c r="K9" s="62">
        <v>86.480999999999995</v>
      </c>
      <c r="L9" s="52">
        <v>45867.625</v>
      </c>
      <c r="M9" s="62">
        <v>102.40600000000001</v>
      </c>
    </row>
    <row r="10" spans="1:13" ht="15" thickBot="1" x14ac:dyDescent="0.35">
      <c r="A10" s="16" t="s">
        <v>28</v>
      </c>
      <c r="B10" s="11" cm="1">
        <f t="array" ref="B10">_xll.BDP(B4,"px_last")</f>
        <v>95.188000000000002</v>
      </c>
      <c r="C10" s="22" cm="1">
        <f t="array" ref="C10">_xll.BDP(C4,"px_last")</f>
        <v>105.395</v>
      </c>
      <c r="E10" s="1"/>
      <c r="F10" s="1"/>
      <c r="G10" s="1"/>
      <c r="H10" s="1"/>
      <c r="I10" s="1"/>
      <c r="J10" s="126">
        <v>45762.625</v>
      </c>
      <c r="K10" s="62">
        <v>87.161000000000001</v>
      </c>
      <c r="L10" s="52">
        <v>45868.625</v>
      </c>
      <c r="M10" s="62">
        <v>102.268</v>
      </c>
    </row>
    <row r="11" spans="1:13" ht="15" thickBot="1" x14ac:dyDescent="0.35">
      <c r="C11" s="1"/>
      <c r="D11" s="1"/>
      <c r="E11" s="1"/>
      <c r="F11" s="1"/>
      <c r="G11" s="1"/>
      <c r="H11" s="1"/>
      <c r="I11" s="1"/>
      <c r="J11" s="126">
        <v>45763.625</v>
      </c>
      <c r="K11" s="62">
        <v>87.661000000000001</v>
      </c>
      <c r="L11" s="52">
        <v>45869.625</v>
      </c>
      <c r="M11" s="62">
        <v>102.7</v>
      </c>
    </row>
    <row r="12" spans="1:13" ht="15" thickBot="1" x14ac:dyDescent="0.35">
      <c r="A12" s="39" t="s">
        <v>22</v>
      </c>
      <c r="B12" s="135" t="s">
        <v>0</v>
      </c>
      <c r="C12" s="136"/>
      <c r="D12" s="137"/>
      <c r="E12" s="138" t="s">
        <v>1</v>
      </c>
      <c r="F12" s="139"/>
      <c r="G12" s="140"/>
      <c r="H12" s="39" t="s">
        <v>16</v>
      </c>
      <c r="I12" s="1"/>
      <c r="J12" s="126">
        <v>45764.625</v>
      </c>
      <c r="K12" s="62">
        <v>88.685000000000002</v>
      </c>
      <c r="L12" s="52">
        <v>45870.625</v>
      </c>
      <c r="M12" s="62">
        <v>102.351</v>
      </c>
    </row>
    <row r="13" spans="1:13" ht="15" thickBot="1" x14ac:dyDescent="0.35">
      <c r="A13" s="16"/>
      <c r="B13" s="11" t="s">
        <v>17</v>
      </c>
      <c r="C13" s="21" t="s">
        <v>21</v>
      </c>
      <c r="D13" s="22" t="s">
        <v>20</v>
      </c>
      <c r="E13" s="11" t="s">
        <v>17</v>
      </c>
      <c r="F13" s="21" t="s">
        <v>21</v>
      </c>
      <c r="G13" s="22" t="s">
        <v>20</v>
      </c>
      <c r="H13" s="16"/>
      <c r="I13" s="1"/>
      <c r="J13" s="126">
        <v>45768.625</v>
      </c>
      <c r="K13" s="62">
        <v>88.53</v>
      </c>
      <c r="L13" s="52">
        <v>45873.625</v>
      </c>
      <c r="M13" s="62">
        <v>102.357</v>
      </c>
    </row>
    <row r="14" spans="1:13" x14ac:dyDescent="0.3">
      <c r="A14" s="36">
        <v>45930</v>
      </c>
      <c r="B14" s="45">
        <v>94.875</v>
      </c>
      <c r="C14" s="46"/>
      <c r="D14" s="47"/>
      <c r="E14" s="4">
        <v>105.75</v>
      </c>
      <c r="F14" s="1"/>
      <c r="G14" s="5"/>
      <c r="H14" s="81">
        <v>0</v>
      </c>
      <c r="I14" s="1"/>
      <c r="J14" s="126">
        <v>45769.625</v>
      </c>
      <c r="K14" s="62">
        <v>88.399000000000001</v>
      </c>
      <c r="L14" s="52">
        <v>45874.625</v>
      </c>
      <c r="M14" s="62">
        <v>102.56</v>
      </c>
    </row>
    <row r="15" spans="1:13" x14ac:dyDescent="0.3">
      <c r="A15" s="36">
        <v>45931</v>
      </c>
      <c r="B15" s="45">
        <f>VLOOKUP(A15+$F$2,J:K,2)</f>
        <v>94.775999999999996</v>
      </c>
      <c r="C15" s="31">
        <f t="shared" ref="C15:C20" si="0">(B15-$B$14)/100*$B$5</f>
        <v>-17820.000000000677</v>
      </c>
      <c r="D15" s="32">
        <f t="shared" ref="D15:D20" si="1">(A15-$A$14)/360*$B$6*$B$5-(A15-$A$14)/360*$B$7*$B$5*$B$14/100</f>
        <v>180.89374999999995</v>
      </c>
      <c r="E15" s="4">
        <f>VLOOKUP(A15+$F$2,L:M,2)</f>
        <v>105.97199999999999</v>
      </c>
      <c r="F15" s="31">
        <f t="shared" ref="F15:F20" si="2">(E15-$E$14)/100*$C$5</f>
        <v>22199.999999999422</v>
      </c>
      <c r="G15" s="32">
        <f t="shared" ref="G15:G20" si="3">(A15-$A$14)/360*$C$6*$C$5-(A15-$A$14)/360*$C$7*$C$5*$E$14/100</f>
        <v>875.49305555555566</v>
      </c>
      <c r="H15" s="82">
        <f t="shared" ref="H15:H20" si="4">C15+D15-F15-G15</f>
        <v>-40714.599305555654</v>
      </c>
      <c r="I15" s="1"/>
      <c r="J15" s="126">
        <v>45770.625</v>
      </c>
      <c r="K15" s="62">
        <v>89.498999999999995</v>
      </c>
      <c r="L15" s="52">
        <v>45875.625</v>
      </c>
      <c r="M15" s="62">
        <v>102.556</v>
      </c>
    </row>
    <row r="16" spans="1:13" x14ac:dyDescent="0.3">
      <c r="A16" s="36">
        <v>45932</v>
      </c>
      <c r="B16" s="45">
        <f t="shared" ref="B16:B25" si="5">VLOOKUP(A16+$F$2,J:K,2)</f>
        <v>94.875</v>
      </c>
      <c r="C16" s="31">
        <f t="shared" si="0"/>
        <v>0</v>
      </c>
      <c r="D16" s="32">
        <f t="shared" si="1"/>
        <v>361.78749999999991</v>
      </c>
      <c r="E16" s="4">
        <f t="shared" ref="E16:E25" si="6">VLOOKUP(A16+$F$2,L:M,2)</f>
        <v>106.182</v>
      </c>
      <c r="F16" s="31">
        <f t="shared" si="2"/>
        <v>43200.000000000218</v>
      </c>
      <c r="G16" s="32">
        <f t="shared" si="3"/>
        <v>1750.9861111111113</v>
      </c>
      <c r="H16" s="82">
        <f t="shared" si="4"/>
        <v>-44589.198611111329</v>
      </c>
      <c r="I16" s="1"/>
      <c r="J16" s="126">
        <v>45771.625</v>
      </c>
      <c r="K16" s="62">
        <v>89.617000000000004</v>
      </c>
      <c r="L16" s="52">
        <v>45876.625</v>
      </c>
      <c r="M16" s="62">
        <v>102.75700000000001</v>
      </c>
    </row>
    <row r="17" spans="1:13" x14ac:dyDescent="0.3">
      <c r="A17" s="36">
        <v>45933</v>
      </c>
      <c r="B17" s="45">
        <f t="shared" si="5"/>
        <v>94.998000000000005</v>
      </c>
      <c r="C17" s="31">
        <f t="shared" si="0"/>
        <v>22140.00000000084</v>
      </c>
      <c r="D17" s="32">
        <f t="shared" si="1"/>
        <v>542.68125000000055</v>
      </c>
      <c r="E17" s="4">
        <f t="shared" si="6"/>
        <v>106.56399999999999</v>
      </c>
      <c r="F17" s="31">
        <f t="shared" si="2"/>
        <v>81399.999999999302</v>
      </c>
      <c r="G17" s="32">
        <f t="shared" si="3"/>
        <v>2626.4791666666665</v>
      </c>
      <c r="H17" s="82">
        <f t="shared" si="4"/>
        <v>-61343.797916665128</v>
      </c>
      <c r="I17" s="1"/>
      <c r="J17" s="126">
        <v>45772.625</v>
      </c>
      <c r="K17" s="62">
        <v>89.903000000000006</v>
      </c>
      <c r="L17" s="52">
        <v>45877.625</v>
      </c>
      <c r="M17" s="62">
        <v>103.453</v>
      </c>
    </row>
    <row r="18" spans="1:13" x14ac:dyDescent="0.3">
      <c r="A18" s="36">
        <v>45936</v>
      </c>
      <c r="B18" s="45">
        <f t="shared" si="5"/>
        <v>94.927999999999997</v>
      </c>
      <c r="C18" s="31">
        <f t="shared" si="0"/>
        <v>9539.9999999995107</v>
      </c>
      <c r="D18" s="32">
        <f t="shared" si="1"/>
        <v>1085.3625000000011</v>
      </c>
      <c r="E18" s="4">
        <f t="shared" si="6"/>
        <v>106.185</v>
      </c>
      <c r="F18" s="31">
        <f t="shared" si="2"/>
        <v>43500.000000000233</v>
      </c>
      <c r="G18" s="32">
        <f t="shared" si="3"/>
        <v>5252.958333333333</v>
      </c>
      <c r="H18" s="82">
        <f t="shared" si="4"/>
        <v>-38127.59583333406</v>
      </c>
      <c r="I18" s="1"/>
      <c r="J18" s="126">
        <v>45775.625</v>
      </c>
      <c r="K18" s="62">
        <v>90.022999999999996</v>
      </c>
      <c r="L18" s="52">
        <v>45880.625</v>
      </c>
      <c r="M18" s="62">
        <v>103.404</v>
      </c>
    </row>
    <row r="19" spans="1:13" x14ac:dyDescent="0.3">
      <c r="A19" s="36">
        <v>45937</v>
      </c>
      <c r="B19" s="45">
        <f t="shared" si="5"/>
        <v>94.911000000000001</v>
      </c>
      <c r="C19" s="31">
        <f t="shared" si="0"/>
        <v>6480.0000000002456</v>
      </c>
      <c r="D19" s="32">
        <f t="shared" si="1"/>
        <v>1266.2562499999985</v>
      </c>
      <c r="E19" s="4">
        <f t="shared" si="6"/>
        <v>106.161</v>
      </c>
      <c r="F19" s="31">
        <f t="shared" si="2"/>
        <v>41100.000000000138</v>
      </c>
      <c r="G19" s="32">
        <f t="shared" si="3"/>
        <v>6128.4513888888887</v>
      </c>
      <c r="H19" s="82">
        <f t="shared" si="4"/>
        <v>-39482.195138888783</v>
      </c>
      <c r="I19" s="1"/>
      <c r="J19" s="126">
        <v>45776.625</v>
      </c>
      <c r="K19" s="62">
        <v>89.804000000000002</v>
      </c>
      <c r="L19" s="52">
        <v>45881.625</v>
      </c>
      <c r="M19" s="62">
        <v>103.584</v>
      </c>
    </row>
    <row r="20" spans="1:13" x14ac:dyDescent="0.3">
      <c r="A20" s="36">
        <v>45938</v>
      </c>
      <c r="B20" s="45">
        <f t="shared" si="5"/>
        <v>94.834000000000003</v>
      </c>
      <c r="C20" s="31">
        <f t="shared" si="0"/>
        <v>-7379.999999999427</v>
      </c>
      <c r="D20" s="32">
        <f t="shared" si="1"/>
        <v>1447.1499999999996</v>
      </c>
      <c r="E20" s="4">
        <f t="shared" si="6"/>
        <v>106.06399999999999</v>
      </c>
      <c r="F20" s="31">
        <f t="shared" si="2"/>
        <v>31399.999999999294</v>
      </c>
      <c r="G20" s="32">
        <f t="shared" si="3"/>
        <v>7003.9444444444453</v>
      </c>
      <c r="H20" s="82">
        <f t="shared" si="4"/>
        <v>-44336.794444443171</v>
      </c>
      <c r="I20" s="1"/>
      <c r="J20" s="126">
        <v>45777.625</v>
      </c>
      <c r="K20" s="62">
        <v>89.712999999999994</v>
      </c>
      <c r="L20" s="52">
        <v>45882.625</v>
      </c>
      <c r="M20" s="62">
        <v>103.68600000000001</v>
      </c>
    </row>
    <row r="21" spans="1:13" x14ac:dyDescent="0.3">
      <c r="A21" s="36">
        <v>45939</v>
      </c>
      <c r="B21" s="45">
        <f t="shared" si="5"/>
        <v>94.65</v>
      </c>
      <c r="C21" s="31">
        <f t="shared" ref="C21" si="7">(B21-$B$14)/100*$B$5</f>
        <v>-40499.999999998974</v>
      </c>
      <c r="D21" s="32">
        <f t="shared" ref="D21" si="8">(A21-$A$14)/360*$B$6*$B$5-(A21-$A$14)/360*$B$7*$B$5*$B$14/100</f>
        <v>1628.0437499999971</v>
      </c>
      <c r="E21" s="4">
        <f t="shared" si="6"/>
        <v>105.71299999999999</v>
      </c>
      <c r="F21" s="31">
        <f t="shared" ref="F21" si="9">(E21-$E$14)/100*$C$5</f>
        <v>-3700.0000000006144</v>
      </c>
      <c r="G21" s="32">
        <f t="shared" ref="G21" si="10">(A21-$A$14)/360*$C$6*$C$5-(A21-$A$14)/360*$C$7*$C$5*$E$14/100</f>
        <v>7879.4375</v>
      </c>
      <c r="H21" s="82">
        <f t="shared" ref="H21" si="11">C21+D21-F21-G21</f>
        <v>-43051.393749998366</v>
      </c>
      <c r="I21" s="1"/>
      <c r="J21" s="126">
        <v>45778.625</v>
      </c>
      <c r="K21" s="62">
        <v>89.786000000000001</v>
      </c>
      <c r="L21" s="52">
        <v>45883.625</v>
      </c>
      <c r="M21" s="62">
        <v>103.584</v>
      </c>
    </row>
    <row r="22" spans="1:13" x14ac:dyDescent="0.3">
      <c r="A22" s="36">
        <v>45940</v>
      </c>
      <c r="B22" s="45">
        <f t="shared" si="5"/>
        <v>94.65</v>
      </c>
      <c r="C22" s="31">
        <f t="shared" ref="C22" si="12">(B22-$B$14)/100*$B$5</f>
        <v>-40499.999999998974</v>
      </c>
      <c r="D22" s="32">
        <f t="shared" ref="D22" si="13">(A22-$A$14)/360*$B$6*$B$5-(A22-$A$14)/360*$B$7*$B$5*$B$14/100</f>
        <v>1808.9375</v>
      </c>
      <c r="E22" s="4">
        <f t="shared" si="6"/>
        <v>105.71299999999999</v>
      </c>
      <c r="F22" s="31">
        <f t="shared" ref="F22" si="14">(E22-$E$14)/100*$C$5</f>
        <v>-3700.0000000006144</v>
      </c>
      <c r="G22" s="32">
        <f t="shared" ref="G22" si="15">(A22-$A$14)/360*$C$6*$C$5-(A22-$A$14)/360*$C$7*$C$5*$E$14/100</f>
        <v>8754.9305555555566</v>
      </c>
      <c r="H22" s="82">
        <f t="shared" ref="H22" si="16">C22+D22-F22-G22</f>
        <v>-43745.993055553918</v>
      </c>
      <c r="I22" s="1"/>
      <c r="J22" s="126">
        <v>45779.625</v>
      </c>
      <c r="K22" s="62">
        <v>90.061000000000007</v>
      </c>
      <c r="L22" s="52">
        <v>45884.625</v>
      </c>
      <c r="M22" s="62">
        <v>103.661</v>
      </c>
    </row>
    <row r="23" spans="1:13" x14ac:dyDescent="0.3">
      <c r="A23" s="36">
        <v>45943</v>
      </c>
      <c r="B23" s="45">
        <f t="shared" si="5"/>
        <v>94.65</v>
      </c>
      <c r="C23" s="31">
        <f t="shared" ref="C23" si="17">(B23-$B$14)/100*$B$5</f>
        <v>-40499.999999998974</v>
      </c>
      <c r="D23" s="32">
        <f t="shared" ref="D23" si="18">(A23-$A$14)/360*$B$6*$B$5-(A23-$A$14)/360*$B$7*$B$5*$B$14/100</f>
        <v>2351.6187500000015</v>
      </c>
      <c r="E23" s="4">
        <f t="shared" si="6"/>
        <v>105.71299999999999</v>
      </c>
      <c r="F23" s="31">
        <f t="shared" ref="F23" si="19">(E23-$E$14)/100*$C$5</f>
        <v>-3700.0000000006144</v>
      </c>
      <c r="G23" s="32">
        <f t="shared" ref="G23" si="20">(A23-$A$14)/360*$C$6*$C$5-(A23-$A$14)/360*$C$7*$C$5*$E$14/100</f>
        <v>11381.409722222221</v>
      </c>
      <c r="H23" s="82">
        <f t="shared" ref="H23" si="21">C23+D23-F23-G23</f>
        <v>-45829.79097222058</v>
      </c>
      <c r="I23" s="1"/>
      <c r="J23" s="126">
        <v>45782.625</v>
      </c>
      <c r="K23" s="62">
        <v>90.048000000000002</v>
      </c>
      <c r="L23" s="52">
        <v>45887.625</v>
      </c>
      <c r="M23" s="62">
        <v>103.56100000000001</v>
      </c>
    </row>
    <row r="24" spans="1:13" x14ac:dyDescent="0.3">
      <c r="A24" s="36">
        <v>45944</v>
      </c>
      <c r="B24" s="45">
        <f t="shared" si="5"/>
        <v>94.346999999999994</v>
      </c>
      <c r="C24" s="31">
        <f t="shared" ref="C24" si="22">(B24-$B$14)/100*$B$5</f>
        <v>-95040.000000001048</v>
      </c>
      <c r="D24" s="32">
        <f t="shared" ref="D24" si="23">(A24-$A$14)/360*$B$6*$B$5-(A24-$A$14)/360*$B$7*$B$5*$B$14/100</f>
        <v>2532.5124999999971</v>
      </c>
      <c r="E24" s="4">
        <f t="shared" si="6"/>
        <v>104.839</v>
      </c>
      <c r="F24" s="31">
        <f t="shared" ref="F24" si="24">(E24-$E$14)/100*$C$5</f>
        <v>-91100.000000000146</v>
      </c>
      <c r="G24" s="32">
        <f t="shared" ref="G24" si="25">(A24-$A$14)/360*$C$6*$C$5-(A24-$A$14)/360*$C$7*$C$5*$E$14/100</f>
        <v>12256.902777777777</v>
      </c>
      <c r="H24" s="82">
        <f t="shared" ref="H24" si="26">C24+D24-F24-G24</f>
        <v>-13664.390277778683</v>
      </c>
      <c r="I24" s="1"/>
      <c r="J24" s="126">
        <v>45783.625</v>
      </c>
      <c r="K24" s="62">
        <v>90.156000000000006</v>
      </c>
      <c r="L24" s="52">
        <v>45888.625</v>
      </c>
      <c r="M24" s="62">
        <v>103.69799999999999</v>
      </c>
    </row>
    <row r="25" spans="1:13" x14ac:dyDescent="0.3">
      <c r="A25" s="36">
        <v>45945</v>
      </c>
      <c r="B25" s="45">
        <f t="shared" si="5"/>
        <v>94.986999999999995</v>
      </c>
      <c r="C25" s="31">
        <f t="shared" ref="C25" si="27">(B25-$B$14)/100*$B$5</f>
        <v>20159.999999999058</v>
      </c>
      <c r="D25" s="32">
        <f t="shared" ref="D25" si="28">(A25-$A$14)/360*$B$6*$B$5-(A25-$A$14)/360*$B$7*$B$5*$B$14/100</f>
        <v>2713.4062500000036</v>
      </c>
      <c r="E25" s="4">
        <f t="shared" si="6"/>
        <v>106.086</v>
      </c>
      <c r="F25" s="31">
        <f t="shared" ref="F25" si="29">(E25-$E$14)/100*$C$5</f>
        <v>33599.999999999854</v>
      </c>
      <c r="G25" s="32">
        <f t="shared" ref="G25" si="30">(A25-$A$14)/360*$C$6*$C$5-(A25-$A$14)/360*$C$7*$C$5*$E$14/100</f>
        <v>13132.395833333332</v>
      </c>
      <c r="H25" s="82">
        <f t="shared" ref="H25" si="31">C25+D25-F25-G25</f>
        <v>-23858.989583334125</v>
      </c>
      <c r="I25" s="1"/>
      <c r="J25" s="126">
        <v>45784.625</v>
      </c>
      <c r="K25" s="62">
        <v>90.430999999999997</v>
      </c>
      <c r="L25" s="52">
        <v>45889.625</v>
      </c>
      <c r="M25" s="62">
        <v>103.352</v>
      </c>
    </row>
    <row r="26" spans="1:13" x14ac:dyDescent="0.3">
      <c r="A26" s="36">
        <v>45946</v>
      </c>
      <c r="B26" s="45">
        <f t="shared" ref="B26" si="32">VLOOKUP(A26+$F$2,J:K,2)</f>
        <v>95.355000000000004</v>
      </c>
      <c r="C26" s="31">
        <f t="shared" ref="C26:C27" si="33">(B26-$B$14)/100*$B$5</f>
        <v>86400.000000000713</v>
      </c>
      <c r="D26" s="32">
        <f t="shared" ref="D26:D27" si="34">(A26-$A$14)/360*$B$6*$B$5-(A26-$A$14)/360*$B$7*$B$5*$B$14/100</f>
        <v>2894.2999999999993</v>
      </c>
      <c r="E26" s="4">
        <f t="shared" ref="E26" si="35">VLOOKUP(A26+$F$2,L:M,2)</f>
        <v>105.911</v>
      </c>
      <c r="F26" s="31">
        <f t="shared" ref="F26:F27" si="36">(E26-$E$14)/100*$C$5</f>
        <v>16100.000000000135</v>
      </c>
      <c r="G26" s="32">
        <f t="shared" ref="G26:G27" si="37">(A26-$A$14)/360*$C$6*$C$5-(A26-$A$14)/360*$C$7*$C$5*$E$14/100</f>
        <v>14007.888888888891</v>
      </c>
      <c r="H26" s="82">
        <f t="shared" ref="H26:H27" si="38">C26+D26-F26-G26</f>
        <v>59186.411111111694</v>
      </c>
      <c r="I26" s="1"/>
      <c r="J26" s="126">
        <v>45785.625</v>
      </c>
      <c r="K26" s="62">
        <v>90.667000000000002</v>
      </c>
      <c r="L26" s="52">
        <v>45890.625</v>
      </c>
      <c r="M26" s="62">
        <v>103.078</v>
      </c>
    </row>
    <row r="27" spans="1:13" x14ac:dyDescent="0.3">
      <c r="A27" s="131">
        <v>45947</v>
      </c>
      <c r="B27" s="45">
        <f>$B$10</f>
        <v>95.188000000000002</v>
      </c>
      <c r="C27" s="31">
        <f t="shared" si="33"/>
        <v>56340.000000000429</v>
      </c>
      <c r="D27" s="32">
        <f t="shared" si="34"/>
        <v>3075.1937500000058</v>
      </c>
      <c r="E27" s="4">
        <f>$C$10</f>
        <v>105.395</v>
      </c>
      <c r="F27" s="31">
        <f t="shared" si="36"/>
        <v>-35500.0000000004</v>
      </c>
      <c r="G27" s="32">
        <f t="shared" si="37"/>
        <v>14883.381944444442</v>
      </c>
      <c r="H27" s="82">
        <f t="shared" si="38"/>
        <v>80031.811805556397</v>
      </c>
      <c r="I27" s="1"/>
      <c r="J27" s="126">
        <v>45786.625</v>
      </c>
      <c r="K27" s="62">
        <v>91.271000000000001</v>
      </c>
      <c r="L27" s="52">
        <v>45891.625</v>
      </c>
      <c r="M27" s="62">
        <v>103.32899999999999</v>
      </c>
    </row>
    <row r="28" spans="1:13" x14ac:dyDescent="0.3">
      <c r="A28" s="131">
        <v>45950</v>
      </c>
      <c r="B28" s="45"/>
      <c r="C28" s="31"/>
      <c r="D28" s="32"/>
      <c r="E28" s="4"/>
      <c r="F28" s="31"/>
      <c r="G28" s="32"/>
      <c r="H28" s="18"/>
      <c r="I28" s="1"/>
      <c r="J28" s="126">
        <v>45789.625</v>
      </c>
      <c r="K28" s="62">
        <v>91.808000000000007</v>
      </c>
      <c r="L28" s="52">
        <v>45894.625</v>
      </c>
      <c r="M28" s="62">
        <v>103.706</v>
      </c>
    </row>
    <row r="29" spans="1:13" x14ac:dyDescent="0.3">
      <c r="A29" s="131">
        <v>45951</v>
      </c>
      <c r="B29" s="45"/>
      <c r="C29" s="31"/>
      <c r="D29" s="32"/>
      <c r="E29" s="4"/>
      <c r="F29" s="31"/>
      <c r="G29" s="32"/>
      <c r="H29" s="38"/>
      <c r="I29" s="1"/>
      <c r="J29" s="126">
        <v>45790.625</v>
      </c>
      <c r="K29" s="62">
        <v>91.846999999999994</v>
      </c>
      <c r="L29" s="52">
        <v>45895.625</v>
      </c>
      <c r="M29" s="62">
        <v>103.366</v>
      </c>
    </row>
    <row r="30" spans="1:13" x14ac:dyDescent="0.3">
      <c r="A30" s="131">
        <v>45952</v>
      </c>
      <c r="B30" s="45"/>
      <c r="C30" s="31"/>
      <c r="D30" s="32"/>
      <c r="E30" s="4"/>
      <c r="F30" s="31"/>
      <c r="G30" s="32"/>
      <c r="H30" s="38"/>
      <c r="I30" s="1"/>
      <c r="J30" s="126">
        <v>45791.625</v>
      </c>
      <c r="K30" s="62">
        <v>91.81</v>
      </c>
      <c r="L30" s="52">
        <v>45896.625</v>
      </c>
      <c r="M30" s="62">
        <v>103.446</v>
      </c>
    </row>
    <row r="31" spans="1:13" x14ac:dyDescent="0.3">
      <c r="A31" s="131">
        <v>45953</v>
      </c>
      <c r="B31" s="45"/>
      <c r="C31" s="31"/>
      <c r="D31" s="32"/>
      <c r="E31" s="4"/>
      <c r="F31" s="31"/>
      <c r="G31" s="32"/>
      <c r="H31" s="38"/>
      <c r="I31" s="1"/>
      <c r="J31" s="126">
        <v>45792.625</v>
      </c>
      <c r="K31" s="62">
        <v>91.201999999999998</v>
      </c>
      <c r="L31" s="52">
        <v>45897.625</v>
      </c>
      <c r="M31" s="62">
        <v>103.749</v>
      </c>
    </row>
    <row r="32" spans="1:13" x14ac:dyDescent="0.3">
      <c r="A32" s="131">
        <v>45954</v>
      </c>
      <c r="B32" s="45"/>
      <c r="C32" s="31"/>
      <c r="D32" s="32"/>
      <c r="E32" s="4"/>
      <c r="F32" s="31"/>
      <c r="G32" s="32"/>
      <c r="H32" s="38"/>
      <c r="I32" s="1"/>
      <c r="J32" s="126">
        <v>45793.625</v>
      </c>
      <c r="K32" s="62">
        <v>91.384</v>
      </c>
      <c r="L32" s="52">
        <v>45898.625</v>
      </c>
      <c r="M32" s="62">
        <v>103.458</v>
      </c>
    </row>
    <row r="33" spans="1:13" x14ac:dyDescent="0.3">
      <c r="A33" s="131">
        <v>45955</v>
      </c>
      <c r="B33" s="45"/>
      <c r="C33" s="31"/>
      <c r="D33" s="32"/>
      <c r="E33" s="4"/>
      <c r="F33" s="31"/>
      <c r="G33" s="32"/>
      <c r="H33" s="38"/>
      <c r="I33" s="1"/>
      <c r="J33" s="126">
        <v>45796.625</v>
      </c>
      <c r="K33" s="62">
        <v>90.736000000000004</v>
      </c>
      <c r="L33" s="52">
        <v>45902.625</v>
      </c>
      <c r="M33" s="62">
        <v>102.735</v>
      </c>
    </row>
    <row r="34" spans="1:13" x14ac:dyDescent="0.3">
      <c r="A34" s="131">
        <v>45956</v>
      </c>
      <c r="B34" s="45"/>
      <c r="C34" s="31"/>
      <c r="D34" s="32"/>
      <c r="E34" s="4"/>
      <c r="F34" s="31"/>
      <c r="G34" s="32"/>
      <c r="H34" s="38"/>
      <c r="I34" s="1"/>
      <c r="J34" s="126">
        <v>45797.625</v>
      </c>
      <c r="K34" s="62">
        <v>91.295000000000002</v>
      </c>
      <c r="L34" s="52">
        <v>45903.625</v>
      </c>
      <c r="M34" s="62">
        <v>102.913</v>
      </c>
    </row>
    <row r="35" spans="1:13" x14ac:dyDescent="0.3">
      <c r="A35" s="15"/>
      <c r="B35" s="45"/>
      <c r="C35" s="31"/>
      <c r="D35" s="32"/>
      <c r="E35" s="4"/>
      <c r="F35" s="31"/>
      <c r="G35" s="32"/>
      <c r="H35" s="38"/>
      <c r="I35" s="1"/>
      <c r="J35" s="126">
        <v>45798.625</v>
      </c>
      <c r="K35" s="62">
        <v>91.424999999999997</v>
      </c>
      <c r="L35" s="52">
        <v>45904.625</v>
      </c>
      <c r="M35" s="62">
        <v>102.804</v>
      </c>
    </row>
    <row r="36" spans="1:13" x14ac:dyDescent="0.3">
      <c r="A36" s="15"/>
      <c r="B36" s="45"/>
      <c r="C36" s="31"/>
      <c r="D36" s="32"/>
      <c r="E36" s="4"/>
      <c r="F36" s="31"/>
      <c r="G36" s="32"/>
      <c r="H36" s="38"/>
      <c r="I36" s="1"/>
      <c r="J36" s="126">
        <v>45799.625</v>
      </c>
      <c r="K36" s="62">
        <v>90.965999999999994</v>
      </c>
      <c r="L36" s="52">
        <v>45905.625</v>
      </c>
      <c r="M36" s="62">
        <v>103.672</v>
      </c>
    </row>
    <row r="37" spans="1:13" x14ac:dyDescent="0.3">
      <c r="A37" s="15"/>
      <c r="B37" s="45"/>
      <c r="C37" s="31"/>
      <c r="D37" s="32"/>
      <c r="E37" s="4"/>
      <c r="F37" s="31"/>
      <c r="G37" s="32"/>
      <c r="H37" s="38"/>
      <c r="I37" s="1"/>
      <c r="J37" s="126">
        <v>45800.625</v>
      </c>
      <c r="K37" s="62">
        <v>90.989000000000004</v>
      </c>
      <c r="L37" s="52">
        <v>45908.625</v>
      </c>
      <c r="M37" s="62">
        <v>103.732</v>
      </c>
    </row>
    <row r="38" spans="1:13" x14ac:dyDescent="0.3">
      <c r="A38" s="15"/>
      <c r="B38" s="45"/>
      <c r="C38" s="31"/>
      <c r="D38" s="32"/>
      <c r="E38" s="4"/>
      <c r="F38" s="31"/>
      <c r="G38" s="32"/>
      <c r="H38" s="38"/>
      <c r="I38" s="1"/>
      <c r="J38" s="126">
        <v>45804.625</v>
      </c>
      <c r="K38" s="62">
        <v>91.275000000000006</v>
      </c>
      <c r="L38" s="52">
        <v>45909.625</v>
      </c>
      <c r="M38" s="62">
        <v>103.703</v>
      </c>
    </row>
    <row r="39" spans="1:13" x14ac:dyDescent="0.3">
      <c r="A39" s="15"/>
      <c r="B39" s="45"/>
      <c r="C39" s="31"/>
      <c r="D39" s="32"/>
      <c r="E39" s="4"/>
      <c r="F39" s="31"/>
      <c r="G39" s="32"/>
      <c r="H39" s="38"/>
      <c r="I39" s="1"/>
      <c r="J39" s="126">
        <v>45805.625</v>
      </c>
      <c r="K39" s="62">
        <v>91.344999999999999</v>
      </c>
      <c r="L39" s="52">
        <v>45910.625</v>
      </c>
      <c r="M39" s="62">
        <v>104.074</v>
      </c>
    </row>
    <row r="40" spans="1:13" x14ac:dyDescent="0.3">
      <c r="A40" s="15"/>
      <c r="B40" s="45"/>
      <c r="C40" s="31"/>
      <c r="D40" s="32"/>
      <c r="E40" s="4"/>
      <c r="F40" s="31"/>
      <c r="G40" s="32"/>
      <c r="H40" s="38"/>
      <c r="I40" s="1"/>
      <c r="J40" s="126">
        <v>45806.625</v>
      </c>
      <c r="K40" s="62">
        <v>91.444999999999993</v>
      </c>
      <c r="L40" s="52">
        <v>45911.625</v>
      </c>
      <c r="M40" s="62">
        <v>104.438</v>
      </c>
    </row>
    <row r="41" spans="1:13" ht="15" thickBot="1" x14ac:dyDescent="0.35">
      <c r="A41" s="16"/>
      <c r="B41" s="48"/>
      <c r="C41" s="49"/>
      <c r="D41" s="50"/>
      <c r="E41" s="11"/>
      <c r="F41" s="49"/>
      <c r="G41" s="50"/>
      <c r="H41" s="51"/>
      <c r="I41" s="1"/>
      <c r="J41" s="126">
        <v>45807.625</v>
      </c>
      <c r="K41" s="62">
        <v>91.534000000000006</v>
      </c>
      <c r="L41" s="52">
        <v>45912.625</v>
      </c>
      <c r="M41" s="62">
        <v>104.88</v>
      </c>
    </row>
    <row r="42" spans="1:13" x14ac:dyDescent="0.3">
      <c r="B42" s="62"/>
      <c r="C42" s="62"/>
      <c r="D42" s="62"/>
      <c r="F42" s="60"/>
      <c r="G42" s="60"/>
      <c r="H42" s="60"/>
      <c r="J42" s="126">
        <v>45810.625</v>
      </c>
      <c r="K42" s="62">
        <v>91.498000000000005</v>
      </c>
      <c r="L42" s="52">
        <v>45915.625</v>
      </c>
      <c r="M42" s="62">
        <v>105.64</v>
      </c>
    </row>
    <row r="43" spans="1:13" x14ac:dyDescent="0.3">
      <c r="B43" s="62"/>
      <c r="C43" s="62"/>
      <c r="D43" s="62"/>
      <c r="F43" s="60"/>
      <c r="G43" s="60"/>
      <c r="H43" s="60"/>
      <c r="J43" s="126">
        <v>45811.625</v>
      </c>
      <c r="K43" s="62">
        <v>91.686000000000007</v>
      </c>
      <c r="L43" s="52">
        <v>45916.625</v>
      </c>
      <c r="M43" s="62">
        <v>105.506</v>
      </c>
    </row>
    <row r="44" spans="1:13" x14ac:dyDescent="0.3">
      <c r="B44" s="62"/>
      <c r="C44" s="62"/>
      <c r="D44" s="62"/>
      <c r="F44" s="60"/>
      <c r="G44" s="60"/>
      <c r="H44" s="60"/>
      <c r="J44" s="126">
        <v>45812.625</v>
      </c>
      <c r="K44" s="62">
        <v>91.866</v>
      </c>
      <c r="L44" s="52">
        <v>45917.625</v>
      </c>
      <c r="M44" s="62">
        <v>105.589</v>
      </c>
    </row>
    <row r="45" spans="1:13" x14ac:dyDescent="0.3">
      <c r="B45" s="62"/>
      <c r="C45" s="62"/>
      <c r="D45" s="62"/>
      <c r="F45" s="60"/>
      <c r="G45" s="60"/>
      <c r="H45" s="60"/>
      <c r="J45" s="126">
        <v>45813.625</v>
      </c>
      <c r="K45" s="62">
        <v>92.236000000000004</v>
      </c>
      <c r="L45" s="52">
        <v>45918.625</v>
      </c>
      <c r="M45" s="62">
        <v>105.7</v>
      </c>
    </row>
    <row r="46" spans="1:13" x14ac:dyDescent="0.3">
      <c r="B46" s="62"/>
      <c r="C46" s="62"/>
      <c r="D46" s="62"/>
      <c r="J46" s="126">
        <v>45814.625</v>
      </c>
      <c r="K46" s="62">
        <v>92.4</v>
      </c>
      <c r="L46" s="52">
        <v>45919.625</v>
      </c>
      <c r="M46" s="62">
        <v>105.929</v>
      </c>
    </row>
    <row r="47" spans="1:13" x14ac:dyDescent="0.3">
      <c r="B47" s="62"/>
      <c r="C47" s="62"/>
      <c r="D47" s="62"/>
      <c r="J47" s="126">
        <v>45817.625</v>
      </c>
      <c r="K47" s="62">
        <v>92.602000000000004</v>
      </c>
      <c r="L47" s="52">
        <v>45922.625</v>
      </c>
      <c r="M47" s="62">
        <v>105.965</v>
      </c>
    </row>
    <row r="48" spans="1:13" x14ac:dyDescent="0.3">
      <c r="B48" s="62"/>
      <c r="C48" s="62"/>
      <c r="D48" s="62"/>
      <c r="J48" s="126">
        <v>45818.625</v>
      </c>
      <c r="K48" s="62">
        <v>92.813999999999993</v>
      </c>
      <c r="L48" s="52">
        <v>45923.625</v>
      </c>
      <c r="M48" s="62">
        <v>106.09099999999999</v>
      </c>
    </row>
    <row r="49" spans="2:13" x14ac:dyDescent="0.3">
      <c r="B49" s="62"/>
      <c r="C49" s="62"/>
      <c r="D49" s="62"/>
      <c r="J49" s="126">
        <v>45819.625</v>
      </c>
      <c r="K49" s="62">
        <v>92.998000000000005</v>
      </c>
      <c r="L49" s="52">
        <v>45924.625</v>
      </c>
      <c r="M49" s="62">
        <v>106.227</v>
      </c>
    </row>
    <row r="50" spans="2:13" x14ac:dyDescent="0.3">
      <c r="B50" s="62"/>
      <c r="C50" s="62"/>
      <c r="D50" s="62"/>
      <c r="J50" s="126">
        <v>45820.625</v>
      </c>
      <c r="K50" s="62">
        <v>92.992999999999995</v>
      </c>
      <c r="L50" s="52">
        <v>45925.625</v>
      </c>
      <c r="M50" s="62">
        <v>105.794</v>
      </c>
    </row>
    <row r="51" spans="2:13" x14ac:dyDescent="0.3">
      <c r="B51" s="62"/>
      <c r="C51" s="62"/>
      <c r="D51" s="62"/>
      <c r="J51" s="126">
        <v>45821.625</v>
      </c>
      <c r="K51" s="62">
        <v>92.897000000000006</v>
      </c>
      <c r="L51" s="52">
        <v>45926.625</v>
      </c>
      <c r="M51" s="62">
        <v>105.94499999999999</v>
      </c>
    </row>
    <row r="52" spans="2:13" x14ac:dyDescent="0.3">
      <c r="B52" s="62"/>
      <c r="C52" s="62"/>
      <c r="D52" s="62"/>
      <c r="J52" s="126">
        <v>45824.625</v>
      </c>
      <c r="K52" s="62">
        <v>92.980999999999995</v>
      </c>
      <c r="L52" s="52">
        <v>45929.625</v>
      </c>
      <c r="M52" s="62">
        <v>105.934</v>
      </c>
    </row>
    <row r="53" spans="2:13" x14ac:dyDescent="0.3">
      <c r="B53" s="62"/>
      <c r="C53" s="62"/>
      <c r="D53" s="62"/>
      <c r="J53" s="126">
        <v>45825.625</v>
      </c>
      <c r="K53" s="62">
        <v>92.956999999999994</v>
      </c>
      <c r="L53" s="52">
        <v>45930.625</v>
      </c>
      <c r="M53" s="62">
        <v>105.986</v>
      </c>
    </row>
    <row r="54" spans="2:13" x14ac:dyDescent="0.3">
      <c r="J54" s="126">
        <v>45826.625</v>
      </c>
      <c r="K54" s="62">
        <v>92.912000000000006</v>
      </c>
      <c r="L54" s="52">
        <v>45931.625</v>
      </c>
      <c r="M54" s="62">
        <v>105.97199999999999</v>
      </c>
    </row>
    <row r="55" spans="2:13" x14ac:dyDescent="0.3">
      <c r="J55" s="126">
        <v>45828.625</v>
      </c>
      <c r="K55" s="62">
        <v>92.826999999999998</v>
      </c>
      <c r="L55" s="52">
        <v>45932.625</v>
      </c>
      <c r="M55" s="62">
        <v>106.182</v>
      </c>
    </row>
    <row r="56" spans="2:13" x14ac:dyDescent="0.3">
      <c r="J56" s="126">
        <v>45831.625</v>
      </c>
      <c r="K56" s="62">
        <v>92.81</v>
      </c>
      <c r="L56" s="52">
        <v>45933.625</v>
      </c>
      <c r="M56" s="62">
        <v>106.56399999999999</v>
      </c>
    </row>
    <row r="57" spans="2:13" x14ac:dyDescent="0.3">
      <c r="J57" s="126">
        <v>45832.625</v>
      </c>
      <c r="K57" s="62">
        <v>93.058000000000007</v>
      </c>
      <c r="L57" s="52">
        <v>45936.625</v>
      </c>
      <c r="M57" s="62">
        <v>106.185</v>
      </c>
    </row>
    <row r="58" spans="2:13" x14ac:dyDescent="0.3">
      <c r="J58" s="126">
        <v>45833.625</v>
      </c>
      <c r="K58" s="62">
        <v>93.129000000000005</v>
      </c>
      <c r="L58" s="52">
        <v>45937.625</v>
      </c>
      <c r="M58" s="62">
        <v>106.161</v>
      </c>
    </row>
    <row r="59" spans="2:13" x14ac:dyDescent="0.3">
      <c r="J59" s="126">
        <v>45834.625</v>
      </c>
      <c r="K59" s="62">
        <v>93.075999999999993</v>
      </c>
      <c r="L59" s="52">
        <v>45938.625</v>
      </c>
      <c r="M59" s="62">
        <v>106.06399999999999</v>
      </c>
    </row>
    <row r="60" spans="2:13" x14ac:dyDescent="0.3">
      <c r="J60" s="126">
        <v>45835.625</v>
      </c>
      <c r="K60" s="62">
        <v>93.183999999999997</v>
      </c>
      <c r="L60" s="52">
        <v>45939.625</v>
      </c>
      <c r="M60" s="62">
        <v>105.71299999999999</v>
      </c>
    </row>
    <row r="61" spans="2:13" x14ac:dyDescent="0.3">
      <c r="J61" s="126">
        <v>45838.625</v>
      </c>
      <c r="K61" s="62">
        <v>93.289000000000001</v>
      </c>
      <c r="L61" s="52">
        <v>45944.625</v>
      </c>
      <c r="M61" s="62">
        <v>104.839</v>
      </c>
    </row>
    <row r="62" spans="2:13" x14ac:dyDescent="0.3">
      <c r="J62" s="126">
        <v>45839.625</v>
      </c>
      <c r="K62" s="62">
        <v>93.647999999999996</v>
      </c>
      <c r="L62" s="52">
        <v>45945.625</v>
      </c>
      <c r="M62" s="62">
        <v>106.086</v>
      </c>
    </row>
    <row r="63" spans="2:13" x14ac:dyDescent="0.3">
      <c r="J63" s="126">
        <v>45840.625</v>
      </c>
      <c r="K63" s="62">
        <v>93.677000000000007</v>
      </c>
      <c r="L63" s="52">
        <v>45946.625</v>
      </c>
      <c r="M63" s="62">
        <v>105.911</v>
      </c>
    </row>
    <row r="64" spans="2:13" x14ac:dyDescent="0.3">
      <c r="J64" s="126">
        <v>45841.625</v>
      </c>
      <c r="K64" s="62">
        <v>93.95</v>
      </c>
      <c r="L64" s="52"/>
    </row>
    <row r="65" spans="10:11" x14ac:dyDescent="0.3">
      <c r="J65" s="126">
        <v>45845.625</v>
      </c>
      <c r="K65" s="62">
        <v>94.081000000000003</v>
      </c>
    </row>
    <row r="66" spans="10:11" x14ac:dyDescent="0.3">
      <c r="J66" s="126">
        <v>45846.625</v>
      </c>
      <c r="K66" s="62">
        <v>94.171000000000006</v>
      </c>
    </row>
    <row r="67" spans="10:11" x14ac:dyDescent="0.3">
      <c r="J67" s="126">
        <v>45847.625</v>
      </c>
      <c r="K67" s="62">
        <v>94.325999999999993</v>
      </c>
    </row>
    <row r="68" spans="10:11" x14ac:dyDescent="0.3">
      <c r="J68" s="126">
        <v>45848.625</v>
      </c>
      <c r="K68" s="62">
        <v>94.418999999999997</v>
      </c>
    </row>
    <row r="69" spans="10:11" x14ac:dyDescent="0.3">
      <c r="J69" s="126">
        <v>45849.625</v>
      </c>
      <c r="K69" s="62">
        <v>94.393000000000001</v>
      </c>
    </row>
    <row r="70" spans="10:11" x14ac:dyDescent="0.3">
      <c r="J70" s="126">
        <v>45852.625</v>
      </c>
      <c r="K70" s="62">
        <v>94.340999999999994</v>
      </c>
    </row>
    <row r="71" spans="10:11" x14ac:dyDescent="0.3">
      <c r="J71" s="126">
        <v>45853.625</v>
      </c>
      <c r="K71" s="62">
        <v>94.376999999999995</v>
      </c>
    </row>
    <row r="72" spans="10:11" x14ac:dyDescent="0.3">
      <c r="J72" s="126">
        <v>45854.625</v>
      </c>
      <c r="K72" s="62">
        <v>94.259</v>
      </c>
    </row>
    <row r="73" spans="10:11" x14ac:dyDescent="0.3">
      <c r="J73" s="126">
        <v>45855.625</v>
      </c>
      <c r="K73" s="62">
        <v>94.277000000000001</v>
      </c>
    </row>
    <row r="74" spans="10:11" x14ac:dyDescent="0.3">
      <c r="J74" s="126">
        <v>45856.625</v>
      </c>
      <c r="K74" s="62">
        <v>94.381</v>
      </c>
    </row>
    <row r="75" spans="10:11" x14ac:dyDescent="0.3">
      <c r="J75" s="126">
        <v>45859.625</v>
      </c>
      <c r="K75" s="62">
        <v>94.393000000000001</v>
      </c>
    </row>
    <row r="76" spans="10:11" x14ac:dyDescent="0.3">
      <c r="J76" s="126">
        <v>45860.625</v>
      </c>
      <c r="K76" s="62">
        <v>94.63</v>
      </c>
    </row>
    <row r="77" spans="10:11" x14ac:dyDescent="0.3">
      <c r="J77" s="126">
        <v>45861.625</v>
      </c>
      <c r="K77" s="62">
        <v>94.623000000000005</v>
      </c>
    </row>
    <row r="78" spans="10:11" x14ac:dyDescent="0.3">
      <c r="J78" s="126">
        <v>45862.625</v>
      </c>
      <c r="K78" s="62">
        <v>94.912000000000006</v>
      </c>
    </row>
    <row r="79" spans="10:11" x14ac:dyDescent="0.3">
      <c r="J79" s="126">
        <v>45863.625</v>
      </c>
      <c r="K79" s="62">
        <v>94.930999999999997</v>
      </c>
    </row>
    <row r="80" spans="10:11" x14ac:dyDescent="0.3">
      <c r="J80" s="126">
        <v>45866.625</v>
      </c>
      <c r="K80" s="62">
        <v>95.052999999999997</v>
      </c>
    </row>
    <row r="81" spans="10:11" x14ac:dyDescent="0.3">
      <c r="J81" s="126">
        <v>45867.625</v>
      </c>
      <c r="K81" s="62">
        <v>95.07</v>
      </c>
    </row>
    <row r="82" spans="10:11" x14ac:dyDescent="0.3">
      <c r="J82" s="126">
        <v>45868.625</v>
      </c>
      <c r="K82" s="62">
        <v>95.052999999999997</v>
      </c>
    </row>
    <row r="83" spans="10:11" x14ac:dyDescent="0.3">
      <c r="J83" s="126">
        <v>45869.625</v>
      </c>
      <c r="K83" s="62">
        <v>95.078000000000003</v>
      </c>
    </row>
    <row r="84" spans="10:11" x14ac:dyDescent="0.3">
      <c r="J84" s="126">
        <v>45870.625</v>
      </c>
      <c r="K84" s="62">
        <v>94.99</v>
      </c>
    </row>
    <row r="85" spans="10:11" x14ac:dyDescent="0.3">
      <c r="J85" s="126">
        <v>45873.625</v>
      </c>
      <c r="K85" s="62">
        <v>94.972999999999999</v>
      </c>
    </row>
    <row r="86" spans="10:11" x14ac:dyDescent="0.3">
      <c r="J86" s="126">
        <v>45874.625</v>
      </c>
      <c r="K86" s="62">
        <v>95.025999999999996</v>
      </c>
    </row>
    <row r="87" spans="10:11" x14ac:dyDescent="0.3">
      <c r="J87" s="126">
        <v>45875.625</v>
      </c>
      <c r="K87" s="62">
        <v>95.06</v>
      </c>
    </row>
    <row r="88" spans="10:11" x14ac:dyDescent="0.3">
      <c r="J88" s="126">
        <v>45876.625</v>
      </c>
      <c r="K88" s="62">
        <v>95.17</v>
      </c>
    </row>
    <row r="89" spans="10:11" x14ac:dyDescent="0.3">
      <c r="J89" s="126">
        <v>45877.625</v>
      </c>
      <c r="K89" s="62">
        <v>95.186999999999998</v>
      </c>
    </row>
    <row r="90" spans="10:11" x14ac:dyDescent="0.3">
      <c r="J90" s="126">
        <v>45880.625</v>
      </c>
      <c r="K90" s="62">
        <v>95.293999999999997</v>
      </c>
    </row>
    <row r="91" spans="10:11" x14ac:dyDescent="0.3">
      <c r="J91" s="126">
        <v>45881.625</v>
      </c>
      <c r="K91" s="62">
        <v>95.337000000000003</v>
      </c>
    </row>
    <row r="92" spans="10:11" x14ac:dyDescent="0.3">
      <c r="J92" s="126">
        <v>45882.625</v>
      </c>
      <c r="K92" s="62">
        <v>95.337000000000003</v>
      </c>
    </row>
    <row r="93" spans="10:11" x14ac:dyDescent="0.3">
      <c r="J93" s="126">
        <v>45883.625</v>
      </c>
      <c r="K93" s="62">
        <v>95.251000000000005</v>
      </c>
    </row>
    <row r="94" spans="10:11" x14ac:dyDescent="0.3">
      <c r="J94" s="126">
        <v>45884.625</v>
      </c>
      <c r="K94" s="62">
        <v>95.251000000000005</v>
      </c>
    </row>
    <row r="95" spans="10:11" x14ac:dyDescent="0.3">
      <c r="J95" s="126">
        <v>45887.625</v>
      </c>
      <c r="K95" s="62">
        <v>95.216999999999999</v>
      </c>
    </row>
    <row r="96" spans="10:11" x14ac:dyDescent="0.3">
      <c r="J96" s="126">
        <v>45888.625</v>
      </c>
      <c r="K96" s="62">
        <v>95.19</v>
      </c>
    </row>
    <row r="97" spans="10:11" x14ac:dyDescent="0.3">
      <c r="J97" s="126">
        <v>45889.625</v>
      </c>
      <c r="K97" s="62">
        <v>94.927000000000007</v>
      </c>
    </row>
    <row r="98" spans="10:11" x14ac:dyDescent="0.3">
      <c r="J98" s="126">
        <v>45890.625</v>
      </c>
      <c r="K98" s="62">
        <v>94.682000000000002</v>
      </c>
    </row>
    <row r="99" spans="10:11" x14ac:dyDescent="0.3">
      <c r="J99" s="126">
        <v>45891.625</v>
      </c>
      <c r="K99" s="62">
        <v>94.811999999999998</v>
      </c>
    </row>
    <row r="100" spans="10:11" x14ac:dyDescent="0.3">
      <c r="J100" s="126">
        <v>45894.625</v>
      </c>
      <c r="K100" s="62">
        <v>94.853999999999999</v>
      </c>
    </row>
    <row r="101" spans="10:11" x14ac:dyDescent="0.3">
      <c r="J101" s="126">
        <v>45895.625</v>
      </c>
      <c r="K101" s="62">
        <v>94.569000000000003</v>
      </c>
    </row>
    <row r="102" spans="10:11" x14ac:dyDescent="0.3">
      <c r="J102" s="126">
        <v>45896.625</v>
      </c>
      <c r="K102" s="62">
        <v>94.542000000000002</v>
      </c>
    </row>
    <row r="103" spans="10:11" x14ac:dyDescent="0.3">
      <c r="J103" s="126">
        <v>45897.625</v>
      </c>
      <c r="K103" s="62">
        <v>94.539000000000001</v>
      </c>
    </row>
    <row r="104" spans="10:11" x14ac:dyDescent="0.3">
      <c r="J104" s="126">
        <v>45898.625</v>
      </c>
      <c r="K104" s="62">
        <v>94.376000000000005</v>
      </c>
    </row>
    <row r="105" spans="10:11" x14ac:dyDescent="0.3">
      <c r="J105" s="126">
        <v>45902.625</v>
      </c>
      <c r="K105" s="62">
        <v>94.259</v>
      </c>
    </row>
    <row r="106" spans="10:11" x14ac:dyDescent="0.3">
      <c r="J106" s="126">
        <v>45903.625</v>
      </c>
      <c r="K106" s="62">
        <v>94.162999999999997</v>
      </c>
    </row>
    <row r="107" spans="10:11" x14ac:dyDescent="0.3">
      <c r="J107" s="126">
        <v>45904.625</v>
      </c>
      <c r="K107" s="62">
        <v>94.207999999999998</v>
      </c>
    </row>
    <row r="108" spans="10:11" x14ac:dyDescent="0.3">
      <c r="J108" s="126">
        <v>45905.625</v>
      </c>
      <c r="K108" s="62">
        <v>94.412000000000006</v>
      </c>
    </row>
    <row r="109" spans="10:11" x14ac:dyDescent="0.3">
      <c r="J109" s="126">
        <v>45908.625</v>
      </c>
      <c r="K109" s="62">
        <v>94.566000000000003</v>
      </c>
    </row>
    <row r="110" spans="10:11" x14ac:dyDescent="0.3">
      <c r="J110" s="126">
        <v>45909.625</v>
      </c>
      <c r="K110" s="62">
        <v>94.63</v>
      </c>
    </row>
    <row r="111" spans="10:11" x14ac:dyDescent="0.3">
      <c r="J111" s="126">
        <v>45910.625</v>
      </c>
      <c r="K111" s="62">
        <v>94.74</v>
      </c>
    </row>
    <row r="112" spans="10:11" x14ac:dyDescent="0.3">
      <c r="J112" s="126">
        <v>45911.625</v>
      </c>
      <c r="K112" s="62">
        <v>94.674999999999997</v>
      </c>
    </row>
    <row r="113" spans="10:11" x14ac:dyDescent="0.3">
      <c r="J113" s="126">
        <v>45912.625</v>
      </c>
      <c r="K113" s="62">
        <v>94.858999999999995</v>
      </c>
    </row>
    <row r="114" spans="10:11" x14ac:dyDescent="0.3">
      <c r="J114" s="126">
        <v>45915.625</v>
      </c>
      <c r="K114" s="62">
        <v>94.914000000000001</v>
      </c>
    </row>
    <row r="115" spans="10:11" x14ac:dyDescent="0.3">
      <c r="J115" s="126">
        <v>45916.625</v>
      </c>
      <c r="K115" s="62">
        <v>94.938000000000002</v>
      </c>
    </row>
    <row r="116" spans="10:11" x14ac:dyDescent="0.3">
      <c r="J116" s="126">
        <v>45917.625</v>
      </c>
      <c r="K116" s="62">
        <v>94.878</v>
      </c>
    </row>
    <row r="117" spans="10:11" x14ac:dyDescent="0.3">
      <c r="J117" s="126">
        <v>45918.625</v>
      </c>
      <c r="K117" s="62">
        <v>94.921999999999997</v>
      </c>
    </row>
    <row r="118" spans="10:11" x14ac:dyDescent="0.3">
      <c r="J118" s="126">
        <v>45919.625</v>
      </c>
      <c r="K118" s="62">
        <v>94.891999999999996</v>
      </c>
    </row>
    <row r="119" spans="10:11" x14ac:dyDescent="0.3">
      <c r="J119" s="126">
        <v>45922.625</v>
      </c>
      <c r="K119" s="62">
        <v>94.825999999999993</v>
      </c>
    </row>
    <row r="120" spans="10:11" x14ac:dyDescent="0.3">
      <c r="J120" s="126">
        <v>45923.625</v>
      </c>
      <c r="K120" s="62">
        <v>94.789000000000001</v>
      </c>
    </row>
    <row r="121" spans="10:11" x14ac:dyDescent="0.3">
      <c r="J121" s="126">
        <v>45924.625</v>
      </c>
      <c r="K121" s="62">
        <v>94.733999999999995</v>
      </c>
    </row>
    <row r="122" spans="10:11" x14ac:dyDescent="0.3">
      <c r="J122" s="126">
        <v>45925.625</v>
      </c>
      <c r="K122" s="62">
        <v>94.597999999999999</v>
      </c>
    </row>
    <row r="123" spans="10:11" x14ac:dyDescent="0.3">
      <c r="J123" s="126">
        <v>45926.625</v>
      </c>
      <c r="K123" s="62">
        <v>94.596000000000004</v>
      </c>
    </row>
    <row r="124" spans="10:11" x14ac:dyDescent="0.3">
      <c r="J124" s="126">
        <v>45929.625</v>
      </c>
      <c r="K124" s="62">
        <v>94.68</v>
      </c>
    </row>
    <row r="125" spans="10:11" x14ac:dyDescent="0.3">
      <c r="J125" s="126">
        <v>45930.625</v>
      </c>
      <c r="K125" s="62">
        <v>94.614999999999995</v>
      </c>
    </row>
    <row r="126" spans="10:11" x14ac:dyDescent="0.3">
      <c r="J126" s="126">
        <v>45931.625</v>
      </c>
      <c r="K126" s="62">
        <v>94.775999999999996</v>
      </c>
    </row>
    <row r="127" spans="10:11" x14ac:dyDescent="0.3">
      <c r="J127" s="126">
        <v>45932.625</v>
      </c>
      <c r="K127" s="62">
        <v>94.875</v>
      </c>
    </row>
    <row r="128" spans="10:11" x14ac:dyDescent="0.3">
      <c r="J128" s="126">
        <v>45933.625</v>
      </c>
      <c r="K128" s="62">
        <v>94.998000000000005</v>
      </c>
    </row>
    <row r="129" spans="10:11" x14ac:dyDescent="0.3">
      <c r="J129" s="126">
        <v>45936.625</v>
      </c>
      <c r="K129" s="62">
        <v>94.927999999999997</v>
      </c>
    </row>
    <row r="130" spans="10:11" x14ac:dyDescent="0.3">
      <c r="J130" s="126">
        <v>45937.625</v>
      </c>
      <c r="K130" s="62">
        <v>94.911000000000001</v>
      </c>
    </row>
    <row r="131" spans="10:11" x14ac:dyDescent="0.3">
      <c r="J131" s="126">
        <v>45938.625</v>
      </c>
      <c r="K131" s="62">
        <v>94.834000000000003</v>
      </c>
    </row>
    <row r="132" spans="10:11" x14ac:dyDescent="0.3">
      <c r="J132" s="126">
        <v>45939.625</v>
      </c>
      <c r="K132" s="62">
        <v>94.65</v>
      </c>
    </row>
    <row r="133" spans="10:11" x14ac:dyDescent="0.3">
      <c r="J133" s="126">
        <v>45944.625</v>
      </c>
      <c r="K133" s="62">
        <v>94.346999999999994</v>
      </c>
    </row>
    <row r="134" spans="10:11" x14ac:dyDescent="0.3">
      <c r="J134" s="126">
        <v>45945.625</v>
      </c>
      <c r="K134" s="62">
        <v>94.986999999999995</v>
      </c>
    </row>
    <row r="135" spans="10:11" x14ac:dyDescent="0.3">
      <c r="J135" s="126">
        <v>45946.625</v>
      </c>
      <c r="K135" s="62">
        <v>95.355000000000004</v>
      </c>
    </row>
  </sheetData>
  <mergeCells count="2">
    <mergeCell ref="B12:D12"/>
    <mergeCell ref="E12:G12"/>
  </mergeCells>
  <conditionalFormatting sqref="M1:M7 H8:H1048576">
    <cfRule type="cellIs" dxfId="10" priority="1" operator="lessThan">
      <formula>0</formula>
    </cfRule>
  </conditionalFormatting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82A558-2182-4AF5-B3B3-E5912781804D}">
  <dimension ref="A1:W133"/>
  <sheetViews>
    <sheetView topLeftCell="A5" zoomScale="80" zoomScaleNormal="80" workbookViewId="0">
      <selection activeCell="A26" sqref="A26:A33"/>
    </sheetView>
  </sheetViews>
  <sheetFormatPr defaultColWidth="8.88671875" defaultRowHeight="14.4" x14ac:dyDescent="0.3"/>
  <cols>
    <col min="1" max="1" width="15.44140625" style="54" bestFit="1" customWidth="1"/>
    <col min="2" max="5" width="16.88671875" style="54" customWidth="1"/>
    <col min="6" max="6" width="10.5546875" style="54" bestFit="1" customWidth="1"/>
    <col min="7" max="7" width="11.5546875" style="54" bestFit="1" customWidth="1"/>
    <col min="8" max="8" width="10.44140625" style="54" bestFit="1" customWidth="1"/>
    <col min="9" max="9" width="11.5546875" style="54" bestFit="1" customWidth="1"/>
    <col min="10" max="10" width="13.33203125" style="54" bestFit="1" customWidth="1"/>
    <col min="11" max="12" width="11.5546875" style="54" bestFit="1" customWidth="1"/>
    <col min="13" max="13" width="13.33203125" style="54" bestFit="1" customWidth="1"/>
    <col min="14" max="14" width="11.88671875" style="54" bestFit="1" customWidth="1"/>
    <col min="15" max="15" width="9.109375"/>
    <col min="16" max="16" width="15.6640625" style="54" hidden="1" customWidth="1"/>
    <col min="17" max="17" width="8.88671875" style="54" hidden="1" customWidth="1"/>
    <col min="18" max="18" width="15.6640625" style="54" hidden="1" customWidth="1"/>
    <col min="19" max="19" width="8.88671875" style="54" hidden="1" customWidth="1"/>
    <col min="20" max="20" width="15.6640625" style="54" hidden="1" customWidth="1"/>
    <col min="21" max="21" width="8.88671875" style="54" hidden="1" customWidth="1"/>
    <col min="22" max="22" width="15.6640625" style="54" hidden="1" customWidth="1"/>
    <col min="23" max="23" width="8.88671875" style="54" hidden="1" customWidth="1"/>
    <col min="24" max="16384" width="8.88671875" style="54"/>
  </cols>
  <sheetData>
    <row r="1" spans="1:23" ht="15" thickBot="1" x14ac:dyDescent="0.35">
      <c r="A1" s="1"/>
      <c r="B1" s="1"/>
      <c r="C1" s="1"/>
      <c r="D1" s="1"/>
      <c r="E1" s="1"/>
      <c r="P1" s="53"/>
      <c r="Q1" s="1"/>
      <c r="R1" s="1"/>
      <c r="S1" s="1"/>
      <c r="T1" s="1"/>
      <c r="U1" s="1"/>
      <c r="V1" s="1"/>
    </row>
    <row r="2" spans="1:23" ht="15" thickBot="1" x14ac:dyDescent="0.35">
      <c r="A2" s="30"/>
      <c r="B2" s="40" t="s">
        <v>0</v>
      </c>
      <c r="C2" s="44" t="s">
        <v>1</v>
      </c>
      <c r="D2" s="71" t="s">
        <v>1</v>
      </c>
      <c r="E2" s="72" t="s">
        <v>0</v>
      </c>
      <c r="G2" s="127" t="s">
        <v>101</v>
      </c>
      <c r="H2" s="128">
        <v>0.625</v>
      </c>
      <c r="P2" s="27" t="s">
        <v>0</v>
      </c>
      <c r="Q2" s="1"/>
      <c r="R2" s="44" t="s">
        <v>1</v>
      </c>
      <c r="S2" s="2"/>
      <c r="T2" s="28" t="s">
        <v>1</v>
      </c>
      <c r="U2" s="1"/>
      <c r="V2" s="72" t="s">
        <v>0</v>
      </c>
    </row>
    <row r="3" spans="1:23" x14ac:dyDescent="0.3">
      <c r="A3" s="15" t="s">
        <v>32</v>
      </c>
      <c r="B3" s="64" t="s">
        <v>44</v>
      </c>
      <c r="C3" s="73" t="s">
        <v>45</v>
      </c>
      <c r="D3" s="73" t="s">
        <v>46</v>
      </c>
      <c r="E3" s="65" t="s">
        <v>47</v>
      </c>
      <c r="P3" s="126" cm="1">
        <f t="array" ref="P3:Q33">_xll.BDH(B4, "LAST_PRICE", "01/01/2025 15:00:00", "01/01/2035 16:00:00", "BarSize=60", "BarType=T", "RecurDaily=True", "TZ=New_York")</f>
        <v>45903.625</v>
      </c>
      <c r="Q3" s="46">
        <v>99.248999999999995</v>
      </c>
      <c r="R3" s="126" cm="1">
        <f t="array" ref="R3:S117">_xll.BDH(C4, "LAST_PRICE", "01/01/2025 15:00:00", "01/01/2035 16:00:00", "BarSize=60", "BarType=T", "RecurDaily=True", "TZ=New_York")</f>
        <v>45783.625</v>
      </c>
      <c r="S3" s="46">
        <v>99.515625</v>
      </c>
      <c r="T3" s="126" cm="1">
        <f t="array" ref="T3:U133">_xll.BDH(D4, "LAST_PRICE", "01/01/2025 15:00:00", "01/01/2035 16:00:00", "BarSize=60", "BarType=T", "RecurDaily=True", "TZ=New_York")</f>
        <v>45751.625</v>
      </c>
      <c r="U3" s="1">
        <v>89.697000000000003</v>
      </c>
      <c r="V3" s="126" cm="1">
        <f t="array" ref="V3:W115">_xll.BDH(E4, "LAST_PRICE", "01/01/2025 15:00:00", "01/01/2035 16:00:00", "BarSize=60", "BarType=T", "RecurDaily=True", "TZ=New_York")</f>
        <v>45785.625</v>
      </c>
      <c r="W3" s="54">
        <v>98.578125</v>
      </c>
    </row>
    <row r="4" spans="1:23" ht="32.25" customHeight="1" x14ac:dyDescent="0.3">
      <c r="A4" s="15" t="s">
        <v>33</v>
      </c>
      <c r="B4" s="66" t="s">
        <v>48</v>
      </c>
      <c r="C4" s="41" t="s">
        <v>49</v>
      </c>
      <c r="D4" s="41" t="s">
        <v>50</v>
      </c>
      <c r="E4" s="42" t="s">
        <v>51</v>
      </c>
      <c r="P4" s="129">
        <v>45904.625</v>
      </c>
      <c r="Q4" s="1">
        <v>99.715000000000003</v>
      </c>
      <c r="R4" s="130">
        <v>45784.625</v>
      </c>
      <c r="S4" s="1">
        <v>99.796875</v>
      </c>
      <c r="T4" s="130">
        <v>45754.625</v>
      </c>
      <c r="U4" s="1">
        <v>87.451999999999998</v>
      </c>
      <c r="V4" s="130">
        <v>45786.625</v>
      </c>
      <c r="W4" s="54">
        <v>98.65625</v>
      </c>
    </row>
    <row r="5" spans="1:23" x14ac:dyDescent="0.3">
      <c r="A5" s="15" t="s">
        <v>8</v>
      </c>
      <c r="B5" s="67">
        <f>14*10^6</f>
        <v>14000000</v>
      </c>
      <c r="C5" s="7">
        <f>13.6*10^6</f>
        <v>13600000</v>
      </c>
      <c r="D5" s="7">
        <f>5*10^6</f>
        <v>5000000</v>
      </c>
      <c r="E5" s="8">
        <f>4.2*10^6</f>
        <v>4200000</v>
      </c>
      <c r="P5" s="129">
        <v>45905.625</v>
      </c>
      <c r="Q5" s="1">
        <v>100.001</v>
      </c>
      <c r="R5" s="130">
        <v>45785.625</v>
      </c>
      <c r="S5" s="1">
        <v>98.921875</v>
      </c>
      <c r="T5" s="130">
        <v>45755.625</v>
      </c>
      <c r="U5" s="1">
        <v>86.793999999999997</v>
      </c>
      <c r="V5" s="130">
        <v>45789.625</v>
      </c>
      <c r="W5" s="54">
        <v>97.703125</v>
      </c>
    </row>
    <row r="6" spans="1:23" x14ac:dyDescent="0.3">
      <c r="A6" s="15" t="s">
        <v>10</v>
      </c>
      <c r="B6" s="69">
        <v>4.8750000000000002E-2</v>
      </c>
      <c r="C6" s="74">
        <v>4.2500000000000003E-2</v>
      </c>
      <c r="D6" s="74">
        <v>5.3749999999999999E-2</v>
      </c>
      <c r="E6" s="10">
        <v>4.7500000000000001E-2</v>
      </c>
      <c r="P6" s="129">
        <v>45908.625</v>
      </c>
      <c r="Q6" s="1">
        <v>100.20399999999999</v>
      </c>
      <c r="R6" s="130">
        <v>45786.625</v>
      </c>
      <c r="S6" s="1">
        <v>98.984375</v>
      </c>
      <c r="T6" s="130">
        <v>45756.625</v>
      </c>
      <c r="U6" s="1">
        <v>83.867999999999995</v>
      </c>
      <c r="V6" s="130">
        <v>45790.625</v>
      </c>
      <c r="W6" s="54">
        <v>97.296875</v>
      </c>
    </row>
    <row r="7" spans="1:23" x14ac:dyDescent="0.3">
      <c r="A7" s="15" t="s">
        <v>12</v>
      </c>
      <c r="B7" s="69">
        <v>4.2299999999999997E-2</v>
      </c>
      <c r="C7" s="74">
        <v>4.2299999999999997E-2</v>
      </c>
      <c r="D7" s="74">
        <v>4.2299999999999997E-2</v>
      </c>
      <c r="E7" s="10">
        <v>4.2299999999999997E-2</v>
      </c>
      <c r="P7" s="130">
        <v>45909.625</v>
      </c>
      <c r="Q7" s="1">
        <v>100.259</v>
      </c>
      <c r="R7" s="130">
        <v>45789.625</v>
      </c>
      <c r="S7" s="1">
        <v>98.28125</v>
      </c>
      <c r="T7" s="130">
        <v>45757.625</v>
      </c>
      <c r="U7" s="1">
        <v>84.677999999999997</v>
      </c>
      <c r="V7" s="130">
        <v>45791.625</v>
      </c>
      <c r="W7" s="1">
        <v>96.65625</v>
      </c>
    </row>
    <row r="8" spans="1:23" x14ac:dyDescent="0.3">
      <c r="A8" s="15" t="s">
        <v>14</v>
      </c>
      <c r="B8" s="4" t="s">
        <v>23</v>
      </c>
      <c r="C8" s="1" t="s">
        <v>23</v>
      </c>
      <c r="D8" s="1" t="s">
        <v>23</v>
      </c>
      <c r="E8" s="5" t="s">
        <v>23</v>
      </c>
      <c r="G8" s="1"/>
      <c r="H8" s="1"/>
      <c r="I8" s="1"/>
      <c r="J8" s="1"/>
      <c r="K8" s="1"/>
      <c r="L8" s="1"/>
      <c r="M8" s="1"/>
      <c r="N8" s="1"/>
      <c r="P8" s="129">
        <v>45910.625</v>
      </c>
      <c r="Q8" s="54">
        <v>100.4</v>
      </c>
      <c r="R8" s="129">
        <v>45790.625</v>
      </c>
      <c r="S8" s="54">
        <v>98.15625</v>
      </c>
      <c r="T8" s="129">
        <v>45758.625</v>
      </c>
      <c r="U8" s="54">
        <v>83.316000000000003</v>
      </c>
      <c r="V8" s="129">
        <v>45792.625</v>
      </c>
      <c r="W8" s="54">
        <v>97.46875</v>
      </c>
    </row>
    <row r="9" spans="1:23" x14ac:dyDescent="0.3">
      <c r="A9" s="15" t="s">
        <v>15</v>
      </c>
      <c r="B9" s="4" t="s">
        <v>23</v>
      </c>
      <c r="C9" s="1" t="s">
        <v>23</v>
      </c>
      <c r="D9" s="1"/>
      <c r="E9" s="5" t="s">
        <v>23</v>
      </c>
      <c r="G9" s="1"/>
      <c r="H9" s="1"/>
      <c r="I9" s="1"/>
      <c r="J9" s="1"/>
      <c r="K9" s="1"/>
      <c r="L9" s="1"/>
      <c r="M9" s="1"/>
      <c r="N9" s="1"/>
      <c r="P9" s="129">
        <v>45911.625</v>
      </c>
      <c r="Q9" s="54">
        <v>100.831</v>
      </c>
      <c r="R9" s="129">
        <v>45791.625</v>
      </c>
      <c r="S9" s="54">
        <v>97.75</v>
      </c>
      <c r="T9" s="129">
        <v>45761.625</v>
      </c>
      <c r="U9" s="54">
        <v>84.268000000000001</v>
      </c>
      <c r="V9" s="129">
        <v>45793.625</v>
      </c>
      <c r="W9" s="54">
        <v>97.65625</v>
      </c>
    </row>
    <row r="10" spans="1:23" ht="15" thickBot="1" x14ac:dyDescent="0.35">
      <c r="A10" s="16" t="s">
        <v>28</v>
      </c>
      <c r="B10" s="11" cm="1">
        <f t="array" ref="B10">_xll.BDP(B4,"px_last")</f>
        <v>101.36199999999999</v>
      </c>
      <c r="C10" s="21" cm="1">
        <f t="array" ref="C10">_xll.BDP(C4,"px_last")</f>
        <v>102.1875</v>
      </c>
      <c r="D10" s="21" cm="1">
        <f t="array" ref="D10">_xll.BDP(D4,"px_last")</f>
        <v>95.176000000000002</v>
      </c>
      <c r="E10" s="22" cm="1">
        <f t="array" ref="E10">_xll.BDP(E4,"px_last")</f>
        <v>102.421875</v>
      </c>
      <c r="F10" s="1"/>
      <c r="G10" s="1"/>
      <c r="H10" s="1"/>
      <c r="I10" s="1"/>
      <c r="J10" s="1"/>
      <c r="K10" s="1"/>
      <c r="L10" s="1"/>
      <c r="M10" s="1"/>
      <c r="N10" s="1"/>
      <c r="P10" s="129">
        <v>45912.625</v>
      </c>
      <c r="Q10" s="54">
        <v>100.739</v>
      </c>
      <c r="R10" s="129">
        <v>45792.625</v>
      </c>
      <c r="S10" s="54">
        <v>98.421875</v>
      </c>
      <c r="T10" s="129">
        <v>45762.625</v>
      </c>
      <c r="U10" s="54">
        <v>85.12</v>
      </c>
      <c r="V10" s="129">
        <v>45796.625</v>
      </c>
      <c r="W10" s="54">
        <v>97.3125</v>
      </c>
    </row>
    <row r="11" spans="1:23" ht="15" thickBot="1" x14ac:dyDescent="0.35"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P11" s="129">
        <v>45915.625</v>
      </c>
      <c r="Q11" s="54">
        <v>100.795</v>
      </c>
      <c r="R11" s="129">
        <v>45793.625</v>
      </c>
      <c r="S11" s="54">
        <v>98.453125</v>
      </c>
      <c r="T11" s="129">
        <v>45763.625</v>
      </c>
      <c r="U11" s="54">
        <v>85.32</v>
      </c>
      <c r="V11" s="129">
        <v>45797.625</v>
      </c>
      <c r="W11" s="54">
        <v>96.609375</v>
      </c>
    </row>
    <row r="12" spans="1:23" ht="15" thickBot="1" x14ac:dyDescent="0.35">
      <c r="A12" s="39" t="s">
        <v>22</v>
      </c>
      <c r="B12" s="135" t="s">
        <v>0</v>
      </c>
      <c r="C12" s="136"/>
      <c r="D12" s="136"/>
      <c r="E12" s="141" t="s">
        <v>1</v>
      </c>
      <c r="F12" s="142"/>
      <c r="G12" s="143"/>
      <c r="H12" s="138" t="s">
        <v>1</v>
      </c>
      <c r="I12" s="139"/>
      <c r="J12" s="140"/>
      <c r="K12" s="144" t="s">
        <v>0</v>
      </c>
      <c r="L12" s="145"/>
      <c r="M12" s="146"/>
      <c r="N12" s="39" t="s">
        <v>16</v>
      </c>
      <c r="P12" s="129">
        <v>45916.625</v>
      </c>
      <c r="Q12" s="54">
        <v>101.098</v>
      </c>
      <c r="R12" s="129">
        <v>45796.625</v>
      </c>
      <c r="S12" s="54">
        <v>98.34375</v>
      </c>
      <c r="T12" s="129">
        <v>45768.625</v>
      </c>
      <c r="U12" s="54">
        <v>85.063999999999993</v>
      </c>
      <c r="V12" s="129">
        <v>45798.625</v>
      </c>
      <c r="W12" s="54">
        <v>94.953125</v>
      </c>
    </row>
    <row r="13" spans="1:23" ht="15" thickBot="1" x14ac:dyDescent="0.35">
      <c r="A13" s="16"/>
      <c r="B13" s="11" t="s">
        <v>17</v>
      </c>
      <c r="C13" s="21" t="s">
        <v>21</v>
      </c>
      <c r="D13" s="22" t="s">
        <v>20</v>
      </c>
      <c r="E13" s="11" t="s">
        <v>17</v>
      </c>
      <c r="F13" s="21" t="s">
        <v>21</v>
      </c>
      <c r="G13" s="22" t="s">
        <v>20</v>
      </c>
      <c r="H13" s="11" t="s">
        <v>17</v>
      </c>
      <c r="I13" s="21" t="s">
        <v>21</v>
      </c>
      <c r="J13" s="22" t="s">
        <v>20</v>
      </c>
      <c r="K13" s="11" t="s">
        <v>17</v>
      </c>
      <c r="L13" s="21" t="s">
        <v>21</v>
      </c>
      <c r="M13" s="22" t="s">
        <v>20</v>
      </c>
      <c r="N13" s="99"/>
      <c r="P13" s="129">
        <v>45917.625</v>
      </c>
      <c r="Q13" s="54">
        <v>100.999</v>
      </c>
      <c r="R13" s="129">
        <v>45797.625</v>
      </c>
      <c r="S13" s="54">
        <v>98.140625</v>
      </c>
      <c r="T13" s="129">
        <v>45769.625</v>
      </c>
      <c r="U13" s="54">
        <v>85.619</v>
      </c>
      <c r="V13" s="129">
        <v>45799.625</v>
      </c>
      <c r="W13" s="54">
        <v>95.421875</v>
      </c>
    </row>
    <row r="14" spans="1:23" x14ac:dyDescent="0.3">
      <c r="A14" s="36">
        <v>45931</v>
      </c>
      <c r="B14" s="45">
        <v>100.65</v>
      </c>
      <c r="C14" s="46"/>
      <c r="D14" s="47"/>
      <c r="E14" s="45">
        <v>100.898</v>
      </c>
      <c r="F14" s="46"/>
      <c r="G14" s="47"/>
      <c r="H14" s="45">
        <v>94.375</v>
      </c>
      <c r="I14" s="46"/>
      <c r="J14" s="47"/>
      <c r="K14" s="45">
        <v>100.297</v>
      </c>
      <c r="L14" s="1"/>
      <c r="M14" s="5"/>
      <c r="N14" s="82">
        <v>0</v>
      </c>
      <c r="P14" s="129">
        <v>45918.625</v>
      </c>
      <c r="Q14" s="54">
        <v>101.124</v>
      </c>
      <c r="R14" s="129">
        <v>45798.625</v>
      </c>
      <c r="S14" s="54">
        <v>97.34375</v>
      </c>
      <c r="T14" s="129">
        <v>45770.625</v>
      </c>
      <c r="U14" s="54">
        <v>87.418000000000006</v>
      </c>
      <c r="V14" s="129">
        <v>45804.625</v>
      </c>
      <c r="W14" s="54">
        <v>96.921875</v>
      </c>
    </row>
    <row r="15" spans="1:23" x14ac:dyDescent="0.3">
      <c r="A15" s="36">
        <v>45932</v>
      </c>
      <c r="B15" s="45">
        <f>VLOOKUP(A15+$H$2,P:Q,2)</f>
        <v>100.93300000000001</v>
      </c>
      <c r="C15" s="31">
        <f t="shared" ref="C15:C20" si="0">(B15-$B$14)/100*$B$5</f>
        <v>39620.000000000175</v>
      </c>
      <c r="D15" s="32">
        <f t="shared" ref="D15:D20" si="1">(A15-$A$14)/360*$B$6*$B$5-(A15-$A$14)/360*$B$7*$B$5*$B$14/100</f>
        <v>240.1408333333336</v>
      </c>
      <c r="E15" s="76">
        <f>VLOOKUP(A15+$H$2,R:S,2)</f>
        <v>101.421875</v>
      </c>
      <c r="F15" s="31">
        <f t="shared" ref="F15:F20" si="2">(E15-$E$14)/100*$C$5</f>
        <v>71247.000000000524</v>
      </c>
      <c r="G15" s="32">
        <f t="shared" ref="G15:G20" si="3">(A15-$A$14)/360*$C$6*$C$5-(A15-$A$14)/360*$C$7*$C$5*$E$14/100</f>
        <v>-6.7944844444439241</v>
      </c>
      <c r="H15" s="4">
        <f>VLOOKUP(A15+$H$2,T:U,2)</f>
        <v>94.884</v>
      </c>
      <c r="I15" s="31">
        <f t="shared" ref="I15:I20" si="4">(H15-$H$14)/100*$D$5</f>
        <v>25450.000000000018</v>
      </c>
      <c r="J15" s="32">
        <f t="shared" ref="J15:J20" si="5">(A15-$A$14)/360*$D$6*$D$5-(A15-$A$14)/360*$D$7*$D$5*$H$14/100</f>
        <v>192.07465277777771</v>
      </c>
      <c r="K15" s="76">
        <f>VLOOKUP(A15+$H$2,V:W,2)</f>
        <v>100.84375</v>
      </c>
      <c r="L15" s="31">
        <f t="shared" ref="L15:L20" si="6">(K15-$K$14)/100*$E$5</f>
        <v>22963.500000000124</v>
      </c>
      <c r="M15" s="32">
        <f t="shared" ref="M15:M20" si="7">(A15-$A$14)/360*$E$6*$E$5-(A15-$A$14)/360*$E$7*$E$5*$K$14/100</f>
        <v>59.20097166666676</v>
      </c>
      <c r="N15" s="82">
        <f t="shared" ref="N15:N20" si="8">C15+D15-F15-G15-I15-J15+L15+M15</f>
        <v>-33999.438363333589</v>
      </c>
      <c r="P15" s="129">
        <v>45919.625</v>
      </c>
      <c r="Q15" s="54">
        <v>101.01</v>
      </c>
      <c r="R15" s="129">
        <v>45799.625</v>
      </c>
      <c r="S15" s="54">
        <v>97.71875</v>
      </c>
      <c r="T15" s="129">
        <v>45771.625</v>
      </c>
      <c r="U15" s="54">
        <v>87.713999999999999</v>
      </c>
      <c r="V15" s="129">
        <v>45805.625</v>
      </c>
      <c r="W15" s="54">
        <v>96.484375</v>
      </c>
    </row>
    <row r="16" spans="1:23" x14ac:dyDescent="0.3">
      <c r="A16" s="36">
        <v>45933</v>
      </c>
      <c r="B16" s="45">
        <f t="shared" ref="B16:B24" si="9">VLOOKUP(A16+$H$2,P:Q,2)</f>
        <v>100.828</v>
      </c>
      <c r="C16" s="31">
        <f t="shared" si="0"/>
        <v>24919.999999999618</v>
      </c>
      <c r="D16" s="32">
        <f t="shared" si="1"/>
        <v>480.28166666666721</v>
      </c>
      <c r="E16" s="76">
        <f t="shared" ref="E16:E24" si="10">VLOOKUP(A16+$H$2,R:S,2)</f>
        <v>101.15625</v>
      </c>
      <c r="F16" s="31">
        <f t="shared" si="2"/>
        <v>35122.000000000524</v>
      </c>
      <c r="G16" s="32">
        <f t="shared" si="3"/>
        <v>-13.588968888887848</v>
      </c>
      <c r="H16" s="4">
        <f t="shared" ref="H16:H24" si="11">VLOOKUP(A16+$H$2,T:U,2)</f>
        <v>94.835999999999999</v>
      </c>
      <c r="I16" s="31">
        <f t="shared" si="4"/>
        <v>23049.999999999927</v>
      </c>
      <c r="J16" s="32">
        <f t="shared" si="5"/>
        <v>384.14930555555543</v>
      </c>
      <c r="K16" s="76">
        <f t="shared" ref="K16:K24" si="12">VLOOKUP(A16+$H$2,V:W,2)</f>
        <v>100.5625</v>
      </c>
      <c r="L16" s="31">
        <f t="shared" si="6"/>
        <v>11151.000000000126</v>
      </c>
      <c r="M16" s="32">
        <f t="shared" si="7"/>
        <v>118.40194333333352</v>
      </c>
      <c r="N16" s="82">
        <f t="shared" si="8"/>
        <v>-21872.876726667379</v>
      </c>
      <c r="P16" s="129">
        <v>45922.625</v>
      </c>
      <c r="Q16" s="54">
        <v>100.876</v>
      </c>
      <c r="R16" s="129">
        <v>45804.625</v>
      </c>
      <c r="S16" s="54">
        <v>98.46875</v>
      </c>
      <c r="T16" s="129">
        <v>45772.625</v>
      </c>
      <c r="U16" s="54">
        <v>88.004999999999995</v>
      </c>
      <c r="V16" s="129">
        <v>45806.625</v>
      </c>
      <c r="W16" s="54">
        <v>97.28125</v>
      </c>
    </row>
    <row r="17" spans="1:23" x14ac:dyDescent="0.3">
      <c r="A17" s="36">
        <v>45936</v>
      </c>
      <c r="B17" s="45">
        <f t="shared" si="9"/>
        <v>100.62</v>
      </c>
      <c r="C17" s="31">
        <f t="shared" si="0"/>
        <v>-4200.0000000001592</v>
      </c>
      <c r="D17" s="32">
        <f t="shared" si="1"/>
        <v>1200.7041666666682</v>
      </c>
      <c r="E17" s="76">
        <f t="shared" si="10"/>
        <v>100.8125</v>
      </c>
      <c r="F17" s="31">
        <f t="shared" si="2"/>
        <v>-11627.999999999474</v>
      </c>
      <c r="G17" s="32">
        <f t="shared" si="3"/>
        <v>-33.972422222220303</v>
      </c>
      <c r="H17" s="4">
        <f t="shared" si="11"/>
        <v>94.5</v>
      </c>
      <c r="I17" s="31">
        <f t="shared" si="4"/>
        <v>6250</v>
      </c>
      <c r="J17" s="32">
        <f t="shared" si="5"/>
        <v>960.37326388888914</v>
      </c>
      <c r="K17" s="76">
        <f t="shared" si="12"/>
        <v>99.8125</v>
      </c>
      <c r="L17" s="31">
        <f t="shared" si="6"/>
        <v>-20348.999999999876</v>
      </c>
      <c r="M17" s="32">
        <f t="shared" si="7"/>
        <v>296.00485833333414</v>
      </c>
      <c r="N17" s="82">
        <f t="shared" si="8"/>
        <v>-18600.691816667229</v>
      </c>
      <c r="P17" s="129">
        <v>45923.625</v>
      </c>
      <c r="Q17" s="54">
        <v>101.107</v>
      </c>
      <c r="R17" s="129">
        <v>45805.625</v>
      </c>
      <c r="S17" s="54">
        <v>98.171875</v>
      </c>
      <c r="T17" s="129">
        <v>45775.625</v>
      </c>
      <c r="U17" s="54">
        <v>87.984999999999999</v>
      </c>
      <c r="V17" s="129">
        <v>45807.625</v>
      </c>
      <c r="W17" s="54">
        <v>97.484375</v>
      </c>
    </row>
    <row r="18" spans="1:23" x14ac:dyDescent="0.3">
      <c r="A18" s="36">
        <v>45937</v>
      </c>
      <c r="B18" s="45">
        <f t="shared" si="9"/>
        <v>100.702</v>
      </c>
      <c r="C18" s="31">
        <f t="shared" si="0"/>
        <v>7279.9999999989486</v>
      </c>
      <c r="D18" s="32">
        <f t="shared" si="1"/>
        <v>1440.8450000000012</v>
      </c>
      <c r="E18" s="76">
        <f t="shared" si="10"/>
        <v>101.078125</v>
      </c>
      <c r="F18" s="31">
        <f t="shared" si="2"/>
        <v>24497.000000000528</v>
      </c>
      <c r="G18" s="32">
        <f t="shared" si="3"/>
        <v>-40.766906666663999</v>
      </c>
      <c r="H18" s="4">
        <f t="shared" si="11"/>
        <v>94.43</v>
      </c>
      <c r="I18" s="31">
        <f t="shared" si="4"/>
        <v>2750.0000000003411</v>
      </c>
      <c r="J18" s="32">
        <f t="shared" si="5"/>
        <v>1152.4479166666674</v>
      </c>
      <c r="K18" s="76">
        <f t="shared" si="12"/>
        <v>100.34375</v>
      </c>
      <c r="L18" s="31">
        <f t="shared" si="6"/>
        <v>1963.5000000001241</v>
      </c>
      <c r="M18" s="32">
        <f t="shared" si="7"/>
        <v>355.20583000000033</v>
      </c>
      <c r="N18" s="82">
        <f t="shared" si="8"/>
        <v>-17319.130180001801</v>
      </c>
      <c r="P18" s="129">
        <v>45924.625</v>
      </c>
      <c r="Q18" s="54">
        <v>100.976</v>
      </c>
      <c r="R18" s="129">
        <v>45806.625</v>
      </c>
      <c r="S18" s="54">
        <v>98.578125</v>
      </c>
      <c r="T18" s="129">
        <v>45776.625</v>
      </c>
      <c r="U18" s="54">
        <v>88.3</v>
      </c>
      <c r="V18" s="129">
        <v>45810.625</v>
      </c>
      <c r="W18" s="54">
        <v>96.5</v>
      </c>
    </row>
    <row r="19" spans="1:23" x14ac:dyDescent="0.3">
      <c r="A19" s="36">
        <v>45938</v>
      </c>
      <c r="B19" s="45">
        <f t="shared" si="9"/>
        <v>100.80800000000001</v>
      </c>
      <c r="C19" s="31">
        <f t="shared" si="0"/>
        <v>22120.000000000175</v>
      </c>
      <c r="D19" s="32">
        <f t="shared" si="1"/>
        <v>1680.9858333333341</v>
      </c>
      <c r="E19" s="76">
        <f t="shared" si="10"/>
        <v>101.0625</v>
      </c>
      <c r="F19" s="31">
        <f t="shared" si="2"/>
        <v>22372.000000000524</v>
      </c>
      <c r="G19" s="32">
        <f t="shared" si="3"/>
        <v>-47.561391111108605</v>
      </c>
      <c r="H19" s="4">
        <f t="shared" si="11"/>
        <v>94.516999999999996</v>
      </c>
      <c r="I19" s="31">
        <f t="shared" si="4"/>
        <v>7099.9999999997954</v>
      </c>
      <c r="J19" s="32">
        <f t="shared" si="5"/>
        <v>1344.5225694444443</v>
      </c>
      <c r="K19" s="76">
        <f t="shared" si="12"/>
        <v>100.390625</v>
      </c>
      <c r="L19" s="31">
        <f t="shared" si="6"/>
        <v>3932.2500000001241</v>
      </c>
      <c r="M19" s="32">
        <f t="shared" si="7"/>
        <v>414.40680166666698</v>
      </c>
      <c r="N19" s="82">
        <f t="shared" si="8"/>
        <v>-2621.318543333357</v>
      </c>
      <c r="P19" s="129">
        <v>45925.625</v>
      </c>
      <c r="Q19" s="54">
        <v>100.703</v>
      </c>
      <c r="R19" s="129">
        <v>45807.625</v>
      </c>
      <c r="S19" s="54">
        <v>98.921875</v>
      </c>
      <c r="T19" s="129">
        <v>45777.625</v>
      </c>
      <c r="U19" s="54">
        <v>88.176000000000002</v>
      </c>
      <c r="V19" s="129">
        <v>45811.625</v>
      </c>
      <c r="W19" s="54">
        <v>96.390625</v>
      </c>
    </row>
    <row r="20" spans="1:23" x14ac:dyDescent="0.3">
      <c r="A20" s="36">
        <v>45939</v>
      </c>
      <c r="B20" s="45">
        <f t="shared" si="9"/>
        <v>100.664</v>
      </c>
      <c r="C20" s="31">
        <f t="shared" si="0"/>
        <v>1959.9999999994113</v>
      </c>
      <c r="D20" s="32">
        <f t="shared" si="1"/>
        <v>1921.1266666666688</v>
      </c>
      <c r="E20" s="76">
        <f t="shared" si="10"/>
        <v>100.984375</v>
      </c>
      <c r="F20" s="31">
        <f t="shared" si="2"/>
        <v>11747.000000000526</v>
      </c>
      <c r="G20" s="32">
        <f t="shared" si="3"/>
        <v>-54.355875555551393</v>
      </c>
      <c r="H20" s="4">
        <f t="shared" si="11"/>
        <v>94.284000000000006</v>
      </c>
      <c r="I20" s="31">
        <f t="shared" si="4"/>
        <v>-4549.999999999699</v>
      </c>
      <c r="J20" s="32">
        <f t="shared" si="5"/>
        <v>1536.5972222222217</v>
      </c>
      <c r="K20" s="76">
        <f t="shared" si="12"/>
        <v>100.359375</v>
      </c>
      <c r="L20" s="31">
        <f t="shared" si="6"/>
        <v>2619.7500000001241</v>
      </c>
      <c r="M20" s="32">
        <f t="shared" si="7"/>
        <v>473.60777333333408</v>
      </c>
      <c r="N20" s="82">
        <f t="shared" si="8"/>
        <v>-1704.7569066679584</v>
      </c>
      <c r="P20" s="129">
        <v>45926.625</v>
      </c>
      <c r="Q20" s="54">
        <v>100.732</v>
      </c>
      <c r="R20" s="129">
        <v>45810.625</v>
      </c>
      <c r="S20" s="54">
        <v>98.453125</v>
      </c>
      <c r="T20" s="129">
        <v>45778.625</v>
      </c>
      <c r="U20" s="54">
        <v>87.49</v>
      </c>
      <c r="V20" s="129">
        <v>45812.625</v>
      </c>
      <c r="W20" s="54">
        <v>97.890625</v>
      </c>
    </row>
    <row r="21" spans="1:23" x14ac:dyDescent="0.3">
      <c r="A21" s="36">
        <v>45940</v>
      </c>
      <c r="B21" s="45">
        <f t="shared" si="9"/>
        <v>100.752</v>
      </c>
      <c r="C21" s="31">
        <f t="shared" ref="C21" si="13">(B21-$B$14)/100*$B$5</f>
        <v>14279.999999998552</v>
      </c>
      <c r="D21" s="32">
        <f t="shared" ref="D21" si="14">(A21-$A$14)/360*$B$6*$B$5-(A21-$A$14)/360*$B$7*$B$5*$B$14/100</f>
        <v>2161.2675000000036</v>
      </c>
      <c r="E21" s="76">
        <f t="shared" si="10"/>
        <v>101.6875</v>
      </c>
      <c r="F21" s="31">
        <f t="shared" ref="F21" si="15">(E21-$E$14)/100*$C$5</f>
        <v>107372.00000000054</v>
      </c>
      <c r="G21" s="32">
        <f t="shared" ref="G21" si="16">(A21-$A$14)/360*$C$6*$C$5-(A21-$A$14)/360*$C$7*$C$5*$E$14/100</f>
        <v>-61.150359999995999</v>
      </c>
      <c r="H21" s="4">
        <f t="shared" si="11"/>
        <v>94.251000000000005</v>
      </c>
      <c r="I21" s="31">
        <f t="shared" ref="I21" si="17">(H21-$H$14)/100*$D$5</f>
        <v>-6199.9999999997617</v>
      </c>
      <c r="J21" s="32">
        <f t="shared" ref="J21" si="18">(A21-$A$14)/360*$D$6*$D$5-(A21-$A$14)/360*$D$7*$D$5*$H$14/100</f>
        <v>1728.6718750000009</v>
      </c>
      <c r="K21" s="76">
        <f t="shared" si="12"/>
        <v>101.828125</v>
      </c>
      <c r="L21" s="31">
        <f t="shared" ref="L21" si="19">(K21-$K$14)/100*$E$5</f>
        <v>64307.250000000124</v>
      </c>
      <c r="M21" s="32">
        <f t="shared" ref="M21" si="20">(A21-$A$14)/360*$E$6*$E$5-(A21-$A$14)/360*$E$7*$E$5*$K$14/100</f>
        <v>532.80874500000118</v>
      </c>
      <c r="N21" s="82">
        <f t="shared" ref="N21" si="21">C21+D21-F21-G21-I21-J21+L21+M21</f>
        <v>-21558.195270002099</v>
      </c>
      <c r="P21" s="129">
        <v>45929.625</v>
      </c>
      <c r="Q21" s="54">
        <v>100.789</v>
      </c>
      <c r="R21" s="129">
        <v>45811.625</v>
      </c>
      <c r="S21" s="54">
        <v>98.34375</v>
      </c>
      <c r="T21" s="129">
        <v>45779.625</v>
      </c>
      <c r="U21" s="54">
        <v>87.135999999999996</v>
      </c>
      <c r="V21" s="129">
        <v>45813.625</v>
      </c>
      <c r="W21" s="54">
        <v>97.953125</v>
      </c>
    </row>
    <row r="22" spans="1:23" x14ac:dyDescent="0.3">
      <c r="A22" s="36">
        <v>45943</v>
      </c>
      <c r="B22" s="45">
        <f t="shared" si="9"/>
        <v>100.752</v>
      </c>
      <c r="C22" s="31">
        <f t="shared" ref="C22" si="22">(B22-$B$14)/100*$B$5</f>
        <v>14279.999999998552</v>
      </c>
      <c r="D22" s="32">
        <f t="shared" ref="D22" si="23">(A22-$A$14)/360*$B$6*$B$5-(A22-$A$14)/360*$B$7*$B$5*$B$14/100</f>
        <v>2881.6900000000023</v>
      </c>
      <c r="E22" s="76">
        <f t="shared" si="10"/>
        <v>101.84375</v>
      </c>
      <c r="F22" s="31">
        <f t="shared" ref="F22" si="24">(E22-$E$14)/100*$C$5</f>
        <v>128622.00000000052</v>
      </c>
      <c r="G22" s="32">
        <f t="shared" ref="G22" si="25">(A22-$A$14)/360*$C$6*$C$5-(A22-$A$14)/360*$C$7*$C$5*$E$14/100</f>
        <v>-81.533813333327998</v>
      </c>
      <c r="H22" s="4">
        <f t="shared" si="11"/>
        <v>94.251000000000005</v>
      </c>
      <c r="I22" s="31">
        <f t="shared" ref="I22" si="26">(H22-$H$14)/100*$D$5</f>
        <v>-6199.9999999997617</v>
      </c>
      <c r="J22" s="32">
        <f t="shared" ref="J22" si="27">(A22-$A$14)/360*$D$6*$D$5-(A22-$A$14)/360*$D$7*$D$5*$H$14/100</f>
        <v>2304.8958333333348</v>
      </c>
      <c r="K22" s="76">
        <f t="shared" si="12"/>
        <v>102.0625</v>
      </c>
      <c r="L22" s="31">
        <f t="shared" ref="L22" si="28">(K22-$K$14)/100*$E$5</f>
        <v>74151.000000000116</v>
      </c>
      <c r="M22" s="32">
        <f t="shared" ref="M22" si="29">(A22-$A$14)/360*$E$6*$E$5-(A22-$A$14)/360*$E$7*$E$5*$K$14/100</f>
        <v>710.41166000000067</v>
      </c>
      <c r="N22" s="82">
        <f t="shared" ref="N22" si="30">C22+D22-F22-G22-I22-J22+L22+M22</f>
        <v>-32622.260360002092</v>
      </c>
      <c r="P22" s="129">
        <v>45930.625</v>
      </c>
      <c r="Q22" s="54">
        <v>100.753</v>
      </c>
      <c r="R22" s="129">
        <v>45812.625</v>
      </c>
      <c r="S22" s="54">
        <v>99.125</v>
      </c>
      <c r="T22" s="129">
        <v>45782.625</v>
      </c>
      <c r="U22" s="54">
        <v>86.95</v>
      </c>
      <c r="V22" s="129">
        <v>45814.625</v>
      </c>
      <c r="W22" s="54">
        <v>96.71875</v>
      </c>
    </row>
    <row r="23" spans="1:23" x14ac:dyDescent="0.3">
      <c r="A23" s="36">
        <v>45944</v>
      </c>
      <c r="B23" s="45">
        <f t="shared" si="9"/>
        <v>101.08</v>
      </c>
      <c r="C23" s="31">
        <f t="shared" ref="C23" si="31">(B23-$B$14)/100*$B$5</f>
        <v>60199.999999998967</v>
      </c>
      <c r="D23" s="32">
        <f t="shared" ref="D23" si="32">(A23-$A$14)/360*$B$6*$B$5-(A23-$A$14)/360*$B$7*$B$5*$B$14/100</f>
        <v>3121.8308333333371</v>
      </c>
      <c r="E23" s="76">
        <f t="shared" si="10"/>
        <v>101.953125</v>
      </c>
      <c r="F23" s="31">
        <f t="shared" ref="F23" si="33">(E23-$E$14)/100*$C$5</f>
        <v>143497.00000000052</v>
      </c>
      <c r="G23" s="32">
        <f t="shared" ref="G23" si="34">(A23-$A$14)/360*$C$6*$C$5-(A23-$A$14)/360*$C$7*$C$5*$E$14/100</f>
        <v>-88.328297777770786</v>
      </c>
      <c r="H23" s="4">
        <f t="shared" si="11"/>
        <v>94.539000000000001</v>
      </c>
      <c r="I23" s="31">
        <f t="shared" ref="I23" si="35">(H23-$H$14)/100*$D$5</f>
        <v>8200.0000000000728</v>
      </c>
      <c r="J23" s="32">
        <f t="shared" ref="J23" si="36">(A23-$A$14)/360*$D$6*$D$5-(A23-$A$14)/360*$D$7*$D$5*$H$14/100</f>
        <v>2496.9704861111104</v>
      </c>
      <c r="K23" s="76">
        <f t="shared" si="12"/>
        <v>102.109375</v>
      </c>
      <c r="L23" s="31">
        <f t="shared" ref="L23" si="37">(K23-$K$14)/100*$E$5</f>
        <v>76119.750000000116</v>
      </c>
      <c r="M23" s="32">
        <f t="shared" ref="M23" si="38">(A23-$A$14)/360*$E$6*$E$5-(A23-$A$14)/360*$E$7*$E$5*$K$14/100</f>
        <v>769.61263166666686</v>
      </c>
      <c r="N23" s="82">
        <f t="shared" ref="N23" si="39">C23+D23-F23-G23-I23-J23+L23+M23</f>
        <v>-13894.448723334845</v>
      </c>
      <c r="P23" s="129">
        <v>45931.625</v>
      </c>
      <c r="Q23" s="54">
        <v>100.90300000000001</v>
      </c>
      <c r="R23" s="129">
        <v>45813.625</v>
      </c>
      <c r="S23" s="54">
        <v>98.859375</v>
      </c>
      <c r="T23" s="129">
        <v>45783.625</v>
      </c>
      <c r="U23" s="54">
        <v>86.616</v>
      </c>
      <c r="V23" s="129">
        <v>45817.625</v>
      </c>
      <c r="W23" s="54">
        <v>96.8125</v>
      </c>
    </row>
    <row r="24" spans="1:23" x14ac:dyDescent="0.3">
      <c r="A24" s="36">
        <v>45945</v>
      </c>
      <c r="B24" s="45">
        <f t="shared" si="9"/>
        <v>101.08</v>
      </c>
      <c r="C24" s="31">
        <f t="shared" ref="C24" si="40">(B24-$B$14)/100*$B$5</f>
        <v>60199.999999998967</v>
      </c>
      <c r="D24" s="32">
        <f t="shared" ref="D24" si="41">(A24-$A$14)/360*$B$6*$B$5-(A24-$A$14)/360*$B$7*$B$5*$B$14/100</f>
        <v>3361.9716666666682</v>
      </c>
      <c r="E24" s="76">
        <f t="shared" si="10"/>
        <v>101.828125</v>
      </c>
      <c r="F24" s="31">
        <f t="shared" ref="F24" si="42">(E24-$E$14)/100*$C$5</f>
        <v>126497.00000000052</v>
      </c>
      <c r="G24" s="32">
        <f t="shared" ref="G24" si="43">(A24-$A$14)/360*$C$6*$C$5-(A24-$A$14)/360*$C$7*$C$5*$E$14/100</f>
        <v>-95.122782222217211</v>
      </c>
      <c r="H24" s="4">
        <f t="shared" si="11"/>
        <v>94.89</v>
      </c>
      <c r="I24" s="31">
        <f t="shared" ref="I24" si="44">(H24-$H$14)/100*$D$5</f>
        <v>25750.000000000025</v>
      </c>
      <c r="J24" s="32">
        <f t="shared" ref="J24" si="45">(A24-$A$14)/360*$D$6*$D$5-(A24-$A$14)/360*$D$7*$D$5*$H$14/100</f>
        <v>2689.0451388888887</v>
      </c>
      <c r="K24" s="76">
        <f t="shared" si="12"/>
        <v>101.890625</v>
      </c>
      <c r="L24" s="31">
        <f t="shared" ref="L24" si="46">(K24-$K$14)/100*$E$5</f>
        <v>66932.250000000131</v>
      </c>
      <c r="M24" s="32">
        <f t="shared" ref="M24" si="47">(A24-$A$14)/360*$E$6*$E$5-(A24-$A$14)/360*$E$7*$E$5*$K$14/100</f>
        <v>828.81360333333396</v>
      </c>
      <c r="N24" s="82">
        <f t="shared" ref="N24" si="48">C24+D24-F24-G24-I24-J24+L24+M24</f>
        <v>-23517.887086668132</v>
      </c>
      <c r="P24" s="129">
        <v>45932.625</v>
      </c>
      <c r="Q24" s="54">
        <v>100.93300000000001</v>
      </c>
      <c r="R24" s="129">
        <v>45814.625</v>
      </c>
      <c r="S24" s="54">
        <v>97.984375</v>
      </c>
      <c r="T24" s="129">
        <v>45784.625</v>
      </c>
      <c r="U24" s="54">
        <v>86.994</v>
      </c>
      <c r="V24" s="129">
        <v>45818.625</v>
      </c>
      <c r="W24" s="54">
        <v>97.265625</v>
      </c>
    </row>
    <row r="25" spans="1:23" x14ac:dyDescent="0.3">
      <c r="A25" s="36">
        <v>45946</v>
      </c>
      <c r="B25" s="45">
        <f t="shared" ref="B25" si="49">VLOOKUP(A25+$H$2,P:Q,2)</f>
        <v>101.307</v>
      </c>
      <c r="C25" s="31">
        <f t="shared" ref="C25:C26" si="50">(B25-$B$14)/100*$B$5</f>
        <v>91979.999999999505</v>
      </c>
      <c r="D25" s="32">
        <f t="shared" ref="D25:D26" si="51">(A25-$A$14)/360*$B$6*$B$5-(A25-$A$14)/360*$B$7*$B$5*$B$14/100</f>
        <v>3602.1124999999993</v>
      </c>
      <c r="E25" s="76">
        <f t="shared" ref="E25" si="52">VLOOKUP(A25+$H$2,R:S,2)</f>
        <v>102.328125</v>
      </c>
      <c r="F25" s="31">
        <f t="shared" ref="F25:F26" si="53">(E25-$E$14)/100*$C$5</f>
        <v>194497.00000000052</v>
      </c>
      <c r="G25" s="32">
        <f t="shared" ref="G25:G26" si="54">(A25-$A$14)/360*$C$6*$C$5-(A25-$A$14)/360*$C$7*$C$5*$E$14/100</f>
        <v>-101.91726666666</v>
      </c>
      <c r="H25" s="4">
        <f t="shared" ref="H25" si="55">VLOOKUP(A25+$H$2,T:U,2)</f>
        <v>94.99</v>
      </c>
      <c r="I25" s="31">
        <f t="shared" ref="I25:I26" si="56">(H25-$H$14)/100*$D$5</f>
        <v>30749.999999999745</v>
      </c>
      <c r="J25" s="32">
        <f t="shared" ref="J25:J26" si="57">(A25-$A$14)/360*$D$6*$D$5-(A25-$A$14)/360*$D$7*$D$5*$H$14/100</f>
        <v>2881.1197916666661</v>
      </c>
      <c r="K25" s="76">
        <f t="shared" ref="K25" si="58">VLOOKUP(A25+$H$2,V:W,2)</f>
        <v>102.65625</v>
      </c>
      <c r="L25" s="31">
        <f t="shared" ref="L25:L26" si="59">(K25-$K$14)/100*$E$5</f>
        <v>99088.500000000131</v>
      </c>
      <c r="M25" s="32">
        <f t="shared" ref="M25:M26" si="60">(A25-$A$14)/360*$E$6*$E$5-(A25-$A$14)/360*$E$7*$E$5*$K$14/100</f>
        <v>888.01457499999924</v>
      </c>
      <c r="N25" s="82">
        <f t="shared" ref="N25:N26" si="61">C25+D25-F25-G25-I25-J25+L25+M25</f>
        <v>-32467.575450000637</v>
      </c>
      <c r="P25" s="129">
        <v>45933.625</v>
      </c>
      <c r="Q25" s="54">
        <v>100.828</v>
      </c>
      <c r="R25" s="129">
        <v>45817.625</v>
      </c>
      <c r="S25" s="54">
        <v>98.109375</v>
      </c>
      <c r="T25" s="129">
        <v>45785.625</v>
      </c>
      <c r="U25" s="54">
        <v>86.653999999999996</v>
      </c>
      <c r="V25" s="129">
        <v>45819.625</v>
      </c>
      <c r="W25" s="54">
        <v>97.515625</v>
      </c>
    </row>
    <row r="26" spans="1:23" x14ac:dyDescent="0.3">
      <c r="A26" s="131">
        <v>45947</v>
      </c>
      <c r="B26" s="45">
        <f>B10</f>
        <v>101.36199999999999</v>
      </c>
      <c r="C26" s="31">
        <f t="shared" si="50"/>
        <v>99679.999999998472</v>
      </c>
      <c r="D26" s="32">
        <f t="shared" si="51"/>
        <v>3842.2533333333377</v>
      </c>
      <c r="E26" s="76">
        <f>C10</f>
        <v>102.1875</v>
      </c>
      <c r="F26" s="31">
        <f t="shared" si="53"/>
        <v>175372.00000000052</v>
      </c>
      <c r="G26" s="32">
        <f t="shared" si="54"/>
        <v>-108.71175111110279</v>
      </c>
      <c r="H26" s="4">
        <f>D10</f>
        <v>95.176000000000002</v>
      </c>
      <c r="I26" s="31">
        <f t="shared" si="56"/>
        <v>40050.000000000095</v>
      </c>
      <c r="J26" s="32">
        <f t="shared" si="57"/>
        <v>3073.1944444444434</v>
      </c>
      <c r="K26" s="76">
        <f>E10</f>
        <v>102.421875</v>
      </c>
      <c r="L26" s="31">
        <f t="shared" si="59"/>
        <v>89244.750000000116</v>
      </c>
      <c r="M26" s="32">
        <f t="shared" si="60"/>
        <v>947.21554666666816</v>
      </c>
      <c r="N26" s="82">
        <f t="shared" si="61"/>
        <v>-24672.263813335368</v>
      </c>
      <c r="P26" s="129">
        <v>45936.625</v>
      </c>
      <c r="Q26" s="54">
        <v>100.62</v>
      </c>
      <c r="R26" s="129">
        <v>45818.625</v>
      </c>
      <c r="S26" s="54">
        <v>98.296875</v>
      </c>
      <c r="T26" s="129">
        <v>45786.625</v>
      </c>
      <c r="U26" s="54">
        <v>86.421999999999997</v>
      </c>
      <c r="V26" s="129">
        <v>45820.625</v>
      </c>
      <c r="W26" s="54">
        <v>98.640625</v>
      </c>
    </row>
    <row r="27" spans="1:23" x14ac:dyDescent="0.3">
      <c r="A27" s="131">
        <v>45950</v>
      </c>
      <c r="B27" s="56"/>
      <c r="C27" s="57"/>
      <c r="D27" s="57"/>
      <c r="E27" s="4"/>
      <c r="F27" s="31"/>
      <c r="G27" s="32"/>
      <c r="H27" s="4"/>
      <c r="I27" s="31"/>
      <c r="J27" s="32"/>
      <c r="K27" s="4"/>
      <c r="L27" s="31"/>
      <c r="M27" s="32"/>
      <c r="N27" s="82"/>
      <c r="P27" s="129">
        <v>45937.625</v>
      </c>
      <c r="Q27" s="54">
        <v>100.702</v>
      </c>
      <c r="R27" s="129">
        <v>45819.625</v>
      </c>
      <c r="S27" s="54">
        <v>98.703125</v>
      </c>
      <c r="T27" s="129">
        <v>45789.625</v>
      </c>
      <c r="U27" s="54">
        <v>86.483000000000004</v>
      </c>
      <c r="V27" s="129">
        <v>45821.625</v>
      </c>
      <c r="W27" s="54">
        <v>97.609375</v>
      </c>
    </row>
    <row r="28" spans="1:23" x14ac:dyDescent="0.3">
      <c r="A28" s="131">
        <v>45951</v>
      </c>
      <c r="B28" s="45"/>
      <c r="C28" s="31"/>
      <c r="D28" s="31"/>
      <c r="E28" s="4"/>
      <c r="F28" s="31"/>
      <c r="G28" s="32"/>
      <c r="H28" s="4"/>
      <c r="I28" s="31"/>
      <c r="J28" s="32"/>
      <c r="K28" s="4"/>
      <c r="L28" s="31"/>
      <c r="M28" s="32"/>
      <c r="N28" s="82"/>
      <c r="P28" s="129">
        <v>45938.625</v>
      </c>
      <c r="Q28" s="54">
        <v>100.80800000000001</v>
      </c>
      <c r="R28" s="129">
        <v>45820.625</v>
      </c>
      <c r="S28" s="54">
        <v>99.1875</v>
      </c>
      <c r="T28" s="129">
        <v>45790.625</v>
      </c>
      <c r="U28" s="54">
        <v>86.486000000000004</v>
      </c>
      <c r="V28" s="129">
        <v>45824.625</v>
      </c>
      <c r="W28" s="54">
        <v>96.6875</v>
      </c>
    </row>
    <row r="29" spans="1:23" x14ac:dyDescent="0.3">
      <c r="A29" s="131">
        <v>45952</v>
      </c>
      <c r="B29" s="45"/>
      <c r="C29" s="31"/>
      <c r="D29" s="31"/>
      <c r="E29" s="4"/>
      <c r="F29" s="31"/>
      <c r="G29" s="32"/>
      <c r="H29" s="4"/>
      <c r="I29" s="31"/>
      <c r="J29" s="32"/>
      <c r="K29" s="4"/>
      <c r="L29" s="31"/>
      <c r="M29" s="32"/>
      <c r="N29" s="82"/>
      <c r="P29" s="129">
        <v>45939.625</v>
      </c>
      <c r="Q29" s="54">
        <v>100.664</v>
      </c>
      <c r="R29" s="129">
        <v>45821.625</v>
      </c>
      <c r="S29" s="54">
        <v>98.71875</v>
      </c>
      <c r="T29" s="129">
        <v>45791.625</v>
      </c>
      <c r="U29" s="54">
        <v>86.606999999999999</v>
      </c>
      <c r="V29" s="129">
        <v>45825.625</v>
      </c>
      <c r="W29" s="54">
        <v>97.828125</v>
      </c>
    </row>
    <row r="30" spans="1:23" x14ac:dyDescent="0.3">
      <c r="A30" s="131">
        <v>45953</v>
      </c>
      <c r="B30" s="45"/>
      <c r="C30" s="31"/>
      <c r="D30" s="31"/>
      <c r="E30" s="4"/>
      <c r="F30" s="31"/>
      <c r="G30" s="32"/>
      <c r="H30" s="4"/>
      <c r="I30" s="31"/>
      <c r="J30" s="32"/>
      <c r="K30" s="4"/>
      <c r="L30" s="31"/>
      <c r="M30" s="32"/>
      <c r="N30" s="38"/>
      <c r="P30" s="129">
        <v>45940.625</v>
      </c>
      <c r="Q30" s="54">
        <v>100.752</v>
      </c>
      <c r="R30" s="129">
        <v>45824.625</v>
      </c>
      <c r="S30" s="54">
        <v>98.359375</v>
      </c>
      <c r="T30" s="129">
        <v>45792.625</v>
      </c>
      <c r="U30" s="54">
        <v>86.656999999999996</v>
      </c>
      <c r="V30" s="129">
        <v>45826.625</v>
      </c>
      <c r="W30" s="54">
        <v>97.96875</v>
      </c>
    </row>
    <row r="31" spans="1:23" x14ac:dyDescent="0.3">
      <c r="A31" s="131">
        <v>45954</v>
      </c>
      <c r="B31" s="45"/>
      <c r="C31" s="31"/>
      <c r="D31" s="31"/>
      <c r="E31" s="4"/>
      <c r="F31" s="31"/>
      <c r="G31" s="32"/>
      <c r="H31" s="4"/>
      <c r="I31" s="31"/>
      <c r="J31" s="32"/>
      <c r="K31" s="4"/>
      <c r="L31" s="31"/>
      <c r="M31" s="32"/>
      <c r="N31" s="38"/>
      <c r="P31" s="129">
        <v>45944.625</v>
      </c>
      <c r="Q31" s="54">
        <v>101.08</v>
      </c>
      <c r="R31" s="129">
        <v>45825.625</v>
      </c>
      <c r="S31" s="54">
        <v>98.90625</v>
      </c>
      <c r="T31" s="129">
        <v>45793.625</v>
      </c>
      <c r="U31" s="54">
        <v>87.087000000000003</v>
      </c>
      <c r="V31" s="129">
        <v>45827.625</v>
      </c>
      <c r="W31" s="54">
        <v>97.828125</v>
      </c>
    </row>
    <row r="32" spans="1:23" x14ac:dyDescent="0.3">
      <c r="A32" s="131">
        <v>45955</v>
      </c>
      <c r="B32" s="45"/>
      <c r="C32" s="31"/>
      <c r="D32" s="31"/>
      <c r="E32" s="4"/>
      <c r="F32" s="31"/>
      <c r="G32" s="32"/>
      <c r="H32" s="4"/>
      <c r="I32" s="31"/>
      <c r="J32" s="32"/>
      <c r="K32" s="4"/>
      <c r="L32" s="31"/>
      <c r="M32" s="32"/>
      <c r="N32" s="38"/>
      <c r="P32" s="129">
        <v>45945.625</v>
      </c>
      <c r="Q32" s="54">
        <v>101.08</v>
      </c>
      <c r="R32" s="129">
        <v>45826.625</v>
      </c>
      <c r="S32" s="54">
        <v>98.953125</v>
      </c>
      <c r="T32" s="129">
        <v>45796.625</v>
      </c>
      <c r="U32" s="54">
        <v>86.361000000000004</v>
      </c>
      <c r="V32" s="129">
        <v>45828.625</v>
      </c>
      <c r="W32" s="54">
        <v>97.734375</v>
      </c>
    </row>
    <row r="33" spans="1:23" x14ac:dyDescent="0.3">
      <c r="A33" s="131">
        <v>45956</v>
      </c>
      <c r="B33" s="45"/>
      <c r="C33" s="31"/>
      <c r="D33" s="31"/>
      <c r="E33" s="4"/>
      <c r="F33" s="31"/>
      <c r="G33" s="32"/>
      <c r="H33" s="4"/>
      <c r="I33" s="31"/>
      <c r="J33" s="32"/>
      <c r="K33" s="4"/>
      <c r="L33" s="31"/>
      <c r="M33" s="32"/>
      <c r="N33" s="38"/>
      <c r="P33" s="129">
        <v>45946.625</v>
      </c>
      <c r="Q33" s="54">
        <v>101.307</v>
      </c>
      <c r="R33" s="129">
        <v>45827.625</v>
      </c>
      <c r="S33" s="54">
        <v>98.875</v>
      </c>
      <c r="T33" s="129">
        <v>45797.625</v>
      </c>
      <c r="U33" s="54">
        <v>86.387</v>
      </c>
      <c r="V33" s="129">
        <v>45831.625</v>
      </c>
      <c r="W33" s="54">
        <v>98.03125</v>
      </c>
    </row>
    <row r="34" spans="1:23" x14ac:dyDescent="0.3">
      <c r="A34" s="15"/>
      <c r="B34" s="45"/>
      <c r="C34" s="31"/>
      <c r="D34" s="31"/>
      <c r="E34" s="4"/>
      <c r="F34" s="31"/>
      <c r="G34" s="32"/>
      <c r="H34" s="4"/>
      <c r="I34" s="31"/>
      <c r="J34" s="32"/>
      <c r="K34" s="4"/>
      <c r="L34" s="31"/>
      <c r="M34" s="32"/>
      <c r="N34" s="38"/>
      <c r="R34" s="129">
        <v>45828.625</v>
      </c>
      <c r="S34" s="54">
        <v>98.96875</v>
      </c>
      <c r="T34" s="129">
        <v>45798.625</v>
      </c>
      <c r="U34" s="54">
        <v>85.781000000000006</v>
      </c>
      <c r="V34" s="129">
        <v>45832.625</v>
      </c>
      <c r="W34" s="54">
        <v>98.703125</v>
      </c>
    </row>
    <row r="35" spans="1:23" x14ac:dyDescent="0.3">
      <c r="A35" s="15"/>
      <c r="B35" s="45"/>
      <c r="C35" s="31"/>
      <c r="D35" s="31"/>
      <c r="E35" s="4"/>
      <c r="F35" s="31"/>
      <c r="G35" s="32"/>
      <c r="H35" s="4"/>
      <c r="I35" s="31"/>
      <c r="J35" s="32"/>
      <c r="K35" s="4"/>
      <c r="L35" s="31"/>
      <c r="M35" s="32"/>
      <c r="N35" s="38"/>
      <c r="R35" s="129">
        <v>45831.625</v>
      </c>
      <c r="S35" s="54">
        <v>99.296875</v>
      </c>
      <c r="T35" s="129">
        <v>45799.625</v>
      </c>
      <c r="U35" s="54">
        <v>85.341999999999999</v>
      </c>
      <c r="V35" s="129">
        <v>45833.625</v>
      </c>
      <c r="W35" s="54">
        <v>98.75</v>
      </c>
    </row>
    <row r="36" spans="1:23" x14ac:dyDescent="0.3">
      <c r="A36" s="15"/>
      <c r="B36" s="45"/>
      <c r="C36" s="31"/>
      <c r="D36" s="31"/>
      <c r="E36" s="4"/>
      <c r="F36" s="31"/>
      <c r="G36" s="32"/>
      <c r="H36" s="4"/>
      <c r="I36" s="31"/>
      <c r="J36" s="32"/>
      <c r="K36" s="4"/>
      <c r="L36" s="31"/>
      <c r="M36" s="32"/>
      <c r="N36" s="38"/>
      <c r="R36" s="129">
        <v>45832.625</v>
      </c>
      <c r="S36" s="54">
        <v>99.671875</v>
      </c>
      <c r="T36" s="129">
        <v>45804.625</v>
      </c>
      <c r="U36" s="54">
        <v>86.376999999999995</v>
      </c>
      <c r="V36" s="129">
        <v>45834.625</v>
      </c>
      <c r="W36" s="54">
        <v>99.203125</v>
      </c>
    </row>
    <row r="37" spans="1:23" x14ac:dyDescent="0.3">
      <c r="A37" s="15"/>
      <c r="B37" s="45"/>
      <c r="C37" s="31"/>
      <c r="D37" s="31"/>
      <c r="E37" s="4"/>
      <c r="F37" s="31"/>
      <c r="G37" s="32"/>
      <c r="H37" s="4"/>
      <c r="I37" s="31"/>
      <c r="J37" s="32"/>
      <c r="K37" s="4"/>
      <c r="L37" s="31"/>
      <c r="M37" s="32"/>
      <c r="N37" s="38"/>
      <c r="R37" s="129">
        <v>45833.625</v>
      </c>
      <c r="S37" s="54">
        <v>99.71875</v>
      </c>
      <c r="T37" s="129">
        <v>45805.625</v>
      </c>
      <c r="U37" s="54">
        <v>86.234999999999999</v>
      </c>
      <c r="V37" s="129">
        <v>45835.625</v>
      </c>
      <c r="W37" s="54">
        <v>98.515625</v>
      </c>
    </row>
    <row r="38" spans="1:23" x14ac:dyDescent="0.3">
      <c r="A38" s="15"/>
      <c r="B38" s="45"/>
      <c r="C38" s="31"/>
      <c r="D38" s="31"/>
      <c r="E38" s="4"/>
      <c r="F38" s="31"/>
      <c r="G38" s="32"/>
      <c r="H38" s="4"/>
      <c r="I38" s="31"/>
      <c r="J38" s="32"/>
      <c r="K38" s="4"/>
      <c r="L38" s="31"/>
      <c r="M38" s="32"/>
      <c r="N38" s="38"/>
      <c r="R38" s="129">
        <v>45834.625</v>
      </c>
      <c r="S38" s="54">
        <v>100.0625</v>
      </c>
      <c r="T38" s="129">
        <v>45806.625</v>
      </c>
      <c r="U38" s="54">
        <v>86.704999999999998</v>
      </c>
      <c r="V38" s="129">
        <v>45838.625</v>
      </c>
      <c r="W38" s="54">
        <v>99.453125</v>
      </c>
    </row>
    <row r="39" spans="1:23" x14ac:dyDescent="0.3">
      <c r="A39" s="15"/>
      <c r="B39" s="45"/>
      <c r="C39" s="31"/>
      <c r="D39" s="31"/>
      <c r="E39" s="4"/>
      <c r="F39" s="31"/>
      <c r="G39" s="32"/>
      <c r="H39" s="4"/>
      <c r="I39" s="31"/>
      <c r="J39" s="32"/>
      <c r="K39" s="4"/>
      <c r="L39" s="31"/>
      <c r="M39" s="32"/>
      <c r="N39" s="38"/>
      <c r="R39" s="129">
        <v>45835.625</v>
      </c>
      <c r="S39" s="54">
        <v>99.734375</v>
      </c>
      <c r="T39" s="129">
        <v>45807.625</v>
      </c>
      <c r="U39" s="54">
        <v>86.674999999999997</v>
      </c>
      <c r="V39" s="129">
        <v>45839.625</v>
      </c>
      <c r="W39" s="54">
        <v>99.65625</v>
      </c>
    </row>
    <row r="40" spans="1:23" x14ac:dyDescent="0.3">
      <c r="A40" s="15"/>
      <c r="B40" s="45"/>
      <c r="C40" s="31"/>
      <c r="D40" s="31"/>
      <c r="E40" s="4"/>
      <c r="F40" s="31"/>
      <c r="G40" s="32"/>
      <c r="H40" s="4"/>
      <c r="I40" s="31"/>
      <c r="J40" s="32"/>
      <c r="K40" s="4"/>
      <c r="L40" s="31"/>
      <c r="M40" s="32"/>
      <c r="N40" s="38"/>
      <c r="R40" s="129">
        <v>45838.625</v>
      </c>
      <c r="S40" s="54">
        <v>100.171875</v>
      </c>
      <c r="T40" s="129">
        <v>45810.625</v>
      </c>
      <c r="U40" s="54">
        <v>86.381</v>
      </c>
      <c r="V40" s="129">
        <v>45840.625</v>
      </c>
      <c r="W40" s="54">
        <v>99.015625</v>
      </c>
    </row>
    <row r="41" spans="1:23" ht="15" thickBot="1" x14ac:dyDescent="0.35">
      <c r="A41" s="16"/>
      <c r="B41" s="48"/>
      <c r="C41" s="49"/>
      <c r="D41" s="49"/>
      <c r="E41" s="11"/>
      <c r="F41" s="49"/>
      <c r="G41" s="50"/>
      <c r="H41" s="11"/>
      <c r="I41" s="49"/>
      <c r="J41" s="50"/>
      <c r="K41" s="11"/>
      <c r="L41" s="49"/>
      <c r="M41" s="50"/>
      <c r="N41" s="51"/>
      <c r="R41" s="129">
        <v>45839.625</v>
      </c>
      <c r="S41" s="54">
        <v>100</v>
      </c>
      <c r="T41" s="129">
        <v>45811.625</v>
      </c>
      <c r="U41" s="54">
        <v>86.587999999999994</v>
      </c>
      <c r="V41" s="129">
        <v>45842.625</v>
      </c>
      <c r="W41" s="54">
        <v>98.25</v>
      </c>
    </row>
    <row r="42" spans="1:23" x14ac:dyDescent="0.3">
      <c r="B42" s="58"/>
      <c r="C42" s="58"/>
      <c r="D42" s="58"/>
      <c r="F42" s="57"/>
      <c r="G42" s="57"/>
      <c r="I42" s="57"/>
      <c r="J42" s="57"/>
      <c r="L42" s="57"/>
      <c r="M42" s="57"/>
      <c r="N42" s="57"/>
      <c r="R42" s="129">
        <v>45840.625</v>
      </c>
      <c r="S42" s="54">
        <v>99.734375</v>
      </c>
      <c r="T42" s="129">
        <v>45812.625</v>
      </c>
      <c r="U42" s="54">
        <v>87.248000000000005</v>
      </c>
      <c r="V42" s="129">
        <v>45845.625</v>
      </c>
      <c r="W42" s="54">
        <v>97.375</v>
      </c>
    </row>
    <row r="43" spans="1:23" x14ac:dyDescent="0.3">
      <c r="B43" s="58"/>
      <c r="C43" s="58"/>
      <c r="D43" s="58"/>
      <c r="I43" s="57"/>
      <c r="J43" s="57"/>
      <c r="L43" s="57"/>
      <c r="M43" s="57"/>
      <c r="N43" s="57"/>
      <c r="R43" s="129">
        <v>45842.625</v>
      </c>
      <c r="S43" s="54">
        <v>99.234375</v>
      </c>
      <c r="T43" s="129">
        <v>45813.625</v>
      </c>
      <c r="U43" s="54">
        <v>87.323999999999998</v>
      </c>
      <c r="V43" s="129">
        <v>45846.625</v>
      </c>
      <c r="W43" s="54">
        <v>97.234375</v>
      </c>
    </row>
    <row r="44" spans="1:23" x14ac:dyDescent="0.3">
      <c r="B44" s="58"/>
      <c r="C44" s="58"/>
      <c r="D44" s="58"/>
      <c r="I44" s="57"/>
      <c r="J44" s="57"/>
      <c r="L44" s="57"/>
      <c r="M44" s="57"/>
      <c r="N44" s="57"/>
      <c r="R44" s="129">
        <v>45845.625</v>
      </c>
      <c r="S44" s="54">
        <v>98.9375</v>
      </c>
      <c r="T44" s="129">
        <v>45814.625</v>
      </c>
      <c r="U44" s="54">
        <v>86.8</v>
      </c>
      <c r="V44" s="129">
        <v>45847.625</v>
      </c>
      <c r="W44" s="54">
        <v>98.15625</v>
      </c>
    </row>
    <row r="45" spans="1:23" x14ac:dyDescent="0.3">
      <c r="B45" s="58"/>
      <c r="C45" s="58"/>
      <c r="D45" s="58"/>
      <c r="I45" s="57"/>
      <c r="J45" s="57"/>
      <c r="L45" s="57"/>
      <c r="M45" s="57"/>
      <c r="N45" s="57"/>
      <c r="R45" s="129">
        <v>45846.625</v>
      </c>
      <c r="S45" s="54">
        <v>98.765625</v>
      </c>
      <c r="T45" s="129">
        <v>45817.625</v>
      </c>
      <c r="U45" s="54">
        <v>86.730999999999995</v>
      </c>
      <c r="V45" s="129">
        <v>45848.625</v>
      </c>
      <c r="W45" s="54">
        <v>98.21875</v>
      </c>
    </row>
    <row r="46" spans="1:23" x14ac:dyDescent="0.3">
      <c r="B46" s="58"/>
      <c r="C46" s="58"/>
      <c r="D46" s="58"/>
      <c r="R46" s="129">
        <v>45847.625</v>
      </c>
      <c r="S46" s="54">
        <v>99.296875</v>
      </c>
      <c r="T46" s="129">
        <v>45818.625</v>
      </c>
      <c r="U46" s="54">
        <v>87.043999999999997</v>
      </c>
      <c r="V46" s="129">
        <v>45849.625</v>
      </c>
      <c r="W46" s="54">
        <v>96.828125</v>
      </c>
    </row>
    <row r="47" spans="1:23" x14ac:dyDescent="0.3">
      <c r="B47" s="58"/>
      <c r="C47" s="58"/>
      <c r="D47" s="58"/>
      <c r="R47" s="129">
        <v>45848.625</v>
      </c>
      <c r="S47" s="54">
        <v>99.25</v>
      </c>
      <c r="T47" s="129">
        <v>45819.625</v>
      </c>
      <c r="U47" s="54">
        <v>87.248000000000005</v>
      </c>
      <c r="V47" s="129">
        <v>45852.625</v>
      </c>
      <c r="W47" s="54">
        <v>96.625</v>
      </c>
    </row>
    <row r="48" spans="1:23" x14ac:dyDescent="0.3">
      <c r="B48" s="58"/>
      <c r="C48" s="58"/>
      <c r="D48" s="58"/>
      <c r="R48" s="129">
        <v>45849.625</v>
      </c>
      <c r="S48" s="54">
        <v>98.671875</v>
      </c>
      <c r="T48" s="129">
        <v>45820.625</v>
      </c>
      <c r="U48" s="54">
        <v>87.465999999999994</v>
      </c>
      <c r="V48" s="129">
        <v>45853.625</v>
      </c>
      <c r="W48" s="54">
        <v>95.984375</v>
      </c>
    </row>
    <row r="49" spans="2:23" x14ac:dyDescent="0.3">
      <c r="B49" s="58"/>
      <c r="C49" s="58"/>
      <c r="D49" s="58"/>
      <c r="R49" s="129">
        <v>45852.625</v>
      </c>
      <c r="S49" s="54">
        <v>98.609375</v>
      </c>
      <c r="T49" s="129">
        <v>45821.625</v>
      </c>
      <c r="U49" s="54">
        <v>86.977999999999994</v>
      </c>
      <c r="V49" s="129">
        <v>45854.625</v>
      </c>
      <c r="W49" s="54">
        <v>96.078125</v>
      </c>
    </row>
    <row r="50" spans="2:23" x14ac:dyDescent="0.3">
      <c r="B50" s="58"/>
      <c r="C50" s="58"/>
      <c r="D50" s="58"/>
      <c r="R50" s="129">
        <v>45853.625</v>
      </c>
      <c r="S50" s="54">
        <v>98.171875</v>
      </c>
      <c r="T50" s="129">
        <v>45824.625</v>
      </c>
      <c r="U50" s="54">
        <v>86.965000000000003</v>
      </c>
      <c r="V50" s="129">
        <v>45855.625</v>
      </c>
      <c r="W50" s="54">
        <v>96.0625</v>
      </c>
    </row>
    <row r="51" spans="2:23" x14ac:dyDescent="0.3">
      <c r="B51" s="58"/>
      <c r="C51" s="58"/>
      <c r="D51" s="58"/>
      <c r="R51" s="129">
        <v>45854.625</v>
      </c>
      <c r="S51" s="54">
        <v>98.4375</v>
      </c>
      <c r="T51" s="129">
        <v>45825.625</v>
      </c>
      <c r="U51" s="54">
        <v>87.016999999999996</v>
      </c>
      <c r="V51" s="129">
        <v>45856.625</v>
      </c>
      <c r="W51" s="54">
        <v>96.1875</v>
      </c>
    </row>
    <row r="52" spans="2:23" x14ac:dyDescent="0.3">
      <c r="B52" s="58"/>
      <c r="C52" s="58"/>
      <c r="D52" s="58"/>
      <c r="R52" s="129">
        <v>45855.625</v>
      </c>
      <c r="S52" s="54">
        <v>98.375</v>
      </c>
      <c r="T52" s="129">
        <v>45826.625</v>
      </c>
      <c r="U52" s="54">
        <v>87.179000000000002</v>
      </c>
      <c r="V52" s="129">
        <v>45859.625</v>
      </c>
      <c r="W52" s="54">
        <v>96.953125</v>
      </c>
    </row>
    <row r="53" spans="2:23" x14ac:dyDescent="0.3">
      <c r="B53" s="58"/>
      <c r="C53" s="58"/>
      <c r="D53" s="58"/>
      <c r="R53" s="129">
        <v>45856.625</v>
      </c>
      <c r="S53" s="54">
        <v>98.609375</v>
      </c>
      <c r="T53" s="129">
        <v>45828.625</v>
      </c>
      <c r="U53" s="54">
        <v>87.057000000000002</v>
      </c>
      <c r="V53" s="129">
        <v>45860.625</v>
      </c>
      <c r="W53" s="54">
        <v>97.46875</v>
      </c>
    </row>
    <row r="54" spans="2:23" x14ac:dyDescent="0.3">
      <c r="R54" s="129">
        <v>45859.625</v>
      </c>
      <c r="S54" s="54">
        <v>98.96875</v>
      </c>
      <c r="T54" s="129">
        <v>45831.625</v>
      </c>
      <c r="U54" s="54">
        <v>87.498999999999995</v>
      </c>
      <c r="V54" s="129">
        <v>45861.625</v>
      </c>
      <c r="W54" s="54">
        <v>96.953125</v>
      </c>
    </row>
    <row r="55" spans="2:23" x14ac:dyDescent="0.3">
      <c r="R55" s="129">
        <v>45860.625</v>
      </c>
      <c r="S55" s="54">
        <v>99.28125</v>
      </c>
      <c r="T55" s="129">
        <v>45832.625</v>
      </c>
      <c r="U55" s="54">
        <v>87.813000000000002</v>
      </c>
      <c r="V55" s="129">
        <v>45862.625</v>
      </c>
      <c r="W55" s="54">
        <v>96.8125</v>
      </c>
    </row>
    <row r="56" spans="2:23" x14ac:dyDescent="0.3">
      <c r="R56" s="129">
        <v>45861.625</v>
      </c>
      <c r="S56" s="54">
        <v>98.90625</v>
      </c>
      <c r="T56" s="129">
        <v>45833.625</v>
      </c>
      <c r="U56" s="54">
        <v>88.256</v>
      </c>
      <c r="V56" s="129">
        <v>45863.625</v>
      </c>
      <c r="W56" s="54">
        <v>97.34375</v>
      </c>
    </row>
    <row r="57" spans="2:23" x14ac:dyDescent="0.3">
      <c r="R57" s="129">
        <v>45862.625</v>
      </c>
      <c r="S57" s="54">
        <v>98.734375</v>
      </c>
      <c r="T57" s="129">
        <v>45834.625</v>
      </c>
      <c r="U57" s="54">
        <v>88.537999999999997</v>
      </c>
      <c r="V57" s="129">
        <v>45866.625</v>
      </c>
      <c r="W57" s="54">
        <v>96.765625</v>
      </c>
    </row>
    <row r="58" spans="2:23" x14ac:dyDescent="0.3">
      <c r="R58" s="129">
        <v>45863.625</v>
      </c>
      <c r="S58" s="54">
        <v>98.953125</v>
      </c>
      <c r="T58" s="129">
        <v>45835.625</v>
      </c>
      <c r="U58" s="54">
        <v>88.67</v>
      </c>
      <c r="V58" s="129">
        <v>45867.625</v>
      </c>
      <c r="W58" s="54">
        <v>98.328125</v>
      </c>
    </row>
    <row r="59" spans="2:23" x14ac:dyDescent="0.3">
      <c r="R59" s="129">
        <v>45866.625</v>
      </c>
      <c r="S59" s="54">
        <v>98.71875</v>
      </c>
      <c r="T59" s="129">
        <v>45838.625</v>
      </c>
      <c r="U59" s="54">
        <v>88.741</v>
      </c>
      <c r="V59" s="129">
        <v>45868.625</v>
      </c>
      <c r="W59" s="54">
        <v>97.75</v>
      </c>
    </row>
    <row r="60" spans="2:23" x14ac:dyDescent="0.3">
      <c r="R60" s="129">
        <v>45867.625</v>
      </c>
      <c r="S60" s="54">
        <v>99.4375</v>
      </c>
      <c r="T60" s="129">
        <v>45839.625</v>
      </c>
      <c r="U60" s="54">
        <v>89.156000000000006</v>
      </c>
      <c r="V60" s="129">
        <v>45869.625</v>
      </c>
      <c r="W60" s="54">
        <v>97.828125</v>
      </c>
    </row>
    <row r="61" spans="2:23" x14ac:dyDescent="0.3">
      <c r="R61" s="129">
        <v>45868.625</v>
      </c>
      <c r="S61" s="54">
        <v>99.078125</v>
      </c>
      <c r="T61" s="129">
        <v>45840.625</v>
      </c>
      <c r="U61" s="54">
        <v>89.039000000000001</v>
      </c>
      <c r="V61" s="129">
        <v>45870.625</v>
      </c>
      <c r="W61" s="54">
        <v>99.046875</v>
      </c>
    </row>
    <row r="62" spans="2:23" x14ac:dyDescent="0.3">
      <c r="R62" s="129">
        <v>45869.625</v>
      </c>
      <c r="S62" s="54">
        <v>99.140625</v>
      </c>
      <c r="T62" s="129">
        <v>45845.625</v>
      </c>
      <c r="U62" s="54">
        <v>88.873000000000005</v>
      </c>
      <c r="V62" s="129">
        <v>45873.625</v>
      </c>
      <c r="W62" s="54">
        <v>99.296875</v>
      </c>
    </row>
    <row r="63" spans="2:23" x14ac:dyDescent="0.3">
      <c r="R63" s="129">
        <v>45870.625</v>
      </c>
      <c r="S63" s="54">
        <v>100.296875</v>
      </c>
      <c r="T63" s="129">
        <v>45846.625</v>
      </c>
      <c r="U63" s="54">
        <v>88.649000000000001</v>
      </c>
      <c r="V63" s="129">
        <v>45874.625</v>
      </c>
      <c r="W63" s="54">
        <v>99.625</v>
      </c>
    </row>
    <row r="64" spans="2:23" x14ac:dyDescent="0.3">
      <c r="R64" s="129">
        <v>45873.625</v>
      </c>
      <c r="S64" s="54">
        <v>100.40625</v>
      </c>
      <c r="T64" s="129">
        <v>45847.625</v>
      </c>
      <c r="U64" s="54">
        <v>89.042000000000002</v>
      </c>
      <c r="V64" s="129">
        <v>45875.625</v>
      </c>
      <c r="W64" s="54">
        <v>99</v>
      </c>
    </row>
    <row r="65" spans="18:23" x14ac:dyDescent="0.3">
      <c r="R65" s="129">
        <v>45874.625</v>
      </c>
      <c r="S65" s="54">
        <v>100.390625</v>
      </c>
      <c r="T65" s="129">
        <v>45848.625</v>
      </c>
      <c r="U65" s="54">
        <v>89.186000000000007</v>
      </c>
      <c r="V65" s="129">
        <v>45876.625</v>
      </c>
      <c r="W65" s="54">
        <v>98.84375</v>
      </c>
    </row>
    <row r="66" spans="18:23" x14ac:dyDescent="0.3">
      <c r="R66" s="129">
        <v>45875.625</v>
      </c>
      <c r="S66" s="54">
        <v>100.234375</v>
      </c>
      <c r="T66" s="129">
        <v>45849.625</v>
      </c>
      <c r="U66" s="54">
        <v>88.834000000000003</v>
      </c>
      <c r="V66" s="129">
        <v>45877.625</v>
      </c>
      <c r="W66" s="54">
        <v>98.375</v>
      </c>
    </row>
    <row r="67" spans="18:23" x14ac:dyDescent="0.3">
      <c r="R67" s="129">
        <v>45876.625</v>
      </c>
      <c r="S67" s="54">
        <v>100.171875</v>
      </c>
      <c r="T67" s="129">
        <v>45852.625</v>
      </c>
      <c r="U67" s="54">
        <v>88.548000000000002</v>
      </c>
      <c r="V67" s="129">
        <v>45880.625</v>
      </c>
      <c r="W67" s="54">
        <v>98.46875</v>
      </c>
    </row>
    <row r="68" spans="18:23" x14ac:dyDescent="0.3">
      <c r="R68" s="129">
        <v>45877.625</v>
      </c>
      <c r="S68" s="54">
        <v>99.859375</v>
      </c>
      <c r="T68" s="129">
        <v>45853.625</v>
      </c>
      <c r="U68" s="54">
        <v>88.222999999999999</v>
      </c>
      <c r="V68" s="129">
        <v>45881.625</v>
      </c>
      <c r="W68" s="54">
        <v>97.953125</v>
      </c>
    </row>
    <row r="69" spans="18:23" x14ac:dyDescent="0.3">
      <c r="R69" s="129">
        <v>45880.625</v>
      </c>
      <c r="S69" s="54">
        <v>99.921875</v>
      </c>
      <c r="T69" s="129">
        <v>45854.625</v>
      </c>
      <c r="U69" s="54">
        <v>88.09</v>
      </c>
      <c r="V69" s="129">
        <v>45882.625</v>
      </c>
      <c r="W69" s="54">
        <v>98.765625</v>
      </c>
    </row>
    <row r="70" spans="18:23" x14ac:dyDescent="0.3">
      <c r="R70" s="129">
        <v>45881.625</v>
      </c>
      <c r="S70" s="54">
        <v>99.796875</v>
      </c>
      <c r="T70" s="129">
        <v>45855.625</v>
      </c>
      <c r="U70" s="54">
        <v>88.257000000000005</v>
      </c>
      <c r="V70" s="129">
        <v>45883.625</v>
      </c>
      <c r="W70" s="54">
        <v>98</v>
      </c>
    </row>
    <row r="71" spans="18:23" x14ac:dyDescent="0.3">
      <c r="R71" s="129">
        <v>45882.625</v>
      </c>
      <c r="S71" s="54">
        <v>100.21875</v>
      </c>
      <c r="T71" s="129">
        <v>45856.625</v>
      </c>
      <c r="U71" s="54">
        <v>88.397000000000006</v>
      </c>
      <c r="V71" s="129">
        <v>45884.625</v>
      </c>
      <c r="W71" s="54">
        <v>97.328125</v>
      </c>
    </row>
    <row r="72" spans="18:23" x14ac:dyDescent="0.3">
      <c r="R72" s="129">
        <v>45883.625</v>
      </c>
      <c r="S72" s="54">
        <v>99.8125</v>
      </c>
      <c r="T72" s="129">
        <v>45859.625</v>
      </c>
      <c r="U72" s="54">
        <v>88.954999999999998</v>
      </c>
      <c r="V72" s="129">
        <v>45887.625</v>
      </c>
      <c r="W72" s="54">
        <v>97.015625</v>
      </c>
    </row>
    <row r="73" spans="18:23" x14ac:dyDescent="0.3">
      <c r="R73" s="129">
        <v>45884.625</v>
      </c>
      <c r="S73" s="54">
        <v>99.546875</v>
      </c>
      <c r="T73" s="129">
        <v>45860.625</v>
      </c>
      <c r="U73" s="54">
        <v>89.116</v>
      </c>
      <c r="V73" s="129">
        <v>45888.625</v>
      </c>
      <c r="W73" s="54">
        <v>97.59375</v>
      </c>
    </row>
    <row r="74" spans="18:23" x14ac:dyDescent="0.3">
      <c r="R74" s="129">
        <v>45887.625</v>
      </c>
      <c r="S74" s="54">
        <v>99.421875</v>
      </c>
      <c r="T74" s="129">
        <v>45861.625</v>
      </c>
      <c r="U74" s="54">
        <v>88.831999999999994</v>
      </c>
      <c r="V74" s="129">
        <v>45889.625</v>
      </c>
      <c r="W74" s="54">
        <v>97.75</v>
      </c>
    </row>
    <row r="75" spans="18:23" x14ac:dyDescent="0.3">
      <c r="R75" s="129">
        <v>45888.625</v>
      </c>
      <c r="S75" s="54">
        <v>99.703125</v>
      </c>
      <c r="T75" s="129">
        <v>45862.625</v>
      </c>
      <c r="U75" s="54">
        <v>88.843000000000004</v>
      </c>
      <c r="V75" s="129">
        <v>45890.625</v>
      </c>
      <c r="W75" s="54">
        <v>97.28125</v>
      </c>
    </row>
    <row r="76" spans="18:23" x14ac:dyDescent="0.3">
      <c r="R76" s="129">
        <v>45889.625</v>
      </c>
      <c r="S76" s="54">
        <v>99.828125</v>
      </c>
      <c r="T76" s="129">
        <v>45863.625</v>
      </c>
      <c r="U76" s="54">
        <v>88.879000000000005</v>
      </c>
      <c r="V76" s="129">
        <v>45891.625</v>
      </c>
      <c r="W76" s="54">
        <v>97.90625</v>
      </c>
    </row>
    <row r="77" spans="18:23" x14ac:dyDescent="0.3">
      <c r="R77" s="129">
        <v>45890.625</v>
      </c>
      <c r="S77" s="54">
        <v>99.515625</v>
      </c>
      <c r="T77" s="129">
        <v>45866.625</v>
      </c>
      <c r="U77" s="54">
        <v>89.033000000000001</v>
      </c>
      <c r="V77" s="129">
        <v>45894.625</v>
      </c>
      <c r="W77" s="54">
        <v>97.6875</v>
      </c>
    </row>
    <row r="78" spans="18:23" x14ac:dyDescent="0.3">
      <c r="R78" s="129">
        <v>45891.625</v>
      </c>
      <c r="S78" s="54">
        <v>100.0625</v>
      </c>
      <c r="T78" s="129">
        <v>45867.625</v>
      </c>
      <c r="U78" s="54">
        <v>89.569000000000003</v>
      </c>
      <c r="V78" s="129">
        <v>45895.625</v>
      </c>
      <c r="W78" s="54">
        <v>97.578125</v>
      </c>
    </row>
    <row r="79" spans="18:23" x14ac:dyDescent="0.3">
      <c r="R79" s="129">
        <v>45894.625</v>
      </c>
      <c r="S79" s="54">
        <v>99.890625</v>
      </c>
      <c r="T79" s="129">
        <v>45868.625</v>
      </c>
      <c r="U79" s="54">
        <v>89.222999999999999</v>
      </c>
      <c r="V79" s="129">
        <v>45896.625</v>
      </c>
      <c r="W79" s="54">
        <v>97.4375</v>
      </c>
    </row>
    <row r="80" spans="18:23" x14ac:dyDescent="0.3">
      <c r="R80" s="129">
        <v>45895.625</v>
      </c>
      <c r="S80" s="54">
        <v>100.109375</v>
      </c>
      <c r="T80" s="129">
        <v>45869.625</v>
      </c>
      <c r="U80" s="54">
        <v>89.516999999999996</v>
      </c>
      <c r="V80" s="129">
        <v>45897.625</v>
      </c>
      <c r="W80" s="54">
        <v>98.03125</v>
      </c>
    </row>
    <row r="81" spans="18:23" x14ac:dyDescent="0.3">
      <c r="R81" s="129">
        <v>45896.625</v>
      </c>
      <c r="S81" s="54">
        <v>100.25</v>
      </c>
      <c r="T81" s="129">
        <v>45870.625</v>
      </c>
      <c r="U81" s="54">
        <v>90.073999999999998</v>
      </c>
      <c r="V81" s="129">
        <v>45898.625</v>
      </c>
      <c r="W81" s="54">
        <v>97.328125</v>
      </c>
    </row>
    <row r="82" spans="18:23" x14ac:dyDescent="0.3">
      <c r="R82" s="129">
        <v>45897.625</v>
      </c>
      <c r="S82" s="54">
        <v>100.5</v>
      </c>
      <c r="T82" s="129">
        <v>45873.625</v>
      </c>
      <c r="U82" s="54">
        <v>90.417000000000002</v>
      </c>
      <c r="V82" s="129">
        <v>45901.625</v>
      </c>
      <c r="W82" s="54">
        <v>97.21875</v>
      </c>
    </row>
    <row r="83" spans="18:23" x14ac:dyDescent="0.3">
      <c r="R83" s="129">
        <v>45898.625</v>
      </c>
      <c r="S83" s="54">
        <v>100.359375</v>
      </c>
      <c r="T83" s="129">
        <v>45874.625</v>
      </c>
      <c r="U83" s="54">
        <v>90.712999999999994</v>
      </c>
      <c r="V83" s="129">
        <v>45902.625</v>
      </c>
      <c r="W83" s="54">
        <v>96.625</v>
      </c>
    </row>
    <row r="84" spans="18:23" x14ac:dyDescent="0.3">
      <c r="R84" s="129">
        <v>45901.625</v>
      </c>
      <c r="S84" s="54">
        <v>100.3125</v>
      </c>
      <c r="T84" s="129">
        <v>45875.625</v>
      </c>
      <c r="U84" s="54">
        <v>90.623000000000005</v>
      </c>
      <c r="V84" s="129">
        <v>45903.625</v>
      </c>
      <c r="W84" s="54">
        <v>97.671875</v>
      </c>
    </row>
    <row r="85" spans="18:23" x14ac:dyDescent="0.3">
      <c r="R85" s="129">
        <v>45902.625</v>
      </c>
      <c r="S85" s="54">
        <v>100</v>
      </c>
      <c r="T85" s="129">
        <v>45876.625</v>
      </c>
      <c r="U85" s="54">
        <v>90.69</v>
      </c>
      <c r="V85" s="129">
        <v>45904.625</v>
      </c>
      <c r="W85" s="54">
        <v>98.296875</v>
      </c>
    </row>
    <row r="86" spans="18:23" x14ac:dyDescent="0.3">
      <c r="R86" s="129">
        <v>45903.625</v>
      </c>
      <c r="S86" s="54">
        <v>100.375</v>
      </c>
      <c r="T86" s="129">
        <v>45877.625</v>
      </c>
      <c r="U86" s="54">
        <v>90.384</v>
      </c>
      <c r="V86" s="129">
        <v>45905.625</v>
      </c>
      <c r="W86" s="54">
        <v>99.6875</v>
      </c>
    </row>
    <row r="87" spans="18:23" x14ac:dyDescent="0.3">
      <c r="R87" s="129">
        <v>45904.625</v>
      </c>
      <c r="S87" s="54">
        <v>100.84375</v>
      </c>
      <c r="T87" s="129">
        <v>45880.625</v>
      </c>
      <c r="U87" s="54">
        <v>90.596000000000004</v>
      </c>
      <c r="V87" s="129">
        <v>45908.625</v>
      </c>
      <c r="W87" s="54">
        <v>100.984375</v>
      </c>
    </row>
    <row r="88" spans="18:23" x14ac:dyDescent="0.3">
      <c r="R88" s="129">
        <v>45905.625</v>
      </c>
      <c r="S88" s="54">
        <v>101.421875</v>
      </c>
      <c r="T88" s="129">
        <v>45881.625</v>
      </c>
      <c r="U88" s="54">
        <v>90.510999999999996</v>
      </c>
      <c r="V88" s="129">
        <v>45909.625</v>
      </c>
      <c r="W88" s="54">
        <v>100.421875</v>
      </c>
    </row>
    <row r="89" spans="18:23" x14ac:dyDescent="0.3">
      <c r="R89" s="129">
        <v>45908.625</v>
      </c>
      <c r="S89" s="54">
        <v>101.765625</v>
      </c>
      <c r="T89" s="129">
        <v>45882.625</v>
      </c>
      <c r="U89" s="54">
        <v>91.340999999999994</v>
      </c>
      <c r="V89" s="129">
        <v>45910.625</v>
      </c>
      <c r="W89" s="54">
        <v>100.9375</v>
      </c>
    </row>
    <row r="90" spans="18:23" x14ac:dyDescent="0.3">
      <c r="R90" s="129">
        <v>45909.625</v>
      </c>
      <c r="S90" s="54">
        <v>101.484375</v>
      </c>
      <c r="T90" s="129">
        <v>45883.625</v>
      </c>
      <c r="U90" s="54">
        <v>91.134</v>
      </c>
      <c r="V90" s="129">
        <v>45911.625</v>
      </c>
      <c r="W90" s="54">
        <v>101.609375</v>
      </c>
    </row>
    <row r="91" spans="18:23" x14ac:dyDescent="0.3">
      <c r="R91" s="129">
        <v>45910.625</v>
      </c>
      <c r="S91" s="54">
        <v>101.796875</v>
      </c>
      <c r="T91" s="129">
        <v>45884.625</v>
      </c>
      <c r="U91" s="54">
        <v>91.073999999999998</v>
      </c>
      <c r="V91" s="129">
        <v>45912.625</v>
      </c>
      <c r="W91" s="54">
        <v>101.15625</v>
      </c>
    </row>
    <row r="92" spans="18:23" x14ac:dyDescent="0.3">
      <c r="R92" s="129">
        <v>45911.625</v>
      </c>
      <c r="S92" s="54">
        <v>101.984375</v>
      </c>
      <c r="T92" s="129">
        <v>45887.625</v>
      </c>
      <c r="U92" s="54">
        <v>91.28</v>
      </c>
      <c r="V92" s="129">
        <v>45915.625</v>
      </c>
      <c r="W92" s="54">
        <v>101.421875</v>
      </c>
    </row>
    <row r="93" spans="18:23" x14ac:dyDescent="0.3">
      <c r="R93" s="129">
        <v>45912.625</v>
      </c>
      <c r="S93" s="54">
        <v>101.65625</v>
      </c>
      <c r="T93" s="129">
        <v>45888.625</v>
      </c>
      <c r="U93" s="54">
        <v>91.4</v>
      </c>
      <c r="V93" s="129">
        <v>45916.625</v>
      </c>
      <c r="W93" s="54">
        <v>101.5625</v>
      </c>
    </row>
    <row r="94" spans="18:23" x14ac:dyDescent="0.3">
      <c r="R94" s="129">
        <v>45915.625</v>
      </c>
      <c r="S94" s="54">
        <v>101.828125</v>
      </c>
      <c r="T94" s="129">
        <v>45889.625</v>
      </c>
      <c r="U94" s="54">
        <v>91.606999999999999</v>
      </c>
      <c r="V94" s="129">
        <v>45917.625</v>
      </c>
      <c r="W94" s="54">
        <v>101.375</v>
      </c>
    </row>
    <row r="95" spans="18:23" x14ac:dyDescent="0.3">
      <c r="R95" s="129">
        <v>45916.625</v>
      </c>
      <c r="S95" s="54">
        <v>101.875</v>
      </c>
      <c r="T95" s="129">
        <v>45890.625</v>
      </c>
      <c r="U95" s="54">
        <v>91.453999999999994</v>
      </c>
      <c r="V95" s="129">
        <v>45918.625</v>
      </c>
      <c r="W95" s="54">
        <v>100.328125</v>
      </c>
    </row>
    <row r="96" spans="18:23" x14ac:dyDescent="0.3">
      <c r="R96" s="129">
        <v>45917.625</v>
      </c>
      <c r="S96" s="54">
        <v>101.625</v>
      </c>
      <c r="T96" s="129">
        <v>45891.625</v>
      </c>
      <c r="U96" s="54">
        <v>91.677000000000007</v>
      </c>
      <c r="V96" s="129">
        <v>45919.625</v>
      </c>
      <c r="W96" s="54">
        <v>100.109375</v>
      </c>
    </row>
    <row r="97" spans="18:23" x14ac:dyDescent="0.3">
      <c r="R97" s="129">
        <v>45918.625</v>
      </c>
      <c r="S97" s="54">
        <v>101.234375</v>
      </c>
      <c r="T97" s="129">
        <v>45894.625</v>
      </c>
      <c r="U97" s="54">
        <v>91.754000000000005</v>
      </c>
      <c r="V97" s="129">
        <v>45922.625</v>
      </c>
      <c r="W97" s="54">
        <v>99.734375</v>
      </c>
    </row>
    <row r="98" spans="18:23" x14ac:dyDescent="0.3">
      <c r="R98" s="129">
        <v>45919.625</v>
      </c>
      <c r="S98" s="54">
        <v>101.140625</v>
      </c>
      <c r="T98" s="129">
        <v>45895.625</v>
      </c>
      <c r="U98" s="54">
        <v>91.52</v>
      </c>
      <c r="V98" s="129">
        <v>45923.625</v>
      </c>
      <c r="W98" s="54">
        <v>100.4375</v>
      </c>
    </row>
    <row r="99" spans="18:23" x14ac:dyDescent="0.3">
      <c r="R99" s="129">
        <v>45922.625</v>
      </c>
      <c r="S99" s="54">
        <v>100.953125</v>
      </c>
      <c r="T99" s="129">
        <v>45896.625</v>
      </c>
      <c r="U99" s="54">
        <v>91.337000000000003</v>
      </c>
      <c r="V99" s="129">
        <v>45924.625</v>
      </c>
      <c r="W99" s="54">
        <v>100</v>
      </c>
    </row>
    <row r="100" spans="18:23" x14ac:dyDescent="0.3">
      <c r="R100" s="129">
        <v>45923.625</v>
      </c>
      <c r="S100" s="54">
        <v>101.265625</v>
      </c>
      <c r="T100" s="129">
        <v>45897.625</v>
      </c>
      <c r="U100" s="54">
        <v>91.617999999999995</v>
      </c>
      <c r="V100" s="129">
        <v>45925.625</v>
      </c>
      <c r="W100" s="54">
        <v>100.015625</v>
      </c>
    </row>
    <row r="101" spans="18:23" x14ac:dyDescent="0.3">
      <c r="R101" s="129">
        <v>45924.625</v>
      </c>
      <c r="S101" s="54">
        <v>100.984375</v>
      </c>
      <c r="T101" s="129">
        <v>45898.625</v>
      </c>
      <c r="U101" s="54">
        <v>91.227000000000004</v>
      </c>
      <c r="V101" s="129">
        <v>45926.625</v>
      </c>
      <c r="W101" s="54">
        <v>99.890625</v>
      </c>
    </row>
    <row r="102" spans="18:23" x14ac:dyDescent="0.3">
      <c r="R102" s="129">
        <v>45925.625</v>
      </c>
      <c r="S102" s="54">
        <v>100.78125</v>
      </c>
      <c r="T102" s="129">
        <v>45902.625</v>
      </c>
      <c r="U102" s="54">
        <v>90.741</v>
      </c>
      <c r="V102" s="129">
        <v>45929.625</v>
      </c>
      <c r="W102" s="54">
        <v>100.65625</v>
      </c>
    </row>
    <row r="103" spans="18:23" x14ac:dyDescent="0.3">
      <c r="R103" s="129">
        <v>45926.625</v>
      </c>
      <c r="S103" s="54">
        <v>100.6875</v>
      </c>
      <c r="T103" s="129">
        <v>45903.625</v>
      </c>
      <c r="U103" s="54">
        <v>90.899000000000001</v>
      </c>
      <c r="V103" s="129">
        <v>45930.625</v>
      </c>
      <c r="W103" s="54">
        <v>100.359375</v>
      </c>
    </row>
    <row r="104" spans="18:23" x14ac:dyDescent="0.3">
      <c r="R104" s="129">
        <v>45929.625</v>
      </c>
      <c r="S104" s="54">
        <v>100.984375</v>
      </c>
      <c r="T104" s="129">
        <v>45904.625</v>
      </c>
      <c r="U104" s="54">
        <v>91.533000000000001</v>
      </c>
      <c r="V104" s="129">
        <v>45931.625</v>
      </c>
      <c r="W104" s="54">
        <v>100.5625</v>
      </c>
    </row>
    <row r="105" spans="18:23" x14ac:dyDescent="0.3">
      <c r="R105" s="129">
        <v>45930.625</v>
      </c>
      <c r="S105" s="54">
        <v>100.953125</v>
      </c>
      <c r="T105" s="129">
        <v>45905.625</v>
      </c>
      <c r="U105" s="54">
        <v>92.209000000000003</v>
      </c>
      <c r="V105" s="129">
        <v>45932.625</v>
      </c>
      <c r="W105" s="54">
        <v>100.84375</v>
      </c>
    </row>
    <row r="106" spans="18:23" x14ac:dyDescent="0.3">
      <c r="R106" s="129">
        <v>45931.625</v>
      </c>
      <c r="S106" s="54">
        <v>101.296875</v>
      </c>
      <c r="T106" s="129">
        <v>45908.625</v>
      </c>
      <c r="U106" s="54">
        <v>92.653999999999996</v>
      </c>
      <c r="V106" s="129">
        <v>45933.625</v>
      </c>
      <c r="W106" s="54">
        <v>100.5625</v>
      </c>
    </row>
    <row r="107" spans="18:23" x14ac:dyDescent="0.3">
      <c r="R107" s="129">
        <v>45932.625</v>
      </c>
      <c r="S107" s="54">
        <v>101.421875</v>
      </c>
      <c r="T107" s="129">
        <v>45909.625</v>
      </c>
      <c r="U107" s="54">
        <v>92.697999999999993</v>
      </c>
      <c r="V107" s="129">
        <v>45936.625</v>
      </c>
      <c r="W107" s="54">
        <v>99.8125</v>
      </c>
    </row>
    <row r="108" spans="18:23" x14ac:dyDescent="0.3">
      <c r="R108" s="129">
        <v>45933.625</v>
      </c>
      <c r="S108" s="54">
        <v>101.15625</v>
      </c>
      <c r="T108" s="129">
        <v>45910.625</v>
      </c>
      <c r="U108" s="54">
        <v>92.921000000000006</v>
      </c>
      <c r="V108" s="129">
        <v>45937.625</v>
      </c>
      <c r="W108" s="54">
        <v>100.34375</v>
      </c>
    </row>
    <row r="109" spans="18:23" x14ac:dyDescent="0.3">
      <c r="R109" s="129">
        <v>45936.625</v>
      </c>
      <c r="S109" s="54">
        <v>100.8125</v>
      </c>
      <c r="T109" s="129">
        <v>45911.625</v>
      </c>
      <c r="U109" s="54">
        <v>93.498999999999995</v>
      </c>
      <c r="V109" s="129">
        <v>45938.625</v>
      </c>
      <c r="W109" s="54">
        <v>100.390625</v>
      </c>
    </row>
    <row r="110" spans="18:23" x14ac:dyDescent="0.3">
      <c r="R110" s="129">
        <v>45937.625</v>
      </c>
      <c r="S110" s="54">
        <v>101.078125</v>
      </c>
      <c r="T110" s="129">
        <v>45912.625</v>
      </c>
      <c r="U110" s="54">
        <v>93.632000000000005</v>
      </c>
      <c r="V110" s="129">
        <v>45939.625</v>
      </c>
      <c r="W110" s="54">
        <v>100.359375</v>
      </c>
    </row>
    <row r="111" spans="18:23" x14ac:dyDescent="0.3">
      <c r="R111" s="129">
        <v>45938.625</v>
      </c>
      <c r="S111" s="54">
        <v>101.0625</v>
      </c>
      <c r="T111" s="129">
        <v>45915.625</v>
      </c>
      <c r="U111" s="54">
        <v>93.965000000000003</v>
      </c>
      <c r="V111" s="129">
        <v>45940.625</v>
      </c>
      <c r="W111" s="54">
        <v>101.828125</v>
      </c>
    </row>
    <row r="112" spans="18:23" x14ac:dyDescent="0.3">
      <c r="R112" s="129">
        <v>45939.625</v>
      </c>
      <c r="S112" s="54">
        <v>100.984375</v>
      </c>
      <c r="T112" s="129">
        <v>45916.625</v>
      </c>
      <c r="U112" s="54">
        <v>94.453000000000003</v>
      </c>
      <c r="V112" s="129">
        <v>45943.625</v>
      </c>
      <c r="W112" s="54">
        <v>102.0625</v>
      </c>
    </row>
    <row r="113" spans="18:23" x14ac:dyDescent="0.3">
      <c r="R113" s="129">
        <v>45940.625</v>
      </c>
      <c r="S113" s="54">
        <v>101.6875</v>
      </c>
      <c r="T113" s="129">
        <v>45917.625</v>
      </c>
      <c r="U113" s="54">
        <v>94.53</v>
      </c>
      <c r="V113" s="129">
        <v>45944.625</v>
      </c>
      <c r="W113" s="54">
        <v>102.109375</v>
      </c>
    </row>
    <row r="114" spans="18:23" x14ac:dyDescent="0.3">
      <c r="R114" s="129">
        <v>45943.625</v>
      </c>
      <c r="S114" s="54">
        <v>101.84375</v>
      </c>
      <c r="T114" s="129">
        <v>45918.625</v>
      </c>
      <c r="U114" s="54">
        <v>94.84</v>
      </c>
      <c r="V114" s="129">
        <v>45945.625</v>
      </c>
      <c r="W114" s="54">
        <v>101.890625</v>
      </c>
    </row>
    <row r="115" spans="18:23" x14ac:dyDescent="0.3">
      <c r="R115" s="129">
        <v>45944.625</v>
      </c>
      <c r="S115" s="54">
        <v>101.953125</v>
      </c>
      <c r="T115" s="129">
        <v>45919.625</v>
      </c>
      <c r="U115" s="54">
        <v>94.754999999999995</v>
      </c>
      <c r="V115" s="129">
        <v>45946.625</v>
      </c>
      <c r="W115" s="54">
        <v>102.65625</v>
      </c>
    </row>
    <row r="116" spans="18:23" x14ac:dyDescent="0.3">
      <c r="R116" s="129">
        <v>45945.625</v>
      </c>
      <c r="S116" s="54">
        <v>101.828125</v>
      </c>
      <c r="T116" s="129">
        <v>45922.625</v>
      </c>
      <c r="U116" s="54">
        <v>94.643000000000001</v>
      </c>
    </row>
    <row r="117" spans="18:23" x14ac:dyDescent="0.3">
      <c r="R117" s="129">
        <v>45946.625</v>
      </c>
      <c r="S117" s="54">
        <v>102.328125</v>
      </c>
      <c r="T117" s="129">
        <v>45923.625</v>
      </c>
      <c r="U117" s="54">
        <v>94.569000000000003</v>
      </c>
    </row>
    <row r="118" spans="18:23" x14ac:dyDescent="0.3">
      <c r="T118" s="129">
        <v>45924.625</v>
      </c>
      <c r="U118" s="54">
        <v>94.546000000000006</v>
      </c>
    </row>
    <row r="119" spans="18:23" x14ac:dyDescent="0.3">
      <c r="T119" s="129">
        <v>45925.625</v>
      </c>
      <c r="U119" s="54">
        <v>94.403999999999996</v>
      </c>
    </row>
    <row r="120" spans="18:23" x14ac:dyDescent="0.3">
      <c r="T120" s="129">
        <v>45926.625</v>
      </c>
      <c r="U120" s="54">
        <v>94.427999999999997</v>
      </c>
    </row>
    <row r="121" spans="18:23" x14ac:dyDescent="0.3">
      <c r="T121" s="129">
        <v>45929.625</v>
      </c>
      <c r="U121" s="54">
        <v>94.834999999999994</v>
      </c>
    </row>
    <row r="122" spans="18:23" x14ac:dyDescent="0.3">
      <c r="T122" s="129">
        <v>45930.625</v>
      </c>
      <c r="U122" s="54">
        <v>94.778000000000006</v>
      </c>
    </row>
    <row r="123" spans="18:23" x14ac:dyDescent="0.3">
      <c r="T123" s="129">
        <v>45931.625</v>
      </c>
      <c r="U123" s="54">
        <v>94.77</v>
      </c>
    </row>
    <row r="124" spans="18:23" x14ac:dyDescent="0.3">
      <c r="T124" s="129">
        <v>45932.625</v>
      </c>
      <c r="U124" s="54">
        <v>94.884</v>
      </c>
    </row>
    <row r="125" spans="18:23" x14ac:dyDescent="0.3">
      <c r="T125" s="129">
        <v>45933.625</v>
      </c>
      <c r="U125" s="54">
        <v>94.835999999999999</v>
      </c>
    </row>
    <row r="126" spans="18:23" x14ac:dyDescent="0.3">
      <c r="T126" s="129">
        <v>45936.625</v>
      </c>
      <c r="U126" s="54">
        <v>94.5</v>
      </c>
    </row>
    <row r="127" spans="18:23" x14ac:dyDescent="0.3">
      <c r="T127" s="129">
        <v>45937.625</v>
      </c>
      <c r="U127" s="54">
        <v>94.43</v>
      </c>
    </row>
    <row r="128" spans="18:23" x14ac:dyDescent="0.3">
      <c r="T128" s="129">
        <v>45938.625</v>
      </c>
      <c r="U128" s="54">
        <v>94.516999999999996</v>
      </c>
    </row>
    <row r="129" spans="20:21" x14ac:dyDescent="0.3">
      <c r="T129" s="129">
        <v>45939.625</v>
      </c>
      <c r="U129" s="54">
        <v>94.284000000000006</v>
      </c>
    </row>
    <row r="130" spans="20:21" x14ac:dyDescent="0.3">
      <c r="T130" s="129">
        <v>45940.625</v>
      </c>
      <c r="U130" s="54">
        <v>94.251000000000005</v>
      </c>
    </row>
    <row r="131" spans="20:21" x14ac:dyDescent="0.3">
      <c r="T131" s="129">
        <v>45944.625</v>
      </c>
      <c r="U131" s="54">
        <v>94.539000000000001</v>
      </c>
    </row>
    <row r="132" spans="20:21" x14ac:dyDescent="0.3">
      <c r="T132" s="129">
        <v>45945.625</v>
      </c>
      <c r="U132" s="54">
        <v>94.89</v>
      </c>
    </row>
    <row r="133" spans="20:21" x14ac:dyDescent="0.3">
      <c r="T133" s="129">
        <v>45946.625</v>
      </c>
      <c r="U133" s="54">
        <v>94.99</v>
      </c>
    </row>
  </sheetData>
  <mergeCells count="4">
    <mergeCell ref="E12:G12"/>
    <mergeCell ref="H12:J12"/>
    <mergeCell ref="B12:D12"/>
    <mergeCell ref="K12:M12"/>
  </mergeCells>
  <conditionalFormatting sqref="W1:W7 N8:N1048576">
    <cfRule type="cellIs" dxfId="9" priority="1" operator="lessThan">
      <formula>0</formula>
    </cfRule>
  </conditionalFormatting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40D6ED-CFA7-40D0-BD54-12C39214CD86}">
  <dimension ref="A1:M142"/>
  <sheetViews>
    <sheetView zoomScale="80" zoomScaleNormal="80" workbookViewId="0">
      <selection activeCell="A24" sqref="A24:A31"/>
    </sheetView>
  </sheetViews>
  <sheetFormatPr defaultColWidth="8.88671875" defaultRowHeight="14.4" x14ac:dyDescent="0.3"/>
  <cols>
    <col min="1" max="1" width="15.44140625" style="3" bestFit="1" customWidth="1"/>
    <col min="2" max="4" width="16.88671875" style="3" customWidth="1"/>
    <col min="5" max="5" width="24.6640625" style="3" bestFit="1" customWidth="1"/>
    <col min="6" max="6" width="10.44140625" style="3" bestFit="1" customWidth="1"/>
    <col min="7" max="7" width="10.5546875" style="3" bestFit="1" customWidth="1"/>
    <col min="8" max="8" width="11" style="3" bestFit="1" customWidth="1"/>
    <col min="9" max="9" width="10.6640625" style="3" bestFit="1" customWidth="1"/>
    <col min="10" max="10" width="15.6640625" style="3" hidden="1" customWidth="1"/>
    <col min="11" max="11" width="8.88671875" style="3" hidden="1" customWidth="1"/>
    <col min="12" max="12" width="15.6640625" style="3" hidden="1" customWidth="1"/>
    <col min="13" max="13" width="8.88671875" style="3" hidden="1" customWidth="1"/>
    <col min="14" max="16384" width="8.88671875" style="3"/>
  </cols>
  <sheetData>
    <row r="1" spans="1:13" ht="15" thickBot="1" x14ac:dyDescent="0.35">
      <c r="A1" s="1"/>
      <c r="B1" s="1"/>
      <c r="C1" s="1"/>
      <c r="D1" s="1"/>
      <c r="I1" s="1"/>
      <c r="J1" s="53"/>
      <c r="L1" s="1"/>
      <c r="M1" s="1"/>
    </row>
    <row r="2" spans="1:13" ht="15" thickBot="1" x14ac:dyDescent="0.35">
      <c r="A2" s="30"/>
      <c r="B2" s="40" t="s">
        <v>0</v>
      </c>
      <c r="C2" s="28" t="s">
        <v>1</v>
      </c>
      <c r="E2" s="127" t="s">
        <v>101</v>
      </c>
      <c r="F2" s="128">
        <v>0.625</v>
      </c>
      <c r="J2" s="27" t="s">
        <v>0</v>
      </c>
      <c r="K2" s="1"/>
      <c r="L2" s="28" t="s">
        <v>1</v>
      </c>
      <c r="M2" s="2"/>
    </row>
    <row r="3" spans="1:13" x14ac:dyDescent="0.3">
      <c r="A3" s="15" t="s">
        <v>32</v>
      </c>
      <c r="B3" s="1" t="s">
        <v>52</v>
      </c>
      <c r="C3" s="5" t="s">
        <v>53</v>
      </c>
      <c r="J3" s="126" cm="1">
        <f t="array" ref="J3:K20">_xll.BDH(B4, "LAST_PRICE", "01/01/2025 15:00:00", "01/01/2035 16:00:00", "BarSize=60", "BarType=T", "RecurDaily=True", "TZ=London")</f>
        <v>45775.625</v>
      </c>
      <c r="K3" s="1">
        <v>108.07</v>
      </c>
      <c r="L3" s="126" cm="1">
        <f t="array" ref="L3:M142">_xll.BDH(C4, "LAST_PRICE", "01/01/2025 15:00:00", "01/01/2035 16:00:00", "BarSize=60", "BarType=T", "RecurDaily=True", "TZ=London")</f>
        <v>45751.625</v>
      </c>
      <c r="M3" s="46">
        <v>65.454999999999998</v>
      </c>
    </row>
    <row r="4" spans="1:13" ht="32.25" customHeight="1" x14ac:dyDescent="0.3">
      <c r="A4" s="15" t="s">
        <v>33</v>
      </c>
      <c r="B4" s="41" t="s">
        <v>54</v>
      </c>
      <c r="C4" s="42" t="s">
        <v>55</v>
      </c>
      <c r="I4" s="1"/>
      <c r="J4" s="130">
        <v>45783.625</v>
      </c>
      <c r="K4" s="1">
        <v>108.39</v>
      </c>
      <c r="L4" s="130">
        <v>45754.625</v>
      </c>
      <c r="M4" s="1">
        <v>67.227000000000004</v>
      </c>
    </row>
    <row r="5" spans="1:13" x14ac:dyDescent="0.3">
      <c r="A5" s="15" t="s">
        <v>8</v>
      </c>
      <c r="B5" s="7">
        <f>20*10^6</f>
        <v>20000000</v>
      </c>
      <c r="C5" s="8">
        <f>39*10^6</f>
        <v>39000000</v>
      </c>
      <c r="I5" s="1"/>
      <c r="J5" s="130">
        <v>45784.625</v>
      </c>
      <c r="K5" s="1">
        <v>108.005</v>
      </c>
      <c r="L5" s="130">
        <v>45755.625</v>
      </c>
      <c r="M5" s="1">
        <v>64.382000000000005</v>
      </c>
    </row>
    <row r="6" spans="1:13" x14ac:dyDescent="0.3">
      <c r="A6" s="15" t="s">
        <v>10</v>
      </c>
      <c r="B6" s="9">
        <v>0.01</v>
      </c>
      <c r="C6" s="43">
        <v>0.01</v>
      </c>
      <c r="I6" s="1"/>
      <c r="J6" s="130">
        <v>45785.625</v>
      </c>
      <c r="K6" s="1">
        <v>105.084</v>
      </c>
      <c r="L6" s="130">
        <v>45756.625</v>
      </c>
      <c r="M6" s="1">
        <v>69.218999999999994</v>
      </c>
    </row>
    <row r="7" spans="1:13" x14ac:dyDescent="0.3">
      <c r="A7" s="15" t="s">
        <v>12</v>
      </c>
      <c r="B7" s="9">
        <v>0</v>
      </c>
      <c r="C7" s="43">
        <v>0</v>
      </c>
      <c r="I7" s="1"/>
      <c r="J7" s="130">
        <v>45793.625</v>
      </c>
      <c r="K7" s="1">
        <v>93.7</v>
      </c>
      <c r="L7" s="130">
        <v>45757.625</v>
      </c>
      <c r="M7" s="1">
        <v>62.83</v>
      </c>
    </row>
    <row r="8" spans="1:13" x14ac:dyDescent="0.3">
      <c r="A8" s="15" t="s">
        <v>14</v>
      </c>
      <c r="B8" s="1">
        <v>4.8499999999999996</v>
      </c>
      <c r="C8" s="5">
        <v>5.01</v>
      </c>
      <c r="I8" s="1"/>
      <c r="J8" s="130">
        <v>45796.625</v>
      </c>
      <c r="K8" s="1">
        <v>95.147000000000006</v>
      </c>
      <c r="L8" s="130">
        <v>45758.625</v>
      </c>
      <c r="M8" s="1">
        <v>67.215000000000003</v>
      </c>
    </row>
    <row r="9" spans="1:13" x14ac:dyDescent="0.3">
      <c r="A9" s="15" t="s">
        <v>15</v>
      </c>
      <c r="B9" s="1" t="s">
        <v>23</v>
      </c>
      <c r="C9" s="5" t="s">
        <v>23</v>
      </c>
      <c r="E9" s="1"/>
      <c r="F9" s="1"/>
      <c r="G9" s="1"/>
      <c r="H9" s="1"/>
      <c r="I9" s="1"/>
      <c r="J9" s="126">
        <v>45798.625</v>
      </c>
      <c r="K9" s="3">
        <v>93.870999999999995</v>
      </c>
      <c r="L9" s="126">
        <v>45761.625</v>
      </c>
      <c r="M9" s="3">
        <v>65.281000000000006</v>
      </c>
    </row>
    <row r="10" spans="1:13" ht="15" thickBot="1" x14ac:dyDescent="0.35">
      <c r="A10" s="16" t="s">
        <v>28</v>
      </c>
      <c r="B10" s="21" cm="1">
        <f t="array" ref="B10">_xll.BDP(B4,"px_last")</f>
        <v>92.660420000000002</v>
      </c>
      <c r="C10" s="22" cm="1">
        <f t="array" ref="C10">_xll.BDP(C4,"px_last")</f>
        <v>46.934429999999999</v>
      </c>
      <c r="E10" s="1"/>
      <c r="F10" s="1"/>
      <c r="G10" s="1"/>
      <c r="H10" s="1"/>
      <c r="I10" s="1"/>
      <c r="J10" s="126">
        <v>45799.625</v>
      </c>
      <c r="K10" s="3">
        <v>96.894999999999996</v>
      </c>
      <c r="L10" s="126">
        <v>45762.625</v>
      </c>
      <c r="M10" s="3">
        <v>63.697000000000003</v>
      </c>
    </row>
    <row r="11" spans="1:13" ht="15" thickBot="1" x14ac:dyDescent="0.35">
      <c r="C11" s="1"/>
      <c r="D11" s="1"/>
      <c r="E11" s="1"/>
      <c r="F11" s="1"/>
      <c r="G11" s="1"/>
      <c r="H11" s="1"/>
      <c r="I11" s="1"/>
      <c r="J11" s="126">
        <v>45807.625</v>
      </c>
      <c r="K11" s="3">
        <v>92.738</v>
      </c>
      <c r="L11" s="126">
        <v>45763.625</v>
      </c>
      <c r="M11" s="3">
        <v>63.674999999999997</v>
      </c>
    </row>
    <row r="12" spans="1:13" ht="15" thickBot="1" x14ac:dyDescent="0.35">
      <c r="A12" s="39" t="s">
        <v>22</v>
      </c>
      <c r="B12" s="135" t="s">
        <v>0</v>
      </c>
      <c r="C12" s="136"/>
      <c r="D12" s="137"/>
      <c r="E12" s="138" t="s">
        <v>1</v>
      </c>
      <c r="F12" s="139"/>
      <c r="G12" s="140"/>
      <c r="H12" s="100" t="s">
        <v>16</v>
      </c>
      <c r="I12" s="1"/>
      <c r="J12" s="126">
        <v>45810.625</v>
      </c>
      <c r="K12" s="3">
        <v>93.031999999999996</v>
      </c>
      <c r="L12" s="126">
        <v>45764.625</v>
      </c>
      <c r="M12" s="3">
        <v>62.619</v>
      </c>
    </row>
    <row r="13" spans="1:13" ht="15" thickBot="1" x14ac:dyDescent="0.35">
      <c r="A13" s="16"/>
      <c r="B13" s="11" t="s">
        <v>24</v>
      </c>
      <c r="C13" s="21" t="s">
        <v>19</v>
      </c>
      <c r="D13" s="22" t="s">
        <v>20</v>
      </c>
      <c r="E13" s="11" t="s">
        <v>24</v>
      </c>
      <c r="F13" s="21" t="s">
        <v>19</v>
      </c>
      <c r="G13" s="22" t="s">
        <v>20</v>
      </c>
      <c r="H13" s="99"/>
      <c r="I13" s="1"/>
      <c r="J13" s="126">
        <v>45812.625</v>
      </c>
      <c r="K13" s="3">
        <v>93.441000000000003</v>
      </c>
      <c r="L13" s="126">
        <v>45765.625</v>
      </c>
      <c r="M13" s="3">
        <v>63.17</v>
      </c>
    </row>
    <row r="14" spans="1:13" x14ac:dyDescent="0.3">
      <c r="A14" s="36">
        <v>45933</v>
      </c>
      <c r="B14" s="45">
        <v>90</v>
      </c>
      <c r="C14" s="46"/>
      <c r="D14" s="47"/>
      <c r="E14" s="45">
        <v>45</v>
      </c>
      <c r="F14" s="1"/>
      <c r="G14" s="5"/>
      <c r="H14" s="82">
        <v>0</v>
      </c>
      <c r="I14" s="1"/>
      <c r="J14" s="126">
        <v>45814.625</v>
      </c>
      <c r="K14" s="3">
        <v>93.037000000000006</v>
      </c>
      <c r="L14" s="126">
        <v>45768.625</v>
      </c>
      <c r="M14" s="3">
        <v>63.274999999999999</v>
      </c>
    </row>
    <row r="15" spans="1:13" x14ac:dyDescent="0.3">
      <c r="A15" s="36">
        <v>45936</v>
      </c>
      <c r="B15" s="45">
        <f t="shared" ref="B15:B22" si="0">VLOOKUP(A15+$F$2,J:K,2)</f>
        <v>92.26</v>
      </c>
      <c r="C15" s="31">
        <f t="shared" ref="C15" si="1">-1*(B15-$B$14)*10^-4*$B$8*$B$5</f>
        <v>-21922.000000000047</v>
      </c>
      <c r="D15" s="32">
        <f t="shared" ref="D15" si="2">$B$6*(A15-$A$14)/360*$B$5</f>
        <v>1666.6666666666665</v>
      </c>
      <c r="E15" s="46">
        <f t="shared" ref="E15:E22" si="3">VLOOKUP(A15+$F$2,L:M,2)</f>
        <v>46.19</v>
      </c>
      <c r="F15" s="31">
        <f t="shared" ref="F15" si="4">-1*(E15-$E$14)*10^-4*$C$8*$C$5</f>
        <v>-23251.409999999953</v>
      </c>
      <c r="G15" s="32">
        <f t="shared" ref="G15" si="5">$C$6*(A15-$A$14)/360*$C$5</f>
        <v>3250</v>
      </c>
      <c r="H15" s="82">
        <f t="shared" ref="H15:H20" si="6">C15+D15-F15-G15</f>
        <v>-253.92333333342685</v>
      </c>
      <c r="I15" s="1"/>
      <c r="J15" s="126">
        <v>45838.625</v>
      </c>
      <c r="K15" s="3">
        <v>90.674000000000007</v>
      </c>
      <c r="L15" s="126">
        <v>45769.625</v>
      </c>
      <c r="M15" s="3">
        <v>64.602000000000004</v>
      </c>
    </row>
    <row r="16" spans="1:13" x14ac:dyDescent="0.3">
      <c r="A16" s="36">
        <v>45937</v>
      </c>
      <c r="B16" s="45">
        <f t="shared" si="0"/>
        <v>92.26</v>
      </c>
      <c r="C16" s="31">
        <f t="shared" ref="C16" si="7">-1*(B16-$B$14)*10^-4*$B$8*$B$5</f>
        <v>-21922.000000000047</v>
      </c>
      <c r="D16" s="32">
        <f t="shared" ref="D16" si="8">$B$6*(A16-$A$14)/360*$B$5</f>
        <v>2222.2222222222222</v>
      </c>
      <c r="E16" s="46">
        <f t="shared" si="3"/>
        <v>46.366</v>
      </c>
      <c r="F16" s="31">
        <f t="shared" ref="F16" si="9">-1*(E16-$E$14)*10^-4*$C$8*$C$5</f>
        <v>-26690.27399999999</v>
      </c>
      <c r="G16" s="32">
        <f t="shared" ref="G16:G21" si="10">$C$6*(A16-$A$14)/360*$C$5</f>
        <v>4333.3333333333339</v>
      </c>
      <c r="H16" s="82">
        <f t="shared" si="6"/>
        <v>2657.1628888888317</v>
      </c>
      <c r="I16" s="1"/>
      <c r="J16" s="126">
        <v>45839.625</v>
      </c>
      <c r="K16" s="3">
        <v>90.614999999999995</v>
      </c>
      <c r="L16" s="126">
        <v>45770.625</v>
      </c>
      <c r="M16" s="3">
        <v>60.945</v>
      </c>
    </row>
    <row r="17" spans="1:13" x14ac:dyDescent="0.3">
      <c r="A17" s="36">
        <v>45938</v>
      </c>
      <c r="B17" s="45">
        <f t="shared" si="0"/>
        <v>92.656000000000006</v>
      </c>
      <c r="C17" s="31">
        <f t="shared" ref="C17" si="11">-1*(B17-$B$14)*10^-4*$B$8*$B$5</f>
        <v>-25763.200000000055</v>
      </c>
      <c r="D17" s="32">
        <f t="shared" ref="D17" si="12">$B$6*(A17-$A$14)/360*$B$5</f>
        <v>2777.7777777777778</v>
      </c>
      <c r="E17" s="46">
        <f t="shared" si="3"/>
        <v>46.357999999999997</v>
      </c>
      <c r="F17" s="31">
        <f t="shared" ref="F17" si="13">-1*(E17-$E$14)*10^-4*$C$8*$C$5</f>
        <v>-26533.961999999938</v>
      </c>
      <c r="G17" s="32">
        <f t="shared" si="10"/>
        <v>5416.666666666667</v>
      </c>
      <c r="H17" s="82">
        <f t="shared" si="6"/>
        <v>-1868.1268888890072</v>
      </c>
      <c r="I17" s="1"/>
      <c r="J17" s="126">
        <v>45917.625</v>
      </c>
      <c r="K17" s="3">
        <v>83.296999999999997</v>
      </c>
      <c r="L17" s="126">
        <v>45771.625</v>
      </c>
      <c r="M17" s="3">
        <v>60.899000000000001</v>
      </c>
    </row>
    <row r="18" spans="1:13" x14ac:dyDescent="0.3">
      <c r="A18" s="36">
        <v>45939</v>
      </c>
      <c r="B18" s="45">
        <f t="shared" si="0"/>
        <v>92.656000000000006</v>
      </c>
      <c r="C18" s="31">
        <f t="shared" ref="C18" si="14">-1*(B18-$B$14)*10^-4*$B$8*$B$5</f>
        <v>-25763.200000000055</v>
      </c>
      <c r="D18" s="32">
        <f t="shared" ref="D18" si="15">$B$6*(A18-$A$14)/360*$B$5</f>
        <v>3333.333333333333</v>
      </c>
      <c r="E18" s="46">
        <f t="shared" si="3"/>
        <v>46.667999999999999</v>
      </c>
      <c r="F18" s="31">
        <f t="shared" ref="F18" si="16">-1*(E18-$E$14)*10^-4*$C$8*$C$5</f>
        <v>-32591.051999999985</v>
      </c>
      <c r="G18" s="32">
        <f t="shared" si="10"/>
        <v>6500</v>
      </c>
      <c r="H18" s="82">
        <f t="shared" si="6"/>
        <v>3661.185333333262</v>
      </c>
      <c r="I18" s="1"/>
      <c r="J18" s="126">
        <v>45931.625</v>
      </c>
      <c r="K18" s="3">
        <v>93.594999999999999</v>
      </c>
      <c r="L18" s="126">
        <v>45772.625</v>
      </c>
      <c r="M18" s="3">
        <v>59.497</v>
      </c>
    </row>
    <row r="19" spans="1:13" x14ac:dyDescent="0.3">
      <c r="A19" s="36">
        <v>45940</v>
      </c>
      <c r="B19" s="45">
        <f t="shared" si="0"/>
        <v>92.656000000000006</v>
      </c>
      <c r="C19" s="31">
        <f t="shared" ref="C19" si="17">-1*(B19-$B$14)*10^-4*$B$8*$B$5</f>
        <v>-25763.200000000055</v>
      </c>
      <c r="D19" s="32">
        <f t="shared" ref="D19" si="18">$B$6*(A19-$A$14)/360*$B$5</f>
        <v>3888.8888888888891</v>
      </c>
      <c r="E19" s="46">
        <f t="shared" si="3"/>
        <v>46.917000000000002</v>
      </c>
      <c r="F19" s="31">
        <f t="shared" ref="F19" si="19">-1*(E19-$E$14)*10^-4*$C$8*$C$5</f>
        <v>-37456.263000000028</v>
      </c>
      <c r="G19" s="32">
        <f t="shared" si="10"/>
        <v>7583.3333333333339</v>
      </c>
      <c r="H19" s="82">
        <f t="shared" si="6"/>
        <v>7998.6185555555294</v>
      </c>
      <c r="I19" s="1"/>
      <c r="J19" s="126">
        <v>45932.625</v>
      </c>
      <c r="K19" s="3">
        <v>92.26</v>
      </c>
      <c r="L19" s="126">
        <v>45775.625</v>
      </c>
      <c r="M19" s="3">
        <v>59.72</v>
      </c>
    </row>
    <row r="20" spans="1:13" x14ac:dyDescent="0.3">
      <c r="A20" s="36">
        <v>45943</v>
      </c>
      <c r="B20" s="45">
        <f t="shared" si="0"/>
        <v>92.656000000000006</v>
      </c>
      <c r="C20" s="31">
        <f t="shared" ref="C20" si="20">-1*(B20-$B$14)*10^-4*$B$8*$B$5</f>
        <v>-25763.200000000055</v>
      </c>
      <c r="D20" s="32">
        <f t="shared" ref="D20" si="21">$B$6*(A20-$A$14)/360*$B$5</f>
        <v>5555.5555555555557</v>
      </c>
      <c r="E20" s="46">
        <f t="shared" si="3"/>
        <v>47.828000000000003</v>
      </c>
      <c r="F20" s="31">
        <f t="shared" ref="F20" si="22">-1*(E20-$E$14)*10^-4*$C$8*$C$5</f>
        <v>-55256.292000000059</v>
      </c>
      <c r="G20" s="32">
        <f t="shared" si="10"/>
        <v>10833.333333333334</v>
      </c>
      <c r="H20" s="82">
        <f t="shared" si="6"/>
        <v>24215.314222222223</v>
      </c>
      <c r="I20" s="1"/>
      <c r="J20" s="126">
        <v>45938.625</v>
      </c>
      <c r="K20" s="3">
        <v>92.656000000000006</v>
      </c>
      <c r="L20" s="126">
        <v>45776.625</v>
      </c>
      <c r="M20" s="3">
        <v>60.067999999999998</v>
      </c>
    </row>
    <row r="21" spans="1:13" x14ac:dyDescent="0.3">
      <c r="A21" s="36">
        <v>45944</v>
      </c>
      <c r="B21" s="45">
        <f t="shared" si="0"/>
        <v>92.656000000000006</v>
      </c>
      <c r="C21" s="31">
        <f t="shared" ref="C21" si="23">-1*(B21-$B$14)*10^-4*$B$8*$B$5</f>
        <v>-25763.200000000055</v>
      </c>
      <c r="D21" s="32">
        <f t="shared" ref="D21" si="24">$B$6*(A21-$A$14)/360*$B$5</f>
        <v>6111.1111111111113</v>
      </c>
      <c r="E21" s="46">
        <f t="shared" si="3"/>
        <v>47.908000000000001</v>
      </c>
      <c r="F21" s="31">
        <f t="shared" ref="F21" si="25">-1*(E21-$E$14)*10^-4*$C$8*$C$5</f>
        <v>-56819.412000000026</v>
      </c>
      <c r="G21" s="32">
        <f t="shared" si="10"/>
        <v>11916.666666666666</v>
      </c>
      <c r="H21" s="82">
        <f t="shared" ref="H21" si="26">C21+D21-F21-G21</f>
        <v>25250.656444444416</v>
      </c>
      <c r="I21" s="1"/>
      <c r="L21" s="126">
        <v>45777.625</v>
      </c>
      <c r="M21" s="3">
        <v>61.241</v>
      </c>
    </row>
    <row r="22" spans="1:13" x14ac:dyDescent="0.3">
      <c r="A22" s="36">
        <v>45945</v>
      </c>
      <c r="B22" s="45">
        <f t="shared" si="0"/>
        <v>92.656000000000006</v>
      </c>
      <c r="C22" s="31">
        <f t="shared" ref="C22" si="27">-1*(B22-$B$14)*10^-4*$B$8*$B$5</f>
        <v>-25763.200000000055</v>
      </c>
      <c r="D22" s="32">
        <f t="shared" ref="D22" si="28">$B$6*(A22-$A$14)/360*$B$5</f>
        <v>6666.6666666666661</v>
      </c>
      <c r="E22" s="46">
        <f t="shared" si="3"/>
        <v>45.886000000000003</v>
      </c>
      <c r="F22" s="31">
        <f t="shared" ref="F22" si="29">-1*(E22-$E$14)*10^-4*$C$8*$C$5</f>
        <v>-17311.554000000055</v>
      </c>
      <c r="G22" s="32">
        <f t="shared" ref="G22" si="30">$C$6*(A22-$A$14)/360*$C$5</f>
        <v>13000</v>
      </c>
      <c r="H22" s="82">
        <f t="shared" ref="H22" si="31">C22+D22-F22-G22</f>
        <v>-14784.979333333336</v>
      </c>
      <c r="I22" s="1"/>
      <c r="L22" s="126">
        <v>45778.625</v>
      </c>
      <c r="M22" s="3">
        <v>60.576000000000001</v>
      </c>
    </row>
    <row r="23" spans="1:13" x14ac:dyDescent="0.3">
      <c r="A23" s="36">
        <v>45946</v>
      </c>
      <c r="B23" s="45">
        <f t="shared" ref="B23" si="32">VLOOKUP(A23+$F$2,J:K,2)</f>
        <v>92.656000000000006</v>
      </c>
      <c r="C23" s="31">
        <f t="shared" ref="C23:C24" si="33">-1*(B23-$B$14)*10^-4*$B$8*$B$5</f>
        <v>-25763.200000000055</v>
      </c>
      <c r="D23" s="32">
        <f t="shared" ref="D23:D24" si="34">$B$6*(A23-$A$14)/360*$B$5</f>
        <v>7222.2222222222226</v>
      </c>
      <c r="E23" s="46">
        <f t="shared" ref="E23" si="35">VLOOKUP(A23+$F$2,L:M,2)</f>
        <v>45.503</v>
      </c>
      <c r="F23" s="31">
        <f t="shared" ref="F23:F24" si="36">-1*(E23-$E$14)*10^-4*$C$8*$C$5</f>
        <v>-9828.117000000002</v>
      </c>
      <c r="G23" s="32">
        <f t="shared" ref="G23:G24" si="37">$C$6*(A23-$A$14)/360*$C$5</f>
        <v>14083.333333333334</v>
      </c>
      <c r="H23" s="82">
        <f t="shared" ref="H23:H24" si="38">C23+D23-F23-G23</f>
        <v>-22796.194111111166</v>
      </c>
      <c r="I23" s="1"/>
      <c r="L23" s="126">
        <v>45779.625</v>
      </c>
      <c r="M23" s="3">
        <v>59.521999999999998</v>
      </c>
    </row>
    <row r="24" spans="1:13" x14ac:dyDescent="0.3">
      <c r="A24" s="131">
        <v>45947</v>
      </c>
      <c r="B24" s="45">
        <f>B10</f>
        <v>92.660420000000002</v>
      </c>
      <c r="C24" s="31">
        <f t="shared" si="33"/>
        <v>-25806.074000000019</v>
      </c>
      <c r="D24" s="32">
        <f t="shared" si="34"/>
        <v>7777.7777777777783</v>
      </c>
      <c r="E24" s="46">
        <f>C10</f>
        <v>46.934429999999999</v>
      </c>
      <c r="F24" s="31">
        <f t="shared" si="36"/>
        <v>-37796.827769999982</v>
      </c>
      <c r="G24" s="32">
        <f t="shared" si="37"/>
        <v>15166.666666666668</v>
      </c>
      <c r="H24" s="82">
        <f t="shared" si="38"/>
        <v>4601.8648811110725</v>
      </c>
      <c r="I24" s="1"/>
      <c r="L24" s="126">
        <v>45782.625</v>
      </c>
      <c r="M24" s="3">
        <v>59.442999999999998</v>
      </c>
    </row>
    <row r="25" spans="1:13" x14ac:dyDescent="0.3">
      <c r="A25" s="131">
        <v>45950</v>
      </c>
      <c r="B25" s="45"/>
      <c r="C25" s="31"/>
      <c r="D25" s="32"/>
      <c r="E25" s="45"/>
      <c r="F25" s="31"/>
      <c r="G25" s="32"/>
      <c r="H25" s="82"/>
      <c r="I25" s="1"/>
      <c r="L25" s="126">
        <v>45783.625</v>
      </c>
      <c r="M25" s="3">
        <v>59.381999999999998</v>
      </c>
    </row>
    <row r="26" spans="1:13" x14ac:dyDescent="0.3">
      <c r="A26" s="131">
        <v>45951</v>
      </c>
      <c r="B26" s="45"/>
      <c r="C26" s="31"/>
      <c r="D26" s="32"/>
      <c r="E26" s="45"/>
      <c r="F26" s="31"/>
      <c r="G26" s="32"/>
      <c r="H26" s="82"/>
      <c r="I26" s="1"/>
      <c r="L26" s="126">
        <v>45784.625</v>
      </c>
      <c r="M26" s="3">
        <v>58.87</v>
      </c>
    </row>
    <row r="27" spans="1:13" x14ac:dyDescent="0.3">
      <c r="A27" s="131">
        <v>45952</v>
      </c>
      <c r="B27" s="59"/>
      <c r="C27" s="60"/>
      <c r="D27" s="61"/>
      <c r="E27" s="4"/>
      <c r="F27" s="31"/>
      <c r="G27" s="32"/>
      <c r="H27" s="82"/>
      <c r="I27" s="1"/>
      <c r="L27" s="126">
        <v>45785.625</v>
      </c>
      <c r="M27" s="3">
        <v>58.057000000000002</v>
      </c>
    </row>
    <row r="28" spans="1:13" x14ac:dyDescent="0.3">
      <c r="A28" s="131">
        <v>45953</v>
      </c>
      <c r="B28" s="45"/>
      <c r="C28" s="31"/>
      <c r="D28" s="32"/>
      <c r="E28" s="4"/>
      <c r="F28" s="31"/>
      <c r="G28" s="32"/>
      <c r="H28" s="82"/>
      <c r="I28" s="1"/>
      <c r="L28" s="126">
        <v>45786.625</v>
      </c>
      <c r="M28" s="3">
        <v>57.448</v>
      </c>
    </row>
    <row r="29" spans="1:13" x14ac:dyDescent="0.3">
      <c r="A29" s="131">
        <v>45954</v>
      </c>
      <c r="B29" s="45"/>
      <c r="C29" s="31"/>
      <c r="D29" s="32"/>
      <c r="E29" s="4"/>
      <c r="F29" s="31"/>
      <c r="G29" s="32"/>
      <c r="H29" s="82"/>
      <c r="I29" s="1"/>
      <c r="L29" s="126">
        <v>45789.625</v>
      </c>
      <c r="M29" s="3">
        <v>56.378</v>
      </c>
    </row>
    <row r="30" spans="1:13" x14ac:dyDescent="0.3">
      <c r="A30" s="131">
        <v>45955</v>
      </c>
      <c r="B30" s="45"/>
      <c r="C30" s="31"/>
      <c r="D30" s="32"/>
      <c r="E30" s="4"/>
      <c r="F30" s="31"/>
      <c r="G30" s="32"/>
      <c r="H30" s="82"/>
      <c r="I30" s="1"/>
      <c r="L30" s="126">
        <v>45790.625</v>
      </c>
      <c r="M30" s="3">
        <v>53.453000000000003</v>
      </c>
    </row>
    <row r="31" spans="1:13" x14ac:dyDescent="0.3">
      <c r="A31" s="131">
        <v>45956</v>
      </c>
      <c r="B31" s="45"/>
      <c r="C31" s="31"/>
      <c r="D31" s="32"/>
      <c r="E31" s="4"/>
      <c r="F31" s="31"/>
      <c r="G31" s="32"/>
      <c r="H31" s="82"/>
      <c r="I31" s="1"/>
      <c r="L31" s="126">
        <v>45791.625</v>
      </c>
      <c r="M31" s="3">
        <v>53.988</v>
      </c>
    </row>
    <row r="32" spans="1:13" x14ac:dyDescent="0.3">
      <c r="A32" s="15"/>
      <c r="B32" s="45"/>
      <c r="C32" s="31"/>
      <c r="D32" s="32"/>
      <c r="E32" s="4"/>
      <c r="F32" s="31"/>
      <c r="G32" s="32"/>
      <c r="H32" s="82"/>
      <c r="I32" s="1"/>
      <c r="L32" s="126">
        <v>45792.625</v>
      </c>
      <c r="M32" s="3">
        <v>54.762</v>
      </c>
    </row>
    <row r="33" spans="1:13" x14ac:dyDescent="0.3">
      <c r="A33" s="15"/>
      <c r="B33" s="45"/>
      <c r="C33" s="31"/>
      <c r="D33" s="32"/>
      <c r="E33" s="4"/>
      <c r="F33" s="31"/>
      <c r="G33" s="32"/>
      <c r="H33" s="82"/>
      <c r="I33" s="1"/>
      <c r="L33" s="126">
        <v>45793.625</v>
      </c>
      <c r="M33" s="3">
        <v>54.014000000000003</v>
      </c>
    </row>
    <row r="34" spans="1:13" x14ac:dyDescent="0.3">
      <c r="A34" s="15"/>
      <c r="B34" s="45"/>
      <c r="C34" s="31"/>
      <c r="D34" s="32"/>
      <c r="E34" s="4"/>
      <c r="F34" s="31"/>
      <c r="G34" s="32"/>
      <c r="H34" s="82"/>
      <c r="I34" s="1"/>
      <c r="L34" s="126">
        <v>45796.625</v>
      </c>
      <c r="M34" s="3">
        <v>54.042000000000002</v>
      </c>
    </row>
    <row r="35" spans="1:13" x14ac:dyDescent="0.3">
      <c r="A35" s="15"/>
      <c r="B35" s="45"/>
      <c r="C35" s="31"/>
      <c r="D35" s="32"/>
      <c r="E35" s="4"/>
      <c r="F35" s="31"/>
      <c r="G35" s="32"/>
      <c r="H35" s="38"/>
      <c r="I35" s="1"/>
      <c r="L35" s="126">
        <v>45797.625</v>
      </c>
      <c r="M35" s="3">
        <v>53.8</v>
      </c>
    </row>
    <row r="36" spans="1:13" x14ac:dyDescent="0.3">
      <c r="A36" s="15"/>
      <c r="B36" s="45"/>
      <c r="C36" s="31"/>
      <c r="D36" s="32"/>
      <c r="E36" s="4"/>
      <c r="F36" s="31"/>
      <c r="G36" s="32"/>
      <c r="H36" s="38"/>
      <c r="I36" s="1"/>
      <c r="L36" s="126">
        <v>45798.625</v>
      </c>
      <c r="M36" s="3">
        <v>53.773000000000003</v>
      </c>
    </row>
    <row r="37" spans="1:13" x14ac:dyDescent="0.3">
      <c r="A37" s="15"/>
      <c r="B37" s="45"/>
      <c r="C37" s="31"/>
      <c r="D37" s="32"/>
      <c r="E37" s="4"/>
      <c r="F37" s="31"/>
      <c r="G37" s="32"/>
      <c r="H37" s="38"/>
      <c r="I37" s="1"/>
      <c r="L37" s="126">
        <v>45799.625</v>
      </c>
      <c r="M37" s="3">
        <v>54.58</v>
      </c>
    </row>
    <row r="38" spans="1:13" x14ac:dyDescent="0.3">
      <c r="A38" s="15"/>
      <c r="B38" s="45"/>
      <c r="C38" s="31"/>
      <c r="D38" s="32"/>
      <c r="E38" s="4"/>
      <c r="F38" s="31"/>
      <c r="G38" s="32"/>
      <c r="H38" s="38"/>
      <c r="I38" s="1"/>
      <c r="L38" s="126">
        <v>45800.625</v>
      </c>
      <c r="M38" s="3">
        <v>55.301000000000002</v>
      </c>
    </row>
    <row r="39" spans="1:13" x14ac:dyDescent="0.3">
      <c r="A39" s="15"/>
      <c r="B39" s="45"/>
      <c r="C39" s="31"/>
      <c r="D39" s="32"/>
      <c r="E39" s="4"/>
      <c r="F39" s="31"/>
      <c r="G39" s="32"/>
      <c r="H39" s="38"/>
      <c r="I39" s="1"/>
      <c r="L39" s="126">
        <v>45803.625</v>
      </c>
      <c r="M39" s="3">
        <v>55.465000000000003</v>
      </c>
    </row>
    <row r="40" spans="1:13" x14ac:dyDescent="0.3">
      <c r="A40" s="15"/>
      <c r="B40" s="45"/>
      <c r="C40" s="31"/>
      <c r="D40" s="32"/>
      <c r="E40" s="4"/>
      <c r="F40" s="31"/>
      <c r="G40" s="32"/>
      <c r="H40" s="38"/>
      <c r="I40" s="1"/>
      <c r="L40" s="126">
        <v>45804.625</v>
      </c>
      <c r="M40" s="3">
        <v>53.786999999999999</v>
      </c>
    </row>
    <row r="41" spans="1:13" ht="15" thickBot="1" x14ac:dyDescent="0.35">
      <c r="A41" s="16"/>
      <c r="B41" s="48"/>
      <c r="C41" s="49"/>
      <c r="D41" s="50"/>
      <c r="E41" s="11"/>
      <c r="F41" s="49"/>
      <c r="G41" s="50"/>
      <c r="H41" s="51"/>
      <c r="I41" s="1"/>
      <c r="L41" s="126">
        <v>45805.625</v>
      </c>
      <c r="M41" s="3">
        <v>52.703000000000003</v>
      </c>
    </row>
    <row r="42" spans="1:13" x14ac:dyDescent="0.3">
      <c r="B42" s="62"/>
      <c r="C42" s="62"/>
      <c r="D42" s="62"/>
      <c r="F42" s="60"/>
      <c r="G42" s="60"/>
      <c r="H42" s="60"/>
      <c r="L42" s="126">
        <v>45806.625</v>
      </c>
      <c r="M42" s="3">
        <v>51.826000000000001</v>
      </c>
    </row>
    <row r="43" spans="1:13" x14ac:dyDescent="0.3">
      <c r="B43" s="62"/>
      <c r="C43" s="62"/>
      <c r="D43" s="62"/>
      <c r="F43" s="60"/>
      <c r="G43" s="60"/>
      <c r="H43" s="60"/>
      <c r="L43" s="126">
        <v>45807.625</v>
      </c>
      <c r="M43" s="3">
        <v>52.076999999999998</v>
      </c>
    </row>
    <row r="44" spans="1:13" x14ac:dyDescent="0.3">
      <c r="B44" s="62"/>
      <c r="C44" s="62"/>
      <c r="D44" s="62"/>
      <c r="F44" s="60"/>
      <c r="G44" s="60"/>
      <c r="H44" s="60"/>
      <c r="L44" s="126">
        <v>45810.625</v>
      </c>
      <c r="M44" s="3">
        <v>51.999000000000002</v>
      </c>
    </row>
    <row r="45" spans="1:13" x14ac:dyDescent="0.3">
      <c r="B45" s="62"/>
      <c r="C45" s="62"/>
      <c r="D45" s="62"/>
      <c r="F45" s="60"/>
      <c r="G45" s="60"/>
      <c r="H45" s="60"/>
      <c r="L45" s="126">
        <v>45811.625</v>
      </c>
      <c r="M45" s="3">
        <v>51.923999999999999</v>
      </c>
    </row>
    <row r="46" spans="1:13" x14ac:dyDescent="0.3">
      <c r="B46" s="62"/>
      <c r="C46" s="62"/>
      <c r="D46" s="62"/>
      <c r="L46" s="126">
        <v>45812.625</v>
      </c>
      <c r="M46" s="3">
        <v>50.991</v>
      </c>
    </row>
    <row r="47" spans="1:13" x14ac:dyDescent="0.3">
      <c r="B47" s="62"/>
      <c r="C47" s="62"/>
      <c r="D47" s="62"/>
      <c r="L47" s="126">
        <v>45813.625</v>
      </c>
      <c r="M47" s="3">
        <v>51.46</v>
      </c>
    </row>
    <row r="48" spans="1:13" x14ac:dyDescent="0.3">
      <c r="B48" s="62"/>
      <c r="C48" s="62"/>
      <c r="D48" s="62"/>
      <c r="L48" s="126">
        <v>45814.625</v>
      </c>
      <c r="M48" s="3">
        <v>50.575000000000003</v>
      </c>
    </row>
    <row r="49" spans="2:13" x14ac:dyDescent="0.3">
      <c r="B49" s="62"/>
      <c r="C49" s="62"/>
      <c r="D49" s="62"/>
      <c r="L49" s="126">
        <v>45817.625</v>
      </c>
      <c r="M49" s="3">
        <v>50.07</v>
      </c>
    </row>
    <row r="50" spans="2:13" x14ac:dyDescent="0.3">
      <c r="B50" s="62"/>
      <c r="C50" s="62"/>
      <c r="D50" s="62"/>
      <c r="L50" s="126">
        <v>45818.625</v>
      </c>
      <c r="M50" s="3">
        <v>49.826999999999998</v>
      </c>
    </row>
    <row r="51" spans="2:13" x14ac:dyDescent="0.3">
      <c r="B51" s="62"/>
      <c r="C51" s="62"/>
      <c r="D51" s="62"/>
      <c r="L51" s="126">
        <v>45819.625</v>
      </c>
      <c r="M51" s="3">
        <v>49.567</v>
      </c>
    </row>
    <row r="52" spans="2:13" x14ac:dyDescent="0.3">
      <c r="B52" s="62"/>
      <c r="C52" s="62"/>
      <c r="D52" s="62"/>
      <c r="L52" s="126">
        <v>45820.625</v>
      </c>
      <c r="M52" s="3">
        <v>49.652999999999999</v>
      </c>
    </row>
    <row r="53" spans="2:13" x14ac:dyDescent="0.3">
      <c r="B53" s="62"/>
      <c r="C53" s="62"/>
      <c r="D53" s="62"/>
      <c r="L53" s="126">
        <v>45821.625</v>
      </c>
      <c r="M53" s="3">
        <v>51.447000000000003</v>
      </c>
    </row>
    <row r="54" spans="2:13" x14ac:dyDescent="0.3">
      <c r="L54" s="126">
        <v>45824.625</v>
      </c>
      <c r="M54" s="3">
        <v>50.210999999999999</v>
      </c>
    </row>
    <row r="55" spans="2:13" x14ac:dyDescent="0.3">
      <c r="L55" s="126">
        <v>45825.625</v>
      </c>
      <c r="M55" s="3">
        <v>50.256</v>
      </c>
    </row>
    <row r="56" spans="2:13" x14ac:dyDescent="0.3">
      <c r="L56" s="126">
        <v>45826.625</v>
      </c>
      <c r="M56" s="3">
        <v>50.328000000000003</v>
      </c>
    </row>
    <row r="57" spans="2:13" x14ac:dyDescent="0.3">
      <c r="L57" s="126">
        <v>45827.625</v>
      </c>
      <c r="M57" s="3">
        <v>51.09</v>
      </c>
    </row>
    <row r="58" spans="2:13" x14ac:dyDescent="0.3">
      <c r="L58" s="126">
        <v>45828.625</v>
      </c>
      <c r="M58" s="3">
        <v>50.98</v>
      </c>
    </row>
    <row r="59" spans="2:13" x14ac:dyDescent="0.3">
      <c r="L59" s="126">
        <v>45831.625</v>
      </c>
      <c r="M59" s="3">
        <v>51.106000000000002</v>
      </c>
    </row>
    <row r="60" spans="2:13" x14ac:dyDescent="0.3">
      <c r="L60" s="126">
        <v>45832.625</v>
      </c>
      <c r="M60" s="3">
        <v>48.530999999999999</v>
      </c>
    </row>
    <row r="61" spans="2:13" x14ac:dyDescent="0.3">
      <c r="L61" s="126">
        <v>45833.625</v>
      </c>
      <c r="M61" s="3">
        <v>48.798000000000002</v>
      </c>
    </row>
    <row r="62" spans="2:13" x14ac:dyDescent="0.3">
      <c r="L62" s="126">
        <v>45834.625</v>
      </c>
      <c r="M62" s="3">
        <v>48.734999999999999</v>
      </c>
    </row>
    <row r="63" spans="2:13" x14ac:dyDescent="0.3">
      <c r="L63" s="126">
        <v>45835.625</v>
      </c>
      <c r="M63" s="3">
        <v>47.646000000000001</v>
      </c>
    </row>
    <row r="64" spans="2:13" x14ac:dyDescent="0.3">
      <c r="L64" s="126">
        <v>45838.625</v>
      </c>
      <c r="M64" s="3">
        <v>47.832999999999998</v>
      </c>
    </row>
    <row r="65" spans="12:13" x14ac:dyDescent="0.3">
      <c r="L65" s="126">
        <v>45839.625</v>
      </c>
      <c r="M65" s="3">
        <v>47.801000000000002</v>
      </c>
    </row>
    <row r="66" spans="12:13" x14ac:dyDescent="0.3">
      <c r="L66" s="126">
        <v>45840.625</v>
      </c>
      <c r="M66" s="3">
        <v>47.194000000000003</v>
      </c>
    </row>
    <row r="67" spans="12:13" x14ac:dyDescent="0.3">
      <c r="L67" s="126">
        <v>45841.625</v>
      </c>
      <c r="M67" s="3">
        <v>47.182000000000002</v>
      </c>
    </row>
    <row r="68" spans="12:13" x14ac:dyDescent="0.3">
      <c r="L68" s="126">
        <v>45842.625</v>
      </c>
      <c r="M68" s="3">
        <v>47.551000000000002</v>
      </c>
    </row>
    <row r="69" spans="12:13" x14ac:dyDescent="0.3">
      <c r="L69" s="126">
        <v>45845.625</v>
      </c>
      <c r="M69" s="3">
        <v>47.372</v>
      </c>
    </row>
    <row r="70" spans="12:13" x14ac:dyDescent="0.3">
      <c r="L70" s="126">
        <v>45846.625</v>
      </c>
      <c r="M70" s="3">
        <v>47.015000000000001</v>
      </c>
    </row>
    <row r="71" spans="12:13" x14ac:dyDescent="0.3">
      <c r="L71" s="126">
        <v>45847.625</v>
      </c>
      <c r="M71" s="3">
        <v>47.259</v>
      </c>
    </row>
    <row r="72" spans="12:13" x14ac:dyDescent="0.3">
      <c r="L72" s="126">
        <v>45848.625</v>
      </c>
      <c r="M72" s="3">
        <v>46.771000000000001</v>
      </c>
    </row>
    <row r="73" spans="12:13" x14ac:dyDescent="0.3">
      <c r="L73" s="126">
        <v>45849.625</v>
      </c>
      <c r="M73" s="3">
        <v>47.335999999999999</v>
      </c>
    </row>
    <row r="74" spans="12:13" x14ac:dyDescent="0.3">
      <c r="L74" s="126">
        <v>45852.625</v>
      </c>
      <c r="M74" s="3">
        <v>47.235999999999997</v>
      </c>
    </row>
    <row r="75" spans="12:13" x14ac:dyDescent="0.3">
      <c r="L75" s="126">
        <v>45853.625</v>
      </c>
      <c r="M75" s="3">
        <v>47.542999999999999</v>
      </c>
    </row>
    <row r="76" spans="12:13" x14ac:dyDescent="0.3">
      <c r="L76" s="126">
        <v>45854.625</v>
      </c>
      <c r="M76" s="3">
        <v>47.863999999999997</v>
      </c>
    </row>
    <row r="77" spans="12:13" x14ac:dyDescent="0.3">
      <c r="L77" s="126">
        <v>45855.625</v>
      </c>
      <c r="M77" s="3">
        <v>47.286999999999999</v>
      </c>
    </row>
    <row r="78" spans="12:13" x14ac:dyDescent="0.3">
      <c r="L78" s="126">
        <v>45856.625</v>
      </c>
      <c r="M78" s="3">
        <v>46.664999999999999</v>
      </c>
    </row>
    <row r="79" spans="12:13" x14ac:dyDescent="0.3">
      <c r="L79" s="126">
        <v>45859.625</v>
      </c>
      <c r="M79" s="3">
        <v>46.798000000000002</v>
      </c>
    </row>
    <row r="80" spans="12:13" x14ac:dyDescent="0.3">
      <c r="L80" s="126">
        <v>45860.625</v>
      </c>
      <c r="M80" s="3">
        <v>47.064999999999998</v>
      </c>
    </row>
    <row r="81" spans="12:13" x14ac:dyDescent="0.3">
      <c r="L81" s="126">
        <v>45861.625</v>
      </c>
      <c r="M81" s="3">
        <v>46.191000000000003</v>
      </c>
    </row>
    <row r="82" spans="12:13" x14ac:dyDescent="0.3">
      <c r="L82" s="126">
        <v>45862.625</v>
      </c>
      <c r="M82" s="3">
        <v>46.113</v>
      </c>
    </row>
    <row r="83" spans="12:13" x14ac:dyDescent="0.3">
      <c r="L83" s="126">
        <v>45863.625</v>
      </c>
      <c r="M83" s="3">
        <v>45.887</v>
      </c>
    </row>
    <row r="84" spans="12:13" x14ac:dyDescent="0.3">
      <c r="L84" s="126">
        <v>45866.625</v>
      </c>
      <c r="M84" s="3">
        <v>45.268000000000001</v>
      </c>
    </row>
    <row r="85" spans="12:13" x14ac:dyDescent="0.3">
      <c r="L85" s="126">
        <v>45867.625</v>
      </c>
      <c r="M85" s="3">
        <v>45.021000000000001</v>
      </c>
    </row>
    <row r="86" spans="12:13" x14ac:dyDescent="0.3">
      <c r="L86" s="126">
        <v>45868.625</v>
      </c>
      <c r="M86" s="3">
        <v>45.497999999999998</v>
      </c>
    </row>
    <row r="87" spans="12:13" x14ac:dyDescent="0.3">
      <c r="L87" s="126">
        <v>45869.625</v>
      </c>
      <c r="M87" s="3">
        <v>45.439</v>
      </c>
    </row>
    <row r="88" spans="12:13" x14ac:dyDescent="0.3">
      <c r="L88" s="126">
        <v>45870.625</v>
      </c>
      <c r="M88" s="3">
        <v>46.853000000000002</v>
      </c>
    </row>
    <row r="89" spans="12:13" x14ac:dyDescent="0.3">
      <c r="L89" s="126">
        <v>45873.625</v>
      </c>
      <c r="M89" s="3">
        <v>46.91</v>
      </c>
    </row>
    <row r="90" spans="12:13" x14ac:dyDescent="0.3">
      <c r="L90" s="126">
        <v>45874.625</v>
      </c>
      <c r="M90" s="3">
        <v>45.616999999999997</v>
      </c>
    </row>
    <row r="91" spans="12:13" x14ac:dyDescent="0.3">
      <c r="L91" s="126">
        <v>45875.625</v>
      </c>
      <c r="M91" s="3">
        <v>46.472000000000001</v>
      </c>
    </row>
    <row r="92" spans="12:13" x14ac:dyDescent="0.3">
      <c r="L92" s="126">
        <v>45876.625</v>
      </c>
      <c r="M92" s="3">
        <v>45.741999999999997</v>
      </c>
    </row>
    <row r="93" spans="12:13" x14ac:dyDescent="0.3">
      <c r="L93" s="126">
        <v>45877.625</v>
      </c>
      <c r="M93" s="3">
        <v>45.639000000000003</v>
      </c>
    </row>
    <row r="94" spans="12:13" x14ac:dyDescent="0.3">
      <c r="L94" s="126">
        <v>45880.625</v>
      </c>
      <c r="M94" s="3">
        <v>45.212000000000003</v>
      </c>
    </row>
    <row r="95" spans="12:13" x14ac:dyDescent="0.3">
      <c r="L95" s="126">
        <v>45881.625</v>
      </c>
      <c r="M95" s="3">
        <v>44.905000000000001</v>
      </c>
    </row>
    <row r="96" spans="12:13" x14ac:dyDescent="0.3">
      <c r="L96" s="126">
        <v>45882.625</v>
      </c>
      <c r="M96" s="3">
        <v>44.164999999999999</v>
      </c>
    </row>
    <row r="97" spans="12:13" x14ac:dyDescent="0.3">
      <c r="L97" s="126">
        <v>45883.625</v>
      </c>
      <c r="M97" s="3">
        <v>43.07</v>
      </c>
    </row>
    <row r="98" spans="12:13" x14ac:dyDescent="0.3">
      <c r="L98" s="126">
        <v>45884.625</v>
      </c>
      <c r="M98" s="3">
        <v>42.658000000000001</v>
      </c>
    </row>
    <row r="99" spans="12:13" x14ac:dyDescent="0.3">
      <c r="L99" s="126">
        <v>45887.625</v>
      </c>
      <c r="M99" s="3">
        <v>42.69</v>
      </c>
    </row>
    <row r="100" spans="12:13" x14ac:dyDescent="0.3">
      <c r="L100" s="126">
        <v>45888.625</v>
      </c>
      <c r="M100" s="3">
        <v>43.34</v>
      </c>
    </row>
    <row r="101" spans="12:13" x14ac:dyDescent="0.3">
      <c r="L101" s="126">
        <v>45889.625</v>
      </c>
      <c r="M101" s="3">
        <v>43.088999999999999</v>
      </c>
    </row>
    <row r="102" spans="12:13" x14ac:dyDescent="0.3">
      <c r="L102" s="126">
        <v>45890.625</v>
      </c>
      <c r="M102" s="3">
        <v>43.530999999999999</v>
      </c>
    </row>
    <row r="103" spans="12:13" x14ac:dyDescent="0.3">
      <c r="L103" s="126">
        <v>45891.625</v>
      </c>
      <c r="M103" s="3">
        <v>43.149000000000001</v>
      </c>
    </row>
    <row r="104" spans="12:13" x14ac:dyDescent="0.3">
      <c r="L104" s="126">
        <v>45894.625</v>
      </c>
      <c r="M104" s="3">
        <v>42.863999999999997</v>
      </c>
    </row>
    <row r="105" spans="12:13" x14ac:dyDescent="0.3">
      <c r="L105" s="126">
        <v>45895.625</v>
      </c>
      <c r="M105" s="3">
        <v>44.186</v>
      </c>
    </row>
    <row r="106" spans="12:13" x14ac:dyDescent="0.3">
      <c r="L106" s="126">
        <v>45896.625</v>
      </c>
      <c r="M106" s="3">
        <v>45.048999999999999</v>
      </c>
    </row>
    <row r="107" spans="12:13" x14ac:dyDescent="0.3">
      <c r="L107" s="126">
        <v>45897.625</v>
      </c>
      <c r="M107" s="3">
        <v>46.148000000000003</v>
      </c>
    </row>
    <row r="108" spans="12:13" x14ac:dyDescent="0.3">
      <c r="L108" s="126">
        <v>45898.625</v>
      </c>
      <c r="M108" s="3">
        <v>46.421999999999997</v>
      </c>
    </row>
    <row r="109" spans="12:13" x14ac:dyDescent="0.3">
      <c r="L109" s="126">
        <v>45901.625</v>
      </c>
      <c r="M109" s="3">
        <v>46.432000000000002</v>
      </c>
    </row>
    <row r="110" spans="12:13" x14ac:dyDescent="0.3">
      <c r="L110" s="126">
        <v>45902.625</v>
      </c>
      <c r="M110" s="3">
        <v>48.558999999999997</v>
      </c>
    </row>
    <row r="111" spans="12:13" x14ac:dyDescent="0.3">
      <c r="L111" s="126">
        <v>45903.625</v>
      </c>
      <c r="M111" s="3">
        <v>48.46</v>
      </c>
    </row>
    <row r="112" spans="12:13" x14ac:dyDescent="0.3">
      <c r="L112" s="126">
        <v>45904.625</v>
      </c>
      <c r="M112" s="3">
        <v>47.35</v>
      </c>
    </row>
    <row r="113" spans="12:13" x14ac:dyDescent="0.3">
      <c r="L113" s="126">
        <v>45905.625</v>
      </c>
      <c r="M113" s="3">
        <v>46.287999999999997</v>
      </c>
    </row>
    <row r="114" spans="12:13" x14ac:dyDescent="0.3">
      <c r="L114" s="126">
        <v>45908.625</v>
      </c>
      <c r="M114" s="3">
        <v>46.375</v>
      </c>
    </row>
    <row r="115" spans="12:13" x14ac:dyDescent="0.3">
      <c r="L115" s="126">
        <v>45909.625</v>
      </c>
      <c r="M115" s="3">
        <v>45.290999999999997</v>
      </c>
    </row>
    <row r="116" spans="12:13" x14ac:dyDescent="0.3">
      <c r="L116" s="126">
        <v>45910.625</v>
      </c>
      <c r="M116" s="3">
        <v>44.817</v>
      </c>
    </row>
    <row r="117" spans="12:13" x14ac:dyDescent="0.3">
      <c r="L117" s="126">
        <v>45911.625</v>
      </c>
      <c r="M117" s="3">
        <v>43.853000000000002</v>
      </c>
    </row>
    <row r="118" spans="12:13" x14ac:dyDescent="0.3">
      <c r="L118" s="126">
        <v>45912.625</v>
      </c>
      <c r="M118" s="3">
        <v>43.271000000000001</v>
      </c>
    </row>
    <row r="119" spans="12:13" x14ac:dyDescent="0.3">
      <c r="L119" s="126">
        <v>45915.625</v>
      </c>
      <c r="M119" s="3">
        <v>42.829000000000001</v>
      </c>
    </row>
    <row r="120" spans="12:13" x14ac:dyDescent="0.3">
      <c r="L120" s="126">
        <v>45916.625</v>
      </c>
      <c r="M120" s="3">
        <v>42.984000000000002</v>
      </c>
    </row>
    <row r="121" spans="12:13" x14ac:dyDescent="0.3">
      <c r="L121" s="126">
        <v>45917.625</v>
      </c>
      <c r="M121" s="3">
        <v>43.191000000000003</v>
      </c>
    </row>
    <row r="122" spans="12:13" x14ac:dyDescent="0.3">
      <c r="L122" s="126">
        <v>45918.625</v>
      </c>
      <c r="M122" s="3">
        <v>42.176000000000002</v>
      </c>
    </row>
    <row r="123" spans="12:13" x14ac:dyDescent="0.3">
      <c r="L123" s="126">
        <v>45919.625</v>
      </c>
      <c r="M123" s="3">
        <v>42.023000000000003</v>
      </c>
    </row>
    <row r="124" spans="12:13" x14ac:dyDescent="0.3">
      <c r="L124" s="126">
        <v>45922.625</v>
      </c>
      <c r="M124" s="3">
        <v>47.085000000000001</v>
      </c>
    </row>
    <row r="125" spans="12:13" x14ac:dyDescent="0.3">
      <c r="L125" s="126">
        <v>45923.625</v>
      </c>
      <c r="M125" s="3">
        <v>46.759</v>
      </c>
    </row>
    <row r="126" spans="12:13" x14ac:dyDescent="0.3">
      <c r="L126" s="126">
        <v>45924.625</v>
      </c>
      <c r="M126" s="3">
        <v>46.57</v>
      </c>
    </row>
    <row r="127" spans="12:13" x14ac:dyDescent="0.3">
      <c r="L127" s="126">
        <v>45925.625</v>
      </c>
      <c r="M127" s="3">
        <v>46.603999999999999</v>
      </c>
    </row>
    <row r="128" spans="12:13" x14ac:dyDescent="0.3">
      <c r="L128" s="126">
        <v>45926.625</v>
      </c>
      <c r="M128" s="3">
        <v>47.268999999999998</v>
      </c>
    </row>
    <row r="129" spans="12:13" x14ac:dyDescent="0.3">
      <c r="L129" s="126">
        <v>45929.625</v>
      </c>
      <c r="M129" s="3">
        <v>46.972000000000001</v>
      </c>
    </row>
    <row r="130" spans="12:13" x14ac:dyDescent="0.3">
      <c r="L130" s="126">
        <v>45930.625</v>
      </c>
      <c r="M130" s="3">
        <v>46.463999999999999</v>
      </c>
    </row>
    <row r="131" spans="12:13" x14ac:dyDescent="0.3">
      <c r="L131" s="126">
        <v>45931.625</v>
      </c>
      <c r="M131" s="3">
        <v>46.284999999999997</v>
      </c>
    </row>
    <row r="132" spans="12:13" x14ac:dyDescent="0.3">
      <c r="L132" s="126">
        <v>45932.625</v>
      </c>
      <c r="M132" s="3">
        <v>45.938000000000002</v>
      </c>
    </row>
    <row r="133" spans="12:13" x14ac:dyDescent="0.3">
      <c r="L133" s="126">
        <v>45933.625</v>
      </c>
      <c r="M133" s="3">
        <v>45.588000000000001</v>
      </c>
    </row>
    <row r="134" spans="12:13" x14ac:dyDescent="0.3">
      <c r="L134" s="126">
        <v>45936.625</v>
      </c>
      <c r="M134" s="3">
        <v>46.19</v>
      </c>
    </row>
    <row r="135" spans="12:13" x14ac:dyDescent="0.3">
      <c r="L135" s="126">
        <v>45937.625</v>
      </c>
      <c r="M135" s="3">
        <v>46.366</v>
      </c>
    </row>
    <row r="136" spans="12:13" x14ac:dyDescent="0.3">
      <c r="L136" s="126">
        <v>45938.625</v>
      </c>
      <c r="M136" s="3">
        <v>46.357999999999997</v>
      </c>
    </row>
    <row r="137" spans="12:13" x14ac:dyDescent="0.3">
      <c r="L137" s="126">
        <v>45939.625</v>
      </c>
      <c r="M137" s="3">
        <v>46.667999999999999</v>
      </c>
    </row>
    <row r="138" spans="12:13" x14ac:dyDescent="0.3">
      <c r="L138" s="126">
        <v>45940.625</v>
      </c>
      <c r="M138" s="3">
        <v>46.917000000000002</v>
      </c>
    </row>
    <row r="139" spans="12:13" x14ac:dyDescent="0.3">
      <c r="L139" s="126">
        <v>45943.625</v>
      </c>
      <c r="M139" s="3">
        <v>47.828000000000003</v>
      </c>
    </row>
    <row r="140" spans="12:13" x14ac:dyDescent="0.3">
      <c r="L140" s="126">
        <v>45944.625</v>
      </c>
      <c r="M140" s="3">
        <v>47.908000000000001</v>
      </c>
    </row>
    <row r="141" spans="12:13" x14ac:dyDescent="0.3">
      <c r="L141" s="126">
        <v>45945.625</v>
      </c>
      <c r="M141" s="3">
        <v>45.886000000000003</v>
      </c>
    </row>
    <row r="142" spans="12:13" x14ac:dyDescent="0.3">
      <c r="L142" s="126">
        <v>45946.625</v>
      </c>
      <c r="M142" s="3">
        <v>45.503</v>
      </c>
    </row>
  </sheetData>
  <mergeCells count="2">
    <mergeCell ref="B12:D12"/>
    <mergeCell ref="E12:G12"/>
  </mergeCells>
  <conditionalFormatting sqref="H12:H34">
    <cfRule type="cellIs" dxfId="8" priority="1" operator="lessThan">
      <formula>0</formula>
    </cfRule>
  </conditionalFormatting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1AFA43-48F1-405E-9185-E3F7C0AEBF7A}">
  <dimension ref="A1:W139"/>
  <sheetViews>
    <sheetView zoomScale="80" zoomScaleNormal="80" workbookViewId="0">
      <selection activeCell="C25" sqref="A1:XFD1048576"/>
    </sheetView>
  </sheetViews>
  <sheetFormatPr defaultColWidth="8.88671875" defaultRowHeight="14.4" x14ac:dyDescent="0.3"/>
  <cols>
    <col min="1" max="1" width="15.44140625" style="54" bestFit="1" customWidth="1"/>
    <col min="2" max="5" width="16.88671875" style="54" customWidth="1"/>
    <col min="6" max="6" width="10.5546875" style="54" bestFit="1" customWidth="1"/>
    <col min="7" max="7" width="11.5546875" style="54" bestFit="1" customWidth="1"/>
    <col min="8" max="8" width="8.88671875" style="54" bestFit="1" customWidth="1"/>
    <col min="9" max="9" width="11.5546875" style="54" bestFit="1" customWidth="1"/>
    <col min="10" max="10" width="13.33203125" style="54" bestFit="1" customWidth="1"/>
    <col min="11" max="12" width="11.5546875" style="54" bestFit="1" customWidth="1"/>
    <col min="13" max="13" width="13.33203125" style="54" bestFit="1" customWidth="1"/>
    <col min="14" max="14" width="13" style="54" bestFit="1" customWidth="1"/>
    <col min="15" max="15" width="9.109375"/>
    <col min="16" max="16" width="10.5546875" style="75" hidden="1" customWidth="1"/>
    <col min="17" max="17" width="6" style="54" hidden="1" customWidth="1"/>
    <col min="18" max="18" width="10.5546875" style="75" hidden="1" customWidth="1"/>
    <col min="19" max="19" width="8.88671875" style="54" hidden="1" customWidth="1"/>
    <col min="20" max="20" width="15.77734375" style="125" hidden="1" customWidth="1"/>
    <col min="21" max="21" width="8.88671875" style="54" hidden="1" customWidth="1"/>
    <col min="22" max="22" width="10.5546875" style="75" hidden="1" customWidth="1"/>
    <col min="23" max="23" width="8.88671875" style="54" hidden="1" customWidth="1"/>
    <col min="24" max="16384" width="8.88671875" style="54"/>
  </cols>
  <sheetData>
    <row r="1" spans="1:23" ht="15" thickBot="1" x14ac:dyDescent="0.35">
      <c r="A1" s="1"/>
      <c r="B1" s="1"/>
      <c r="C1" s="1"/>
      <c r="D1" s="1"/>
      <c r="E1" s="1"/>
      <c r="G1" s="75"/>
      <c r="H1" s="1"/>
      <c r="I1" s="53"/>
      <c r="J1" s="1"/>
      <c r="K1" s="53"/>
      <c r="L1" s="1"/>
      <c r="M1" s="53"/>
      <c r="P1" s="53"/>
      <c r="Q1" s="1"/>
      <c r="R1" s="53"/>
      <c r="S1" s="1"/>
      <c r="T1" s="122"/>
      <c r="U1" s="1"/>
      <c r="V1" s="53"/>
    </row>
    <row r="2" spans="1:23" ht="15" thickBot="1" x14ac:dyDescent="0.35">
      <c r="A2" s="30"/>
      <c r="B2" s="40" t="s">
        <v>0</v>
      </c>
      <c r="C2" s="44" t="s">
        <v>1</v>
      </c>
      <c r="D2" s="71" t="s">
        <v>1</v>
      </c>
      <c r="E2" s="72" t="s">
        <v>0</v>
      </c>
      <c r="G2" s="75"/>
      <c r="H2" s="127" t="s">
        <v>101</v>
      </c>
      <c r="I2" s="128">
        <v>0.625</v>
      </c>
      <c r="J2" s="1"/>
      <c r="K2" s="53"/>
      <c r="L2" s="1"/>
      <c r="M2" s="53"/>
      <c r="P2" s="102" t="s">
        <v>0</v>
      </c>
      <c r="Q2" s="1"/>
      <c r="R2" s="103" t="s">
        <v>1</v>
      </c>
      <c r="S2" s="2"/>
      <c r="T2" s="123" t="s">
        <v>1</v>
      </c>
      <c r="U2" s="1"/>
      <c r="V2" s="101" t="s">
        <v>0</v>
      </c>
    </row>
    <row r="3" spans="1:23" x14ac:dyDescent="0.3">
      <c r="A3" s="15" t="s">
        <v>32</v>
      </c>
      <c r="B3" s="64" t="s">
        <v>56</v>
      </c>
      <c r="C3" s="73" t="s">
        <v>57</v>
      </c>
      <c r="D3" s="73" t="s">
        <v>58</v>
      </c>
      <c r="E3" s="65" t="s">
        <v>59</v>
      </c>
      <c r="G3" s="75"/>
      <c r="H3" s="1"/>
      <c r="I3" s="53"/>
      <c r="J3" s="1"/>
      <c r="K3" s="53"/>
      <c r="L3" s="1"/>
      <c r="M3" s="53"/>
      <c r="P3" s="52" cm="1">
        <f t="array" ref="P3:Q136">_xll.BDH(B4, "LAST_PRICE", "01/01/2025 15:00:00", "01/01/2035 16:00:00", "BarSize=60", "BarType=T", "RecurDaily=True", "TZ=London")</f>
        <v>45751.625</v>
      </c>
      <c r="Q3" s="1">
        <v>90.08</v>
      </c>
      <c r="R3" s="52" cm="1">
        <f t="array" ref="R3:S139">_xll.BDH(C4, "LAST_PRICE", "01/01/2025 15:00:00", "01/01/2035 16:00:00", "BarSize=60", "BarType=T", "RecurDaily=True", "TZ=London")</f>
        <v>45751.625</v>
      </c>
      <c r="S3" s="46">
        <v>101.578</v>
      </c>
      <c r="T3" s="124" cm="1">
        <f t="array" ref="T3:U128">_xll.BDH(D4, "LAST_PRICE", "01/01/2025 15:00:00", "01/01/2035 16:00:00", "BarSize=60", "BarType=T", "RecurDaily=True", "TZ=London")</f>
        <v>45751.625</v>
      </c>
      <c r="U3" s="1">
        <v>119.31</v>
      </c>
      <c r="V3" s="52" cm="1">
        <f t="array" ref="V3:W75">_xll.BDH(E4, "LAST_PRICE", "01/01/2025 15:00:00", "01/01/2035 16:00:00", "BarSize=60", "BarType=T", "RecurDaily=True", "TZ=London")</f>
        <v>45846.625</v>
      </c>
      <c r="W3" s="54">
        <v>99.76</v>
      </c>
    </row>
    <row r="4" spans="1:23" ht="32.25" customHeight="1" x14ac:dyDescent="0.3">
      <c r="A4" s="15" t="s">
        <v>33</v>
      </c>
      <c r="B4" s="66" t="s">
        <v>60</v>
      </c>
      <c r="C4" s="41" t="s">
        <v>62</v>
      </c>
      <c r="D4" s="41" t="s">
        <v>61</v>
      </c>
      <c r="E4" s="42" t="s">
        <v>63</v>
      </c>
      <c r="G4" s="53"/>
      <c r="H4" s="1"/>
      <c r="I4" s="53"/>
      <c r="J4" s="1"/>
      <c r="K4" s="53"/>
      <c r="L4" s="1"/>
      <c r="M4" s="53"/>
      <c r="P4" s="75">
        <v>45754.625</v>
      </c>
      <c r="Q4" s="54">
        <v>89.41</v>
      </c>
      <c r="R4" s="75">
        <v>45754.625</v>
      </c>
      <c r="S4" s="54">
        <v>101.506</v>
      </c>
      <c r="T4" s="125">
        <v>45754.625</v>
      </c>
      <c r="U4" s="54">
        <v>118.7</v>
      </c>
      <c r="V4" s="75">
        <v>45847.625</v>
      </c>
      <c r="W4" s="54">
        <v>99.84</v>
      </c>
    </row>
    <row r="5" spans="1:23" x14ac:dyDescent="0.3">
      <c r="A5" s="15" t="s">
        <v>8</v>
      </c>
      <c r="B5" s="67">
        <f>25*10^6</f>
        <v>25000000</v>
      </c>
      <c r="C5" s="7">
        <f>20*10^6</f>
        <v>20000000</v>
      </c>
      <c r="D5" s="7">
        <f>43*10^6</f>
        <v>43000000</v>
      </c>
      <c r="E5" s="8">
        <f>41*10^6</f>
        <v>41000000</v>
      </c>
      <c r="G5" s="1"/>
      <c r="H5" s="1"/>
      <c r="I5" s="1"/>
      <c r="J5" s="1"/>
      <c r="K5" s="1"/>
      <c r="L5" s="1"/>
      <c r="M5" s="1"/>
      <c r="P5" s="75">
        <v>45755.625</v>
      </c>
      <c r="Q5" s="54">
        <v>90.07</v>
      </c>
      <c r="R5" s="75">
        <v>45755.625</v>
      </c>
      <c r="S5" s="54">
        <v>101.324</v>
      </c>
      <c r="T5" s="125">
        <v>45755.625</v>
      </c>
      <c r="U5" s="54">
        <v>119.1</v>
      </c>
      <c r="V5" s="75">
        <v>45848.625</v>
      </c>
      <c r="W5" s="54">
        <v>99.671999999999997</v>
      </c>
    </row>
    <row r="6" spans="1:23" x14ac:dyDescent="0.3">
      <c r="A6" s="15" t="s">
        <v>10</v>
      </c>
      <c r="B6" s="69">
        <v>0</v>
      </c>
      <c r="C6" s="74">
        <v>2.4E-2</v>
      </c>
      <c r="D6" s="74">
        <v>0</v>
      </c>
      <c r="E6" s="10">
        <v>2.1999999999999999E-2</v>
      </c>
      <c r="G6" s="1"/>
      <c r="H6" s="1"/>
      <c r="I6" s="1"/>
      <c r="J6" s="1"/>
      <c r="K6" s="1"/>
      <c r="L6" s="1"/>
      <c r="M6" s="1"/>
      <c r="P6" s="75">
        <v>45756.625</v>
      </c>
      <c r="Q6" s="54">
        <v>89.53</v>
      </c>
      <c r="R6" s="75">
        <v>45756.625</v>
      </c>
      <c r="S6" s="54">
        <v>101.774</v>
      </c>
      <c r="T6" s="125">
        <v>45756.625</v>
      </c>
      <c r="U6" s="54">
        <v>118.82</v>
      </c>
      <c r="V6" s="75">
        <v>45849.625</v>
      </c>
      <c r="W6" s="54">
        <v>99.567999999999998</v>
      </c>
    </row>
    <row r="7" spans="1:23" x14ac:dyDescent="0.3">
      <c r="A7" s="15" t="s">
        <v>12</v>
      </c>
      <c r="B7" s="69">
        <v>4.2299999999999997E-2</v>
      </c>
      <c r="C7" s="74">
        <v>4.2299999999999997E-2</v>
      </c>
      <c r="D7" s="74">
        <v>4.2299999999999997E-2</v>
      </c>
      <c r="E7" s="10">
        <v>4.2299999999999997E-2</v>
      </c>
      <c r="G7" s="53"/>
      <c r="H7" s="1"/>
      <c r="I7" s="53"/>
      <c r="J7" s="1"/>
      <c r="K7" s="53"/>
      <c r="L7" s="1"/>
      <c r="M7" s="53"/>
      <c r="N7" s="1"/>
      <c r="P7" s="75">
        <v>45757.625</v>
      </c>
      <c r="Q7" s="54">
        <v>90.4</v>
      </c>
      <c r="R7" s="75">
        <v>45757.625</v>
      </c>
      <c r="S7" s="54">
        <v>101.46299999999999</v>
      </c>
      <c r="T7" s="125">
        <v>45757.625</v>
      </c>
      <c r="U7" s="54">
        <v>119.32</v>
      </c>
      <c r="V7" s="75">
        <v>45852.625</v>
      </c>
      <c r="W7" s="54">
        <v>99.611999999999995</v>
      </c>
    </row>
    <row r="8" spans="1:23" x14ac:dyDescent="0.3">
      <c r="A8" s="15" t="s">
        <v>14</v>
      </c>
      <c r="B8" s="4" t="s">
        <v>23</v>
      </c>
      <c r="C8" s="1" t="s">
        <v>23</v>
      </c>
      <c r="D8" s="1" t="s">
        <v>23</v>
      </c>
      <c r="E8" s="5" t="s">
        <v>23</v>
      </c>
      <c r="G8" s="1"/>
      <c r="H8" s="1"/>
      <c r="I8" s="1"/>
      <c r="J8" s="1"/>
      <c r="K8" s="1"/>
      <c r="L8" s="1"/>
      <c r="M8" s="1"/>
      <c r="N8" s="1"/>
      <c r="P8" s="75">
        <v>45758.625</v>
      </c>
      <c r="Q8" s="54">
        <v>89.87</v>
      </c>
      <c r="R8" s="75">
        <v>45758.625</v>
      </c>
      <c r="S8" s="54">
        <v>101.64700000000001</v>
      </c>
      <c r="T8" s="125">
        <v>45758.625</v>
      </c>
      <c r="U8" s="54">
        <v>119.4</v>
      </c>
      <c r="V8" s="75">
        <v>45853.625</v>
      </c>
      <c r="W8" s="54">
        <v>99.713999999999999</v>
      </c>
    </row>
    <row r="9" spans="1:23" x14ac:dyDescent="0.3">
      <c r="A9" s="15" t="s">
        <v>15</v>
      </c>
      <c r="B9" s="4" t="s">
        <v>23</v>
      </c>
      <c r="C9" s="1" t="s">
        <v>23</v>
      </c>
      <c r="D9" s="1"/>
      <c r="E9" s="5" t="s">
        <v>23</v>
      </c>
      <c r="G9" s="1"/>
      <c r="H9" s="1"/>
      <c r="I9" s="1"/>
      <c r="J9" s="1"/>
      <c r="K9" s="1"/>
      <c r="L9" s="1"/>
      <c r="M9" s="1"/>
      <c r="N9" s="1"/>
      <c r="P9" s="75">
        <v>45761.625</v>
      </c>
      <c r="Q9" s="54">
        <v>90.77</v>
      </c>
      <c r="R9" s="75">
        <v>45761.625</v>
      </c>
      <c r="S9" s="54">
        <v>101.59</v>
      </c>
      <c r="T9" s="125">
        <v>45761.625</v>
      </c>
      <c r="U9" s="54">
        <v>119.64</v>
      </c>
      <c r="V9" s="75">
        <v>45854.625</v>
      </c>
      <c r="W9" s="54">
        <v>99.841999999999999</v>
      </c>
    </row>
    <row r="10" spans="1:23" ht="15" thickBot="1" x14ac:dyDescent="0.35">
      <c r="A10" s="16" t="s">
        <v>28</v>
      </c>
      <c r="B10" s="11" cm="1">
        <f t="array" ref="B10">_xll.BDP(B4,"px_last")</f>
        <v>92.17</v>
      </c>
      <c r="C10" s="21" cm="1">
        <f t="array" ref="C10">_xll.BDP(C4,"px_last")</f>
        <v>101.262</v>
      </c>
      <c r="D10" s="21" cm="1">
        <f t="array" ref="D10">_xll.BDP(D4,"px_last")</f>
        <v>121.59</v>
      </c>
      <c r="E10" s="22" cm="1">
        <f t="array" ref="E10">_xll.BDP(E4,"px_last")</f>
        <v>100.194</v>
      </c>
      <c r="F10" s="1"/>
      <c r="G10" s="1"/>
      <c r="H10" s="1"/>
      <c r="I10" s="1"/>
      <c r="J10" s="1"/>
      <c r="K10" s="1"/>
      <c r="L10" s="1"/>
      <c r="M10" s="1"/>
      <c r="N10" s="1"/>
      <c r="P10" s="75">
        <v>45762.625</v>
      </c>
      <c r="Q10" s="54">
        <v>91.01</v>
      </c>
      <c r="R10" s="75">
        <v>45762.625</v>
      </c>
      <c r="S10" s="54">
        <v>101.6</v>
      </c>
      <c r="T10" s="125">
        <v>45762.625</v>
      </c>
      <c r="U10" s="54">
        <v>119.88</v>
      </c>
      <c r="V10" s="75">
        <v>45855.625</v>
      </c>
      <c r="W10" s="54">
        <v>99.9</v>
      </c>
    </row>
    <row r="11" spans="1:23" ht="15" thickBot="1" x14ac:dyDescent="0.35"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P11" s="75">
        <v>45763.625</v>
      </c>
      <c r="Q11" s="54">
        <v>91.18</v>
      </c>
      <c r="R11" s="75">
        <v>45763.625</v>
      </c>
      <c r="S11" s="54">
        <v>101.705</v>
      </c>
      <c r="T11" s="125">
        <v>45763.625</v>
      </c>
      <c r="U11" s="54">
        <v>120.07</v>
      </c>
      <c r="V11" s="75">
        <v>45856.625</v>
      </c>
      <c r="W11" s="54">
        <v>99.805999999999997</v>
      </c>
    </row>
    <row r="12" spans="1:23" ht="15" thickBot="1" x14ac:dyDescent="0.35">
      <c r="A12" s="39" t="s">
        <v>22</v>
      </c>
      <c r="B12" s="135" t="s">
        <v>0</v>
      </c>
      <c r="C12" s="136"/>
      <c r="D12" s="136"/>
      <c r="E12" s="141" t="s">
        <v>1</v>
      </c>
      <c r="F12" s="142"/>
      <c r="G12" s="143"/>
      <c r="H12" s="138" t="s">
        <v>1</v>
      </c>
      <c r="I12" s="139"/>
      <c r="J12" s="140"/>
      <c r="K12" s="144" t="s">
        <v>0</v>
      </c>
      <c r="L12" s="145"/>
      <c r="M12" s="146"/>
      <c r="N12" s="39" t="s">
        <v>16</v>
      </c>
      <c r="P12" s="75">
        <v>45764.625</v>
      </c>
      <c r="Q12" s="54">
        <v>91.48</v>
      </c>
      <c r="R12" s="75">
        <v>45764.625</v>
      </c>
      <c r="S12" s="54">
        <v>101.895</v>
      </c>
      <c r="T12" s="125">
        <v>45764.625</v>
      </c>
      <c r="U12" s="54">
        <v>120.5</v>
      </c>
      <c r="V12" s="75">
        <v>45859.625</v>
      </c>
      <c r="W12" s="54">
        <v>100.142</v>
      </c>
    </row>
    <row r="13" spans="1:23" ht="15" thickBot="1" x14ac:dyDescent="0.35">
      <c r="A13" s="16"/>
      <c r="B13" s="11" t="s">
        <v>17</v>
      </c>
      <c r="C13" s="21" t="s">
        <v>21</v>
      </c>
      <c r="D13" s="22" t="s">
        <v>20</v>
      </c>
      <c r="E13" s="11" t="s">
        <v>17</v>
      </c>
      <c r="F13" s="21" t="s">
        <v>21</v>
      </c>
      <c r="G13" s="22" t="s">
        <v>20</v>
      </c>
      <c r="H13" s="11" t="s">
        <v>17</v>
      </c>
      <c r="I13" s="21" t="s">
        <v>21</v>
      </c>
      <c r="J13" s="22" t="s">
        <v>20</v>
      </c>
      <c r="K13" s="11" t="s">
        <v>17</v>
      </c>
      <c r="L13" s="21" t="s">
        <v>21</v>
      </c>
      <c r="M13" s="22" t="s">
        <v>20</v>
      </c>
      <c r="N13" s="99"/>
      <c r="P13" s="75">
        <v>45769.625</v>
      </c>
      <c r="Q13" s="54">
        <v>91.4</v>
      </c>
      <c r="R13" s="75">
        <v>45769.625</v>
      </c>
      <c r="S13" s="54">
        <v>101.94</v>
      </c>
      <c r="T13" s="125">
        <v>45769.625</v>
      </c>
      <c r="U13" s="54">
        <v>120.54</v>
      </c>
      <c r="V13" s="75">
        <v>45860.625</v>
      </c>
      <c r="W13" s="54">
        <v>100.247</v>
      </c>
    </row>
    <row r="14" spans="1:23" x14ac:dyDescent="0.3">
      <c r="A14" s="36">
        <v>45937</v>
      </c>
      <c r="B14" s="76">
        <v>92.37</v>
      </c>
      <c r="C14" s="46"/>
      <c r="D14" s="47"/>
      <c r="E14" s="76">
        <v>100.9</v>
      </c>
      <c r="F14" s="1"/>
      <c r="G14" s="5"/>
      <c r="H14" s="76">
        <v>120.9</v>
      </c>
      <c r="I14" s="1"/>
      <c r="J14" s="5"/>
      <c r="K14" s="76">
        <v>99.48</v>
      </c>
      <c r="L14" s="1"/>
      <c r="M14" s="5"/>
      <c r="N14" s="82">
        <v>0</v>
      </c>
      <c r="P14" s="75">
        <v>45770.625</v>
      </c>
      <c r="Q14" s="54">
        <v>92.29</v>
      </c>
      <c r="R14" s="75">
        <v>45770.625</v>
      </c>
      <c r="S14" s="54">
        <v>101.694</v>
      </c>
      <c r="T14" s="125">
        <v>45770.625</v>
      </c>
      <c r="U14" s="54">
        <v>120.5</v>
      </c>
      <c r="V14" s="75">
        <v>45861.625</v>
      </c>
      <c r="W14" s="54">
        <v>100.22499999999999</v>
      </c>
    </row>
    <row r="15" spans="1:23" x14ac:dyDescent="0.3">
      <c r="A15" s="36">
        <v>45938</v>
      </c>
      <c r="B15" s="76">
        <f>VLOOKUP($A15+$I$2,P$3:Q$500,2)</f>
        <v>92.12</v>
      </c>
      <c r="C15" s="31">
        <f t="shared" ref="C15:C20" si="0">(B15/$B$14-1)*$B$5</f>
        <v>-67662.66103713226</v>
      </c>
      <c r="D15" s="32">
        <f t="shared" ref="D15:D20" si="1">-1*(A15-$A$14)/360*$B$7*$B$5</f>
        <v>-2937.5</v>
      </c>
      <c r="E15" s="76">
        <f>VLOOKUP($A15+$I$2,R$3:S$500,2)</f>
        <v>100.99299999999999</v>
      </c>
      <c r="F15" s="31">
        <f t="shared" ref="F15:F20" si="2">(E15-$E$14)/100*$C$5</f>
        <v>18599.999999997865</v>
      </c>
      <c r="G15" s="32">
        <f t="shared" ref="G15:G20" si="3">(A15-$A$14)/360*$C$6*$C$5-(A15-$A$14)/360*$C$7*$C$5*$E$14/100</f>
        <v>-1037.8166666666666</v>
      </c>
      <c r="H15" s="76">
        <f>VLOOKUP($A15+$I$2,T$3:U$500,2)</f>
        <v>121.12</v>
      </c>
      <c r="I15" s="31">
        <f t="shared" ref="I15:I20" si="4">(H15/$H$14-1)*$D$5</f>
        <v>78246.484698095475</v>
      </c>
      <c r="J15" s="32">
        <f t="shared" ref="J15:J20" si="5">-1*(A15-$A$14)/360*$D$7*$D$5</f>
        <v>-5052.5</v>
      </c>
      <c r="K15" s="76">
        <f>VLOOKUP($A15+$I$2,V$3:W$500,2)</f>
        <v>99.673000000000002</v>
      </c>
      <c r="L15" s="31">
        <f t="shared" ref="L15:L20" si="6">(K15-$K$14)/100*$E$5</f>
        <v>79129.999999999112</v>
      </c>
      <c r="M15" s="32">
        <f t="shared" ref="M15:M20" si="7">(A15-$A$14)/360*$E$6*$E$5-(A15-$A$14)/360*$E$7*$E$5*$K$14/100</f>
        <v>-2286.8934444444453</v>
      </c>
      <c r="N15" s="82">
        <f t="shared" ref="N15:N20" si="8">C15+D15-F15-G15-I15-J15+L15+M15</f>
        <v>-84513.222513004264</v>
      </c>
      <c r="P15" s="75">
        <v>45771.625</v>
      </c>
      <c r="Q15" s="54">
        <v>92.32</v>
      </c>
      <c r="R15" s="75">
        <v>45771.625</v>
      </c>
      <c r="S15" s="54">
        <v>101.90300000000001</v>
      </c>
      <c r="T15" s="125">
        <v>45771.625</v>
      </c>
      <c r="U15" s="54">
        <v>120.87</v>
      </c>
      <c r="V15" s="75">
        <v>45862.625</v>
      </c>
      <c r="W15" s="54">
        <v>99.679000000000002</v>
      </c>
    </row>
    <row r="16" spans="1:23" x14ac:dyDescent="0.3">
      <c r="A16" s="36">
        <v>45939</v>
      </c>
      <c r="B16" s="76">
        <f t="shared" ref="B16:B20" si="9">VLOOKUP($A16+$I$2,P$3:Q$500,2)</f>
        <v>92</v>
      </c>
      <c r="C16" s="31">
        <f t="shared" si="0"/>
        <v>-100140.7383349584</v>
      </c>
      <c r="D16" s="32">
        <f t="shared" si="1"/>
        <v>-5875</v>
      </c>
      <c r="E16" s="76">
        <f t="shared" ref="E16:E20" si="10">VLOOKUP($A16+$I$2,R$3:S$500,2)</f>
        <v>100.934</v>
      </c>
      <c r="F16" s="31">
        <f t="shared" si="2"/>
        <v>6799.9999999983629</v>
      </c>
      <c r="G16" s="32">
        <f t="shared" si="3"/>
        <v>-2075.6333333333332</v>
      </c>
      <c r="H16" s="76">
        <f t="shared" ref="H16:H20" si="11">VLOOKUP($A16+$I$2,T$3:U$500,2)</f>
        <v>120.99</v>
      </c>
      <c r="I16" s="31">
        <f t="shared" si="4"/>
        <v>32009.92555830484</v>
      </c>
      <c r="J16" s="32">
        <f t="shared" si="5"/>
        <v>-10105</v>
      </c>
      <c r="K16" s="76">
        <f t="shared" ref="K16:K20" si="12">VLOOKUP($A16+$I$2,V$3:W$500,2)</f>
        <v>99.552999999999997</v>
      </c>
      <c r="L16" s="31">
        <f t="shared" si="6"/>
        <v>29929.99999999725</v>
      </c>
      <c r="M16" s="32">
        <f t="shared" si="7"/>
        <v>-4573.7868888888906</v>
      </c>
      <c r="N16" s="82">
        <f t="shared" si="8"/>
        <v>-107288.81744881991</v>
      </c>
      <c r="P16" s="75">
        <v>45772.625</v>
      </c>
      <c r="Q16" s="54">
        <v>92.35</v>
      </c>
      <c r="R16" s="75">
        <v>45772.625</v>
      </c>
      <c r="S16" s="54">
        <v>101.78100000000001</v>
      </c>
      <c r="T16" s="125">
        <v>45772.625</v>
      </c>
      <c r="U16" s="54">
        <v>120.71</v>
      </c>
      <c r="V16" s="75">
        <v>45863.625</v>
      </c>
      <c r="W16" s="54">
        <v>99.524000000000001</v>
      </c>
    </row>
    <row r="17" spans="1:23" x14ac:dyDescent="0.3">
      <c r="A17" s="36">
        <v>45940</v>
      </c>
      <c r="B17" s="76">
        <f t="shared" si="9"/>
        <v>91.78</v>
      </c>
      <c r="C17" s="31">
        <f t="shared" si="0"/>
        <v>-159683.88004763413</v>
      </c>
      <c r="D17" s="32">
        <f t="shared" si="1"/>
        <v>-8812.4999999999982</v>
      </c>
      <c r="E17" s="76">
        <f t="shared" si="10"/>
        <v>101.017</v>
      </c>
      <c r="F17" s="31">
        <f t="shared" si="2"/>
        <v>23399.999999998046</v>
      </c>
      <c r="G17" s="32">
        <f t="shared" si="3"/>
        <v>-3113.45</v>
      </c>
      <c r="H17" s="76">
        <f t="shared" si="11"/>
        <v>121</v>
      </c>
      <c r="I17" s="31">
        <f t="shared" si="4"/>
        <v>35566.583953676287</v>
      </c>
      <c r="J17" s="32">
        <f t="shared" si="5"/>
        <v>-15157.499999999998</v>
      </c>
      <c r="K17" s="76">
        <f t="shared" si="12"/>
        <v>99.754000000000005</v>
      </c>
      <c r="L17" s="31">
        <f t="shared" si="6"/>
        <v>112340.00000000036</v>
      </c>
      <c r="M17" s="32">
        <f t="shared" si="7"/>
        <v>-6860.6803333333337</v>
      </c>
      <c r="N17" s="82">
        <f t="shared" si="8"/>
        <v>-103712.69433464142</v>
      </c>
      <c r="P17" s="75">
        <v>45776.625</v>
      </c>
      <c r="Q17" s="54">
        <v>92.23</v>
      </c>
      <c r="R17" s="75">
        <v>45775.625</v>
      </c>
      <c r="S17" s="54">
        <v>101.74299999999999</v>
      </c>
      <c r="T17" s="125">
        <v>45775.625</v>
      </c>
      <c r="U17" s="54">
        <v>120.57</v>
      </c>
      <c r="V17" s="75">
        <v>45866.625</v>
      </c>
      <c r="W17" s="54">
        <v>99.715000000000003</v>
      </c>
    </row>
    <row r="18" spans="1:23" x14ac:dyDescent="0.3">
      <c r="A18" s="36">
        <v>45943</v>
      </c>
      <c r="B18" s="76">
        <f t="shared" si="9"/>
        <v>91.79</v>
      </c>
      <c r="C18" s="31">
        <f t="shared" si="0"/>
        <v>-156977.37360614861</v>
      </c>
      <c r="D18" s="32">
        <f t="shared" si="1"/>
        <v>-17624.999999999996</v>
      </c>
      <c r="E18" s="76">
        <f t="shared" si="10"/>
        <v>101.122</v>
      </c>
      <c r="F18" s="31">
        <f t="shared" si="2"/>
        <v>44399.999999998843</v>
      </c>
      <c r="G18" s="32">
        <f t="shared" si="3"/>
        <v>-6226.9</v>
      </c>
      <c r="H18" s="76">
        <f t="shared" si="11"/>
        <v>121.1</v>
      </c>
      <c r="I18" s="31">
        <f t="shared" si="4"/>
        <v>71133.16790736212</v>
      </c>
      <c r="J18" s="32">
        <f t="shared" si="5"/>
        <v>-30314.999999999996</v>
      </c>
      <c r="K18" s="76">
        <f t="shared" si="12"/>
        <v>99.923000000000002</v>
      </c>
      <c r="L18" s="31">
        <f t="shared" si="6"/>
        <v>181629.9999999991</v>
      </c>
      <c r="M18" s="32">
        <f t="shared" si="7"/>
        <v>-13721.360666666667</v>
      </c>
      <c r="N18" s="82">
        <f t="shared" si="8"/>
        <v>-85685.002180177136</v>
      </c>
      <c r="P18" s="75">
        <v>45777.625</v>
      </c>
      <c r="Q18" s="54">
        <v>91.86</v>
      </c>
      <c r="R18" s="75">
        <v>45776.625</v>
      </c>
      <c r="S18" s="54">
        <v>101.75</v>
      </c>
      <c r="T18" s="125">
        <v>45777.625</v>
      </c>
      <c r="U18" s="54">
        <v>120.56</v>
      </c>
      <c r="V18" s="75">
        <v>45867.625</v>
      </c>
      <c r="W18" s="54">
        <v>99.623999999999995</v>
      </c>
    </row>
    <row r="19" spans="1:23" x14ac:dyDescent="0.3">
      <c r="A19" s="36">
        <v>45944</v>
      </c>
      <c r="B19" s="76">
        <f t="shared" si="9"/>
        <v>91.85</v>
      </c>
      <c r="C19" s="31">
        <f t="shared" si="0"/>
        <v>-140738.33495724108</v>
      </c>
      <c r="D19" s="32">
        <f t="shared" si="1"/>
        <v>-20562.5</v>
      </c>
      <c r="E19" s="76">
        <f t="shared" si="10"/>
        <v>101.13800000000001</v>
      </c>
      <c r="F19" s="31">
        <f t="shared" si="2"/>
        <v>47599.999999999905</v>
      </c>
      <c r="G19" s="32">
        <f t="shared" si="3"/>
        <v>-7264.7166666666653</v>
      </c>
      <c r="H19" s="76">
        <f t="shared" si="11"/>
        <v>121.2</v>
      </c>
      <c r="I19" s="31">
        <f t="shared" si="4"/>
        <v>106699.75186103841</v>
      </c>
      <c r="J19" s="32">
        <f t="shared" si="5"/>
        <v>-35367.5</v>
      </c>
      <c r="K19" s="76">
        <f t="shared" si="12"/>
        <v>99.977999999999994</v>
      </c>
      <c r="L19" s="31">
        <f t="shared" si="6"/>
        <v>204179.9999999961</v>
      </c>
      <c r="M19" s="32">
        <f t="shared" si="7"/>
        <v>-16008.254111111117</v>
      </c>
      <c r="N19" s="82">
        <f t="shared" si="8"/>
        <v>-84796.624262727753</v>
      </c>
      <c r="P19" s="75">
        <v>45778.625</v>
      </c>
      <c r="Q19" s="54">
        <v>92.17</v>
      </c>
      <c r="R19" s="75">
        <v>45777.625</v>
      </c>
      <c r="S19" s="54">
        <v>101.923</v>
      </c>
      <c r="T19" s="125">
        <v>45778.625</v>
      </c>
      <c r="U19" s="54">
        <v>120.75</v>
      </c>
      <c r="V19" s="75">
        <v>45868.625</v>
      </c>
      <c r="W19" s="54">
        <v>99.552999999999997</v>
      </c>
    </row>
    <row r="20" spans="1:23" x14ac:dyDescent="0.3">
      <c r="A20" s="36">
        <v>45945</v>
      </c>
      <c r="B20" s="76">
        <f t="shared" si="9"/>
        <v>92.38</v>
      </c>
      <c r="C20" s="31">
        <f t="shared" si="0"/>
        <v>2706.5064414855124</v>
      </c>
      <c r="D20" s="32">
        <f t="shared" si="1"/>
        <v>-23500</v>
      </c>
      <c r="E20" s="76">
        <f t="shared" si="10"/>
        <v>101.23699999999999</v>
      </c>
      <c r="F20" s="31">
        <f t="shared" si="2"/>
        <v>67399.999999997817</v>
      </c>
      <c r="G20" s="32">
        <f t="shared" si="3"/>
        <v>-8302.5333333333328</v>
      </c>
      <c r="H20" s="76">
        <f t="shared" si="11"/>
        <v>121.62</v>
      </c>
      <c r="I20" s="31">
        <f t="shared" si="4"/>
        <v>256079.40446650557</v>
      </c>
      <c r="J20" s="32">
        <f t="shared" si="5"/>
        <v>-40420</v>
      </c>
      <c r="K20" s="76">
        <f t="shared" si="12"/>
        <v>100.18899999999999</v>
      </c>
      <c r="L20" s="31">
        <f t="shared" si="6"/>
        <v>290689.99999999546</v>
      </c>
      <c r="M20" s="32">
        <f t="shared" si="7"/>
        <v>-18295.147555555563</v>
      </c>
      <c r="N20" s="82">
        <f t="shared" si="8"/>
        <v>-23155.512247244649</v>
      </c>
      <c r="P20" s="75">
        <v>45779.625</v>
      </c>
      <c r="Q20" s="54">
        <v>92.25</v>
      </c>
      <c r="R20" s="75">
        <v>45779.625</v>
      </c>
      <c r="S20" s="54">
        <v>101.658</v>
      </c>
      <c r="T20" s="125">
        <v>45779.625</v>
      </c>
      <c r="U20" s="54">
        <v>120.42</v>
      </c>
      <c r="V20" s="75">
        <v>45869.625</v>
      </c>
      <c r="W20" s="54">
        <v>99.549000000000007</v>
      </c>
    </row>
    <row r="21" spans="1:23" x14ac:dyDescent="0.3">
      <c r="A21" s="36">
        <v>45946</v>
      </c>
      <c r="B21" s="76">
        <f t="shared" ref="B21" si="13">VLOOKUP($A21+$I$2,P$3:Q$500,2)</f>
        <v>92.23</v>
      </c>
      <c r="C21" s="31">
        <f t="shared" ref="C21:C22" si="14">(B21/$B$14-1)*$B$5</f>
        <v>-37891.090180794396</v>
      </c>
      <c r="D21" s="32">
        <f t="shared" ref="D21:D22" si="15">-1*(A21-$A$14)/360*$B$7*$B$5</f>
        <v>-26437.5</v>
      </c>
      <c r="E21" s="76">
        <f t="shared" ref="E21" si="16">VLOOKUP($A21+$I$2,R$3:S$500,2)</f>
        <v>101.221</v>
      </c>
      <c r="F21" s="31">
        <f t="shared" ref="F21:F22" si="17">(E21-$E$14)/100*$C$5</f>
        <v>64199.999999999585</v>
      </c>
      <c r="G21" s="32">
        <f t="shared" ref="G21:G22" si="18">(A21-$A$14)/360*$C$6*$C$5-(A21-$A$14)/360*$C$7*$C$5*$E$14/100</f>
        <v>-9340.3499999999967</v>
      </c>
      <c r="H21" s="76">
        <f t="shared" ref="H21" si="19">VLOOKUP($A21+$I$2,T$3:U$500,2)</f>
        <v>121.6</v>
      </c>
      <c r="I21" s="31">
        <f t="shared" ref="I21:I22" si="20">(H21/$H$14-1)*$D$5</f>
        <v>248966.08767576268</v>
      </c>
      <c r="J21" s="32">
        <f t="shared" ref="J21:J22" si="21">-1*(A21-$A$14)/360*$D$7*$D$5</f>
        <v>-45472.5</v>
      </c>
      <c r="K21" s="76">
        <f t="shared" ref="K21" si="22">VLOOKUP($A21+$I$2,V$3:W$500,2)</f>
        <v>100.14700000000001</v>
      </c>
      <c r="L21" s="31">
        <f t="shared" ref="L21:L22" si="23">(K21-$K$14)/100*$E$5</f>
        <v>273470.00000000064</v>
      </c>
      <c r="M21" s="32">
        <f t="shared" ref="M21:M22" si="24">(A21-$A$14)/360*$E$6*$E$5-(A21-$A$14)/360*$E$7*$E$5*$K$14/100</f>
        <v>-20582.041000000005</v>
      </c>
      <c r="N21" s="82">
        <f t="shared" ref="N21:N22" si="25">C21+D21-F21-G21-I21-J21+L21+M21</f>
        <v>-69793.868856556044</v>
      </c>
      <c r="P21" s="75">
        <v>45783.625</v>
      </c>
      <c r="Q21" s="54">
        <v>92.25</v>
      </c>
      <c r="R21" s="75">
        <v>45782.625</v>
      </c>
      <c r="S21" s="54">
        <v>101.652</v>
      </c>
      <c r="T21" s="125">
        <v>45783.625</v>
      </c>
      <c r="U21" s="54">
        <v>120.4</v>
      </c>
      <c r="V21" s="75">
        <v>45870.625</v>
      </c>
      <c r="W21" s="54">
        <v>99.751000000000005</v>
      </c>
    </row>
    <row r="22" spans="1:23" x14ac:dyDescent="0.3">
      <c r="A22" s="131">
        <v>45947</v>
      </c>
      <c r="B22" s="76">
        <f>B10</f>
        <v>92.17</v>
      </c>
      <c r="C22" s="31">
        <f t="shared" si="14"/>
        <v>-54130.128829707472</v>
      </c>
      <c r="D22" s="32">
        <f t="shared" si="15"/>
        <v>-29374.999999999996</v>
      </c>
      <c r="E22" s="76">
        <f>C10</f>
        <v>101.262</v>
      </c>
      <c r="F22" s="31">
        <f t="shared" si="17"/>
        <v>72399.999999998952</v>
      </c>
      <c r="G22" s="32">
        <f t="shared" si="18"/>
        <v>-10378.166666666664</v>
      </c>
      <c r="H22" s="76">
        <f>D10</f>
        <v>121.59</v>
      </c>
      <c r="I22" s="31">
        <f t="shared" si="20"/>
        <v>245409.42928040077</v>
      </c>
      <c r="J22" s="32">
        <f t="shared" si="21"/>
        <v>-50524.999999999993</v>
      </c>
      <c r="K22" s="76">
        <f>E10</f>
        <v>100.194</v>
      </c>
      <c r="L22" s="31">
        <f t="shared" si="23"/>
        <v>292739.99999999948</v>
      </c>
      <c r="M22" s="32">
        <f t="shared" si="24"/>
        <v>-22868.93444444444</v>
      </c>
      <c r="N22" s="82">
        <f t="shared" si="25"/>
        <v>-70540.325887885483</v>
      </c>
      <c r="P22" s="75">
        <v>45784.625</v>
      </c>
      <c r="Q22" s="54">
        <v>92.3</v>
      </c>
      <c r="R22" s="75">
        <v>45783.625</v>
      </c>
      <c r="S22" s="54">
        <v>101.666</v>
      </c>
      <c r="T22" s="125">
        <v>45785.625</v>
      </c>
      <c r="U22" s="54">
        <v>120.69</v>
      </c>
      <c r="V22" s="75">
        <v>45873.625</v>
      </c>
      <c r="W22" s="54">
        <v>99.884</v>
      </c>
    </row>
    <row r="23" spans="1:23" x14ac:dyDescent="0.3">
      <c r="A23" s="131">
        <v>45950</v>
      </c>
      <c r="B23" s="45"/>
      <c r="C23" s="31"/>
      <c r="D23" s="31"/>
      <c r="E23" s="4"/>
      <c r="F23" s="31"/>
      <c r="G23" s="32"/>
      <c r="H23" s="4"/>
      <c r="I23" s="31"/>
      <c r="J23" s="32"/>
      <c r="K23" s="4"/>
      <c r="L23" s="31"/>
      <c r="M23" s="32"/>
      <c r="N23" s="82"/>
      <c r="P23" s="75">
        <v>45785.625</v>
      </c>
      <c r="Q23" s="54">
        <v>92.52</v>
      </c>
      <c r="R23" s="75">
        <v>45784.625</v>
      </c>
      <c r="S23" s="54">
        <v>101.788</v>
      </c>
      <c r="T23" s="125">
        <v>45786.625</v>
      </c>
      <c r="U23" s="54">
        <v>120.68</v>
      </c>
      <c r="V23" s="75">
        <v>45874.625</v>
      </c>
      <c r="W23" s="54">
        <v>99.923000000000002</v>
      </c>
    </row>
    <row r="24" spans="1:23" x14ac:dyDescent="0.3">
      <c r="A24" s="131">
        <v>45951</v>
      </c>
      <c r="B24" s="45"/>
      <c r="C24" s="31"/>
      <c r="D24" s="31"/>
      <c r="E24" s="4"/>
      <c r="F24" s="31"/>
      <c r="G24" s="32"/>
      <c r="H24" s="4"/>
      <c r="I24" s="31"/>
      <c r="J24" s="32"/>
      <c r="K24" s="4"/>
      <c r="L24" s="31"/>
      <c r="M24" s="32"/>
      <c r="N24" s="82"/>
      <c r="P24" s="75">
        <v>45786.625</v>
      </c>
      <c r="Q24" s="54">
        <v>92.56</v>
      </c>
      <c r="R24" s="75">
        <v>45785.625</v>
      </c>
      <c r="S24" s="54">
        <v>101.69499999999999</v>
      </c>
      <c r="T24" s="125">
        <v>45789.625</v>
      </c>
      <c r="U24" s="54">
        <v>120.3</v>
      </c>
      <c r="V24" s="75">
        <v>45875.625</v>
      </c>
      <c r="W24" s="54">
        <v>99.869</v>
      </c>
    </row>
    <row r="25" spans="1:23" x14ac:dyDescent="0.3">
      <c r="A25" s="131">
        <v>45952</v>
      </c>
      <c r="B25" s="45"/>
      <c r="C25" s="31"/>
      <c r="D25" s="31"/>
      <c r="E25" s="4"/>
      <c r="F25" s="31"/>
      <c r="G25" s="32"/>
      <c r="H25" s="4"/>
      <c r="I25" s="31"/>
      <c r="J25" s="32"/>
      <c r="K25" s="4"/>
      <c r="L25" s="31"/>
      <c r="M25" s="32"/>
      <c r="N25" s="82"/>
      <c r="P25" s="75">
        <v>45789.625</v>
      </c>
      <c r="Q25" s="54">
        <v>92.85</v>
      </c>
      <c r="R25" s="75">
        <v>45786.625</v>
      </c>
      <c r="S25" s="54">
        <v>101.578</v>
      </c>
      <c r="T25" s="125">
        <v>45790.625</v>
      </c>
      <c r="U25" s="54">
        <v>120.31</v>
      </c>
      <c r="V25" s="75">
        <v>45876.625</v>
      </c>
      <c r="W25" s="54">
        <v>99.838999999999999</v>
      </c>
    </row>
    <row r="26" spans="1:23" x14ac:dyDescent="0.3">
      <c r="A26" s="131">
        <v>45953</v>
      </c>
      <c r="B26" s="45"/>
      <c r="C26" s="31"/>
      <c r="D26" s="31"/>
      <c r="E26" s="4"/>
      <c r="F26" s="31"/>
      <c r="G26" s="32"/>
      <c r="H26" s="4"/>
      <c r="I26" s="31"/>
      <c r="J26" s="32"/>
      <c r="K26" s="4"/>
      <c r="L26" s="31"/>
      <c r="M26" s="32"/>
      <c r="N26" s="82"/>
      <c r="P26" s="75">
        <v>45790.625</v>
      </c>
      <c r="Q26" s="54">
        <v>93.02</v>
      </c>
      <c r="R26" s="75">
        <v>45789.625</v>
      </c>
      <c r="S26" s="54">
        <v>101.15600000000001</v>
      </c>
      <c r="T26" s="125">
        <v>45791.625</v>
      </c>
      <c r="U26" s="54">
        <v>120.27</v>
      </c>
      <c r="V26" s="75">
        <v>45877.625</v>
      </c>
      <c r="W26" s="54">
        <v>99.611000000000004</v>
      </c>
    </row>
    <row r="27" spans="1:23" x14ac:dyDescent="0.3">
      <c r="A27" s="131">
        <v>45954</v>
      </c>
      <c r="B27" s="56"/>
      <c r="C27" s="57"/>
      <c r="D27" s="57"/>
      <c r="E27" s="4"/>
      <c r="F27" s="31"/>
      <c r="G27" s="32"/>
      <c r="H27" s="4"/>
      <c r="I27" s="31"/>
      <c r="J27" s="32"/>
      <c r="K27" s="4"/>
      <c r="L27" s="31"/>
      <c r="M27" s="32"/>
      <c r="N27" s="82"/>
      <c r="P27" s="75">
        <v>45791.625</v>
      </c>
      <c r="Q27" s="54">
        <v>92.87</v>
      </c>
      <c r="R27" s="75">
        <v>45790.625</v>
      </c>
      <c r="S27" s="54">
        <v>101.125</v>
      </c>
      <c r="T27" s="125">
        <v>45792.625</v>
      </c>
      <c r="U27" s="54">
        <v>120.4</v>
      </c>
      <c r="V27" s="75">
        <v>45880.625</v>
      </c>
      <c r="W27" s="54">
        <v>99.561999999999998</v>
      </c>
    </row>
    <row r="28" spans="1:23" x14ac:dyDescent="0.3">
      <c r="A28" s="131">
        <v>45955</v>
      </c>
      <c r="B28" s="45"/>
      <c r="C28" s="31"/>
      <c r="D28" s="31"/>
      <c r="E28" s="4"/>
      <c r="F28" s="31"/>
      <c r="G28" s="32"/>
      <c r="H28" s="4"/>
      <c r="I28" s="31"/>
      <c r="J28" s="32"/>
      <c r="K28" s="4"/>
      <c r="L28" s="31"/>
      <c r="M28" s="32"/>
      <c r="N28" s="82"/>
      <c r="P28" s="75">
        <v>45792.625</v>
      </c>
      <c r="Q28" s="54">
        <v>92.74</v>
      </c>
      <c r="R28" s="75">
        <v>45791.625</v>
      </c>
      <c r="S28" s="54">
        <v>101.087</v>
      </c>
      <c r="T28" s="125">
        <v>45793.625</v>
      </c>
      <c r="U28" s="54">
        <v>120.73</v>
      </c>
      <c r="V28" s="75">
        <v>45881.625</v>
      </c>
      <c r="W28" s="54">
        <v>99.405000000000001</v>
      </c>
    </row>
    <row r="29" spans="1:23" x14ac:dyDescent="0.3">
      <c r="A29" s="131">
        <v>45956</v>
      </c>
      <c r="B29" s="45"/>
      <c r="C29" s="31"/>
      <c r="D29" s="31"/>
      <c r="E29" s="4"/>
      <c r="F29" s="31"/>
      <c r="G29" s="32"/>
      <c r="H29" s="4"/>
      <c r="I29" s="31"/>
      <c r="J29" s="32"/>
      <c r="K29" s="4"/>
      <c r="L29" s="31"/>
      <c r="M29" s="32"/>
      <c r="N29" s="82"/>
      <c r="P29" s="75">
        <v>45793.625</v>
      </c>
      <c r="Q29" s="54">
        <v>92.96</v>
      </c>
      <c r="R29" s="75">
        <v>45792.625</v>
      </c>
      <c r="S29" s="54">
        <v>101.241</v>
      </c>
      <c r="T29" s="125">
        <v>45796.625</v>
      </c>
      <c r="U29" s="54">
        <v>120.66</v>
      </c>
      <c r="V29" s="75">
        <v>45882.625</v>
      </c>
      <c r="W29" s="54">
        <v>99.745000000000005</v>
      </c>
    </row>
    <row r="30" spans="1:23" x14ac:dyDescent="0.3">
      <c r="A30" s="55"/>
      <c r="B30" s="45"/>
      <c r="C30" s="31"/>
      <c r="D30" s="31"/>
      <c r="E30" s="4"/>
      <c r="F30" s="31"/>
      <c r="G30" s="32"/>
      <c r="H30" s="4"/>
      <c r="I30" s="31"/>
      <c r="J30" s="32"/>
      <c r="K30" s="4"/>
      <c r="L30" s="31"/>
      <c r="M30" s="32"/>
      <c r="N30" s="82"/>
      <c r="P30" s="75">
        <v>45796.625</v>
      </c>
      <c r="Q30" s="54">
        <v>92.89</v>
      </c>
      <c r="R30" s="75">
        <v>45793.625</v>
      </c>
      <c r="S30" s="54">
        <v>101.34</v>
      </c>
      <c r="T30" s="125">
        <v>45797.625</v>
      </c>
      <c r="U30" s="54">
        <v>120.68</v>
      </c>
      <c r="V30" s="75">
        <v>45883.625</v>
      </c>
      <c r="W30" s="54">
        <v>99.620999999999995</v>
      </c>
    </row>
    <row r="31" spans="1:23" x14ac:dyDescent="0.3">
      <c r="A31" s="55"/>
      <c r="B31" s="45"/>
      <c r="C31" s="31"/>
      <c r="D31" s="31"/>
      <c r="E31" s="4"/>
      <c r="F31" s="31"/>
      <c r="G31" s="32"/>
      <c r="H31" s="4"/>
      <c r="I31" s="31"/>
      <c r="J31" s="32"/>
      <c r="K31" s="4"/>
      <c r="L31" s="31"/>
      <c r="M31" s="32"/>
      <c r="N31" s="38"/>
      <c r="P31" s="75">
        <v>45797.625</v>
      </c>
      <c r="Q31" s="54">
        <v>93.05</v>
      </c>
      <c r="R31" s="75">
        <v>45796.625</v>
      </c>
      <c r="S31" s="54">
        <v>101.408</v>
      </c>
      <c r="T31" s="125">
        <v>45798.625</v>
      </c>
      <c r="U31" s="54">
        <v>120.59</v>
      </c>
      <c r="V31" s="75">
        <v>45884.625</v>
      </c>
      <c r="W31" s="54">
        <v>99.375</v>
      </c>
    </row>
    <row r="32" spans="1:23" x14ac:dyDescent="0.3">
      <c r="A32" s="15"/>
      <c r="B32" s="45"/>
      <c r="C32" s="31"/>
      <c r="D32" s="31"/>
      <c r="E32" s="4"/>
      <c r="F32" s="31"/>
      <c r="G32" s="32"/>
      <c r="H32" s="4"/>
      <c r="I32" s="31"/>
      <c r="J32" s="32"/>
      <c r="K32" s="4"/>
      <c r="L32" s="31"/>
      <c r="M32" s="32"/>
      <c r="N32" s="38"/>
      <c r="P32" s="75">
        <v>45798.625</v>
      </c>
      <c r="Q32" s="54">
        <v>92.95</v>
      </c>
      <c r="R32" s="75">
        <v>45797.625</v>
      </c>
      <c r="S32" s="54">
        <v>101.352</v>
      </c>
      <c r="T32" s="125">
        <v>45799.625</v>
      </c>
      <c r="U32" s="54">
        <v>120.57</v>
      </c>
      <c r="V32" s="75">
        <v>45887.625</v>
      </c>
      <c r="W32" s="54">
        <v>99.388999999999996</v>
      </c>
    </row>
    <row r="33" spans="1:23" x14ac:dyDescent="0.3">
      <c r="A33" s="15"/>
      <c r="B33" s="45"/>
      <c r="C33" s="31"/>
      <c r="D33" s="31"/>
      <c r="E33" s="4"/>
      <c r="F33" s="31"/>
      <c r="G33" s="32"/>
      <c r="H33" s="4"/>
      <c r="I33" s="31"/>
      <c r="J33" s="32"/>
      <c r="K33" s="4"/>
      <c r="L33" s="31"/>
      <c r="M33" s="32"/>
      <c r="N33" s="38"/>
      <c r="P33" s="75">
        <v>45799.625</v>
      </c>
      <c r="Q33" s="54">
        <v>92.82</v>
      </c>
      <c r="R33" s="75">
        <v>45798.625</v>
      </c>
      <c r="S33" s="54">
        <v>101.282</v>
      </c>
      <c r="T33" s="125">
        <v>45800.625</v>
      </c>
      <c r="U33" s="54">
        <v>120.79</v>
      </c>
      <c r="V33" s="75">
        <v>45888.625</v>
      </c>
      <c r="W33" s="54">
        <v>99.484999999999999</v>
      </c>
    </row>
    <row r="34" spans="1:23" x14ac:dyDescent="0.3">
      <c r="A34" s="15"/>
      <c r="B34" s="45"/>
      <c r="C34" s="31"/>
      <c r="D34" s="31"/>
      <c r="E34" s="4"/>
      <c r="F34" s="31"/>
      <c r="G34" s="32"/>
      <c r="H34" s="4"/>
      <c r="I34" s="31"/>
      <c r="J34" s="32"/>
      <c r="K34" s="4"/>
      <c r="L34" s="31"/>
      <c r="M34" s="32"/>
      <c r="N34" s="38"/>
      <c r="P34" s="75">
        <v>45800.625</v>
      </c>
      <c r="Q34" s="54">
        <v>92.47</v>
      </c>
      <c r="R34" s="75">
        <v>45799.625</v>
      </c>
      <c r="S34" s="54">
        <v>101.363</v>
      </c>
      <c r="T34" s="125">
        <v>45804.625</v>
      </c>
      <c r="U34" s="54">
        <v>121.1</v>
      </c>
      <c r="V34" s="75">
        <v>45889.625</v>
      </c>
      <c r="W34" s="54">
        <v>99.653999999999996</v>
      </c>
    </row>
    <row r="35" spans="1:23" x14ac:dyDescent="0.3">
      <c r="A35" s="15"/>
      <c r="B35" s="45"/>
      <c r="C35" s="31"/>
      <c r="D35" s="31"/>
      <c r="E35" s="4"/>
      <c r="F35" s="31"/>
      <c r="G35" s="32"/>
      <c r="H35" s="4"/>
      <c r="I35" s="31"/>
      <c r="J35" s="32"/>
      <c r="K35" s="4"/>
      <c r="L35" s="31"/>
      <c r="M35" s="32"/>
      <c r="N35" s="38"/>
      <c r="P35" s="75">
        <v>45804.625</v>
      </c>
      <c r="Q35" s="54">
        <v>93.11</v>
      </c>
      <c r="R35" s="75">
        <v>45800.625</v>
      </c>
      <c r="S35" s="54">
        <v>101.581</v>
      </c>
      <c r="T35" s="125">
        <v>45805.625</v>
      </c>
      <c r="U35" s="54">
        <v>120.98</v>
      </c>
      <c r="V35" s="75">
        <v>45890.625</v>
      </c>
      <c r="W35" s="54">
        <v>99.468999999999994</v>
      </c>
    </row>
    <row r="36" spans="1:23" x14ac:dyDescent="0.3">
      <c r="A36" s="15"/>
      <c r="B36" s="45"/>
      <c r="C36" s="31"/>
      <c r="D36" s="31"/>
      <c r="E36" s="4"/>
      <c r="F36" s="31"/>
      <c r="G36" s="32"/>
      <c r="H36" s="4"/>
      <c r="I36" s="31"/>
      <c r="J36" s="32"/>
      <c r="K36" s="4"/>
      <c r="L36" s="31"/>
      <c r="M36" s="32"/>
      <c r="N36" s="38"/>
      <c r="P36" s="75">
        <v>45805.625</v>
      </c>
      <c r="Q36" s="54">
        <v>93.01</v>
      </c>
      <c r="R36" s="75">
        <v>45803.625</v>
      </c>
      <c r="S36" s="54">
        <v>101.53100000000001</v>
      </c>
      <c r="T36" s="125">
        <v>45806.625</v>
      </c>
      <c r="U36" s="54">
        <v>121.25</v>
      </c>
      <c r="V36" s="75">
        <v>45891.625</v>
      </c>
      <c r="W36" s="54">
        <v>99.596000000000004</v>
      </c>
    </row>
    <row r="37" spans="1:23" x14ac:dyDescent="0.3">
      <c r="A37" s="15"/>
      <c r="B37" s="45"/>
      <c r="C37" s="31"/>
      <c r="D37" s="31"/>
      <c r="E37" s="4"/>
      <c r="F37" s="31"/>
      <c r="G37" s="32"/>
      <c r="H37" s="4"/>
      <c r="I37" s="31"/>
      <c r="J37" s="32"/>
      <c r="K37" s="4"/>
      <c r="L37" s="31"/>
      <c r="M37" s="32"/>
      <c r="N37" s="38"/>
      <c r="P37" s="75">
        <v>45806.625</v>
      </c>
      <c r="Q37" s="54">
        <v>93.33</v>
      </c>
      <c r="R37" s="75">
        <v>45804.625</v>
      </c>
      <c r="S37" s="54">
        <v>101.529</v>
      </c>
      <c r="T37" s="125">
        <v>45810.625</v>
      </c>
      <c r="U37" s="54">
        <v>121.27</v>
      </c>
      <c r="V37" s="75">
        <v>45894.625</v>
      </c>
      <c r="W37" s="54">
        <v>99.394999999999996</v>
      </c>
    </row>
    <row r="38" spans="1:23" x14ac:dyDescent="0.3">
      <c r="A38" s="15"/>
      <c r="B38" s="45"/>
      <c r="C38" s="31"/>
      <c r="D38" s="31"/>
      <c r="E38" s="4"/>
      <c r="F38" s="31"/>
      <c r="G38" s="32"/>
      <c r="H38" s="4"/>
      <c r="I38" s="31"/>
      <c r="J38" s="32"/>
      <c r="K38" s="4"/>
      <c r="L38" s="31"/>
      <c r="M38" s="32"/>
      <c r="N38" s="38"/>
      <c r="P38" s="75">
        <v>45807.625</v>
      </c>
      <c r="Q38" s="54">
        <v>93.44</v>
      </c>
      <c r="R38" s="75">
        <v>45805.625</v>
      </c>
      <c r="S38" s="54">
        <v>101.491</v>
      </c>
      <c r="T38" s="125">
        <v>45811.625</v>
      </c>
      <c r="U38" s="54">
        <v>121.47</v>
      </c>
      <c r="V38" s="75">
        <v>45895.625</v>
      </c>
      <c r="W38" s="54">
        <v>99.643000000000001</v>
      </c>
    </row>
    <row r="39" spans="1:23" x14ac:dyDescent="0.3">
      <c r="A39" s="15"/>
      <c r="B39" s="45"/>
      <c r="C39" s="31"/>
      <c r="D39" s="31"/>
      <c r="E39" s="4"/>
      <c r="F39" s="31"/>
      <c r="G39" s="32"/>
      <c r="H39" s="4"/>
      <c r="I39" s="31"/>
      <c r="J39" s="32"/>
      <c r="K39" s="4"/>
      <c r="L39" s="31"/>
      <c r="M39" s="32"/>
      <c r="N39" s="38"/>
      <c r="P39" s="75">
        <v>45810.625</v>
      </c>
      <c r="Q39" s="54">
        <v>93.5</v>
      </c>
      <c r="R39" s="75">
        <v>45806.625</v>
      </c>
      <c r="S39" s="54">
        <v>101.58</v>
      </c>
      <c r="T39" s="125">
        <v>45812.625</v>
      </c>
      <c r="U39" s="54">
        <v>121.35</v>
      </c>
      <c r="V39" s="75">
        <v>45896.625</v>
      </c>
      <c r="W39" s="54">
        <v>99.801000000000002</v>
      </c>
    </row>
    <row r="40" spans="1:23" x14ac:dyDescent="0.3">
      <c r="A40" s="15"/>
      <c r="B40" s="45"/>
      <c r="C40" s="31"/>
      <c r="D40" s="31"/>
      <c r="E40" s="4"/>
      <c r="F40" s="31"/>
      <c r="G40" s="32"/>
      <c r="H40" s="4"/>
      <c r="I40" s="31"/>
      <c r="J40" s="32"/>
      <c r="K40" s="4"/>
      <c r="L40" s="31"/>
      <c r="M40" s="32"/>
      <c r="N40" s="38"/>
      <c r="P40" s="75">
        <v>45811.625</v>
      </c>
      <c r="Q40" s="54">
        <v>93.62</v>
      </c>
      <c r="R40" s="75">
        <v>45807.625</v>
      </c>
      <c r="S40" s="54">
        <v>101.56</v>
      </c>
      <c r="T40" s="125">
        <v>45813.625</v>
      </c>
      <c r="U40" s="54">
        <v>121.02</v>
      </c>
      <c r="V40" s="75">
        <v>45897.625</v>
      </c>
      <c r="W40" s="54">
        <v>99.775999999999996</v>
      </c>
    </row>
    <row r="41" spans="1:23" ht="15" thickBot="1" x14ac:dyDescent="0.35">
      <c r="A41" s="16"/>
      <c r="B41" s="48"/>
      <c r="C41" s="49"/>
      <c r="D41" s="49"/>
      <c r="E41" s="11"/>
      <c r="F41" s="49"/>
      <c r="G41" s="50"/>
      <c r="H41" s="11"/>
      <c r="I41" s="49"/>
      <c r="J41" s="50"/>
      <c r="K41" s="11"/>
      <c r="L41" s="49"/>
      <c r="M41" s="50"/>
      <c r="N41" s="51"/>
      <c r="P41" s="75">
        <v>45812.625</v>
      </c>
      <c r="Q41" s="54">
        <v>93.7</v>
      </c>
      <c r="R41" s="75">
        <v>45810.625</v>
      </c>
      <c r="S41" s="54">
        <v>101.574</v>
      </c>
      <c r="T41" s="125">
        <v>45814.625</v>
      </c>
      <c r="U41" s="54">
        <v>121.27</v>
      </c>
      <c r="V41" s="75">
        <v>45898.625</v>
      </c>
      <c r="W41" s="54">
        <v>99.783000000000001</v>
      </c>
    </row>
    <row r="42" spans="1:23" x14ac:dyDescent="0.3">
      <c r="B42" s="58"/>
      <c r="C42" s="58"/>
      <c r="D42" s="58"/>
      <c r="F42" s="57"/>
      <c r="G42" s="57"/>
      <c r="I42" s="57"/>
      <c r="J42" s="57"/>
      <c r="L42" s="57"/>
      <c r="M42" s="57"/>
      <c r="N42" s="57"/>
      <c r="P42" s="75">
        <v>45813.625</v>
      </c>
      <c r="Q42" s="54">
        <v>93.55</v>
      </c>
      <c r="R42" s="75">
        <v>45811.625</v>
      </c>
      <c r="S42" s="54">
        <v>101.60599999999999</v>
      </c>
      <c r="T42" s="125">
        <v>45817.625</v>
      </c>
      <c r="U42" s="54">
        <v>121.32</v>
      </c>
      <c r="V42" s="75">
        <v>45901.625</v>
      </c>
      <c r="W42" s="54">
        <v>99.632000000000005</v>
      </c>
    </row>
    <row r="43" spans="1:23" x14ac:dyDescent="0.3">
      <c r="B43" s="58"/>
      <c r="C43" s="58"/>
      <c r="D43" s="58"/>
      <c r="I43" s="57"/>
      <c r="J43" s="57"/>
      <c r="L43" s="57"/>
      <c r="M43" s="57"/>
      <c r="N43" s="57"/>
      <c r="P43" s="75">
        <v>45814.625</v>
      </c>
      <c r="Q43" s="54">
        <v>93.7</v>
      </c>
      <c r="R43" s="75">
        <v>45812.625</v>
      </c>
      <c r="S43" s="54">
        <v>101.54</v>
      </c>
      <c r="T43" s="125">
        <v>45818.625</v>
      </c>
      <c r="U43" s="54">
        <v>121.52</v>
      </c>
      <c r="V43" s="75">
        <v>45902.625</v>
      </c>
      <c r="W43" s="54">
        <v>99.481999999999999</v>
      </c>
    </row>
    <row r="44" spans="1:23" x14ac:dyDescent="0.3">
      <c r="B44" s="58"/>
      <c r="C44" s="58"/>
      <c r="D44" s="58"/>
      <c r="I44" s="57"/>
      <c r="J44" s="57"/>
      <c r="L44" s="57"/>
      <c r="M44" s="57"/>
      <c r="N44" s="57"/>
      <c r="P44" s="75">
        <v>45817.625</v>
      </c>
      <c r="Q44" s="54">
        <v>93.62</v>
      </c>
      <c r="R44" s="75">
        <v>45813.625</v>
      </c>
      <c r="S44" s="54">
        <v>101.26</v>
      </c>
      <c r="T44" s="125">
        <v>45819.625</v>
      </c>
      <c r="U44" s="54">
        <v>121.56</v>
      </c>
      <c r="V44" s="75">
        <v>45903.625</v>
      </c>
      <c r="W44" s="54">
        <v>99.596000000000004</v>
      </c>
    </row>
    <row r="45" spans="1:23" x14ac:dyDescent="0.3">
      <c r="B45" s="58"/>
      <c r="C45" s="58"/>
      <c r="D45" s="58"/>
      <c r="I45" s="57"/>
      <c r="J45" s="57"/>
      <c r="L45" s="57"/>
      <c r="M45" s="57"/>
      <c r="N45" s="57"/>
      <c r="P45" s="75">
        <v>45818.625</v>
      </c>
      <c r="Q45" s="54">
        <v>93.67</v>
      </c>
      <c r="R45" s="75">
        <v>45814.625</v>
      </c>
      <c r="S45" s="54">
        <v>101.29900000000001</v>
      </c>
      <c r="T45" s="125">
        <v>45820.625</v>
      </c>
      <c r="U45" s="54">
        <v>121.7</v>
      </c>
      <c r="V45" s="75">
        <v>45904.625</v>
      </c>
      <c r="W45" s="54">
        <v>99.653999999999996</v>
      </c>
    </row>
    <row r="46" spans="1:23" x14ac:dyDescent="0.3">
      <c r="B46" s="58"/>
      <c r="C46" s="58"/>
      <c r="D46" s="58"/>
      <c r="P46" s="75">
        <v>45819.625</v>
      </c>
      <c r="Q46" s="54">
        <v>93.76</v>
      </c>
      <c r="R46" s="75">
        <v>45817.625</v>
      </c>
      <c r="S46" s="54">
        <v>101.297</v>
      </c>
      <c r="T46" s="125">
        <v>45821.625</v>
      </c>
      <c r="U46" s="54">
        <v>121.38</v>
      </c>
      <c r="V46" s="75">
        <v>45905.625</v>
      </c>
      <c r="W46" s="54">
        <v>99.900999999999996</v>
      </c>
    </row>
    <row r="47" spans="1:23" x14ac:dyDescent="0.3">
      <c r="B47" s="58"/>
      <c r="C47" s="58"/>
      <c r="D47" s="58"/>
      <c r="P47" s="75">
        <v>45820.625</v>
      </c>
      <c r="Q47" s="54">
        <v>93.76</v>
      </c>
      <c r="R47" s="75">
        <v>45818.625</v>
      </c>
      <c r="S47" s="54">
        <v>101.38500000000001</v>
      </c>
      <c r="T47" s="125">
        <v>45825.625</v>
      </c>
      <c r="U47" s="54">
        <v>121.5</v>
      </c>
      <c r="V47" s="75">
        <v>45908.625</v>
      </c>
      <c r="W47" s="54">
        <v>99.972999999999999</v>
      </c>
    </row>
    <row r="48" spans="1:23" x14ac:dyDescent="0.3">
      <c r="B48" s="58"/>
      <c r="C48" s="58"/>
      <c r="D48" s="58"/>
      <c r="P48" s="75">
        <v>45821.625</v>
      </c>
      <c r="Q48" s="54">
        <v>93.42</v>
      </c>
      <c r="R48" s="75">
        <v>45819.625</v>
      </c>
      <c r="S48" s="54">
        <v>101.398</v>
      </c>
      <c r="T48" s="125">
        <v>45826.625</v>
      </c>
      <c r="U48" s="54">
        <v>121.52</v>
      </c>
      <c r="V48" s="75">
        <v>45909.625</v>
      </c>
      <c r="W48" s="54">
        <v>99.885999999999996</v>
      </c>
    </row>
    <row r="49" spans="2:23" x14ac:dyDescent="0.3">
      <c r="B49" s="58"/>
      <c r="C49" s="58"/>
      <c r="D49" s="58"/>
      <c r="P49" s="75">
        <v>45824.625</v>
      </c>
      <c r="Q49" s="54">
        <v>93.76</v>
      </c>
      <c r="R49" s="75">
        <v>45820.625</v>
      </c>
      <c r="S49" s="54">
        <v>101.509</v>
      </c>
      <c r="T49" s="125">
        <v>45827.625</v>
      </c>
      <c r="U49" s="54">
        <v>121.37</v>
      </c>
      <c r="V49" s="75">
        <v>45910.625</v>
      </c>
      <c r="W49" s="54">
        <v>99.86</v>
      </c>
    </row>
    <row r="50" spans="2:23" x14ac:dyDescent="0.3">
      <c r="B50" s="58"/>
      <c r="C50" s="58"/>
      <c r="D50" s="58"/>
      <c r="P50" s="75">
        <v>45825.625</v>
      </c>
      <c r="Q50" s="54">
        <v>93.56</v>
      </c>
      <c r="R50" s="75">
        <v>45821.625</v>
      </c>
      <c r="S50" s="54">
        <v>101.375</v>
      </c>
      <c r="T50" s="125">
        <v>45828.625</v>
      </c>
      <c r="U50" s="54">
        <v>121.48</v>
      </c>
      <c r="V50" s="75">
        <v>45911.625</v>
      </c>
      <c r="W50" s="54">
        <v>99.715000000000003</v>
      </c>
    </row>
    <row r="51" spans="2:23" x14ac:dyDescent="0.3">
      <c r="B51" s="58"/>
      <c r="C51" s="58"/>
      <c r="D51" s="58"/>
      <c r="P51" s="75">
        <v>45826.625</v>
      </c>
      <c r="Q51" s="54">
        <v>93.37</v>
      </c>
      <c r="R51" s="75">
        <v>45824.625</v>
      </c>
      <c r="S51" s="54">
        <v>101.402</v>
      </c>
      <c r="T51" s="125">
        <v>45831.625</v>
      </c>
      <c r="U51" s="54">
        <v>121.56</v>
      </c>
      <c r="V51" s="75">
        <v>45912.625</v>
      </c>
      <c r="W51" s="54">
        <v>99.519000000000005</v>
      </c>
    </row>
    <row r="52" spans="2:23" x14ac:dyDescent="0.3">
      <c r="B52" s="58"/>
      <c r="C52" s="58"/>
      <c r="D52" s="58"/>
      <c r="P52" s="75">
        <v>45827.625</v>
      </c>
      <c r="Q52" s="54">
        <v>93.19</v>
      </c>
      <c r="R52" s="75">
        <v>45825.625</v>
      </c>
      <c r="S52" s="54">
        <v>101.369</v>
      </c>
      <c r="T52" s="125">
        <v>45832.625</v>
      </c>
      <c r="U52" s="54">
        <v>121.66</v>
      </c>
      <c r="V52" s="75">
        <v>45915.625</v>
      </c>
      <c r="W52" s="54">
        <v>99.558000000000007</v>
      </c>
    </row>
    <row r="53" spans="2:23" x14ac:dyDescent="0.3">
      <c r="B53" s="58"/>
      <c r="C53" s="58"/>
      <c r="D53" s="58"/>
      <c r="P53" s="75">
        <v>45828.625</v>
      </c>
      <c r="Q53" s="54">
        <v>93.4</v>
      </c>
      <c r="R53" s="75">
        <v>45826.625</v>
      </c>
      <c r="S53" s="54">
        <v>101.449</v>
      </c>
      <c r="T53" s="125">
        <v>45833.625</v>
      </c>
      <c r="U53" s="54">
        <v>121.62</v>
      </c>
      <c r="V53" s="75">
        <v>45916.625</v>
      </c>
      <c r="W53" s="54">
        <v>99.569000000000003</v>
      </c>
    </row>
    <row r="54" spans="2:23" x14ac:dyDescent="0.3">
      <c r="P54" s="75">
        <v>45831.625</v>
      </c>
      <c r="Q54" s="54">
        <v>93.3</v>
      </c>
      <c r="R54" s="75">
        <v>45827.625</v>
      </c>
      <c r="S54" s="54">
        <v>101.432</v>
      </c>
      <c r="T54" s="125">
        <v>45834.625</v>
      </c>
      <c r="U54" s="54">
        <v>121.66</v>
      </c>
      <c r="V54" s="75">
        <v>45917.625</v>
      </c>
      <c r="W54" s="54">
        <v>99.600999999999999</v>
      </c>
    </row>
    <row r="55" spans="2:23" x14ac:dyDescent="0.3">
      <c r="P55" s="75">
        <v>45832.625</v>
      </c>
      <c r="Q55" s="54">
        <v>93.63</v>
      </c>
      <c r="R55" s="75">
        <v>45828.625</v>
      </c>
      <c r="S55" s="54">
        <v>101.38200000000001</v>
      </c>
      <c r="T55" s="125">
        <v>45835.625</v>
      </c>
      <c r="U55" s="54">
        <v>121.55</v>
      </c>
      <c r="V55" s="75">
        <v>45918.625</v>
      </c>
      <c r="W55" s="54">
        <v>99.516000000000005</v>
      </c>
    </row>
    <row r="56" spans="2:23" x14ac:dyDescent="0.3">
      <c r="P56" s="75">
        <v>45833.625</v>
      </c>
      <c r="Q56" s="54">
        <v>93.47</v>
      </c>
      <c r="R56" s="75">
        <v>45831.625</v>
      </c>
      <c r="S56" s="54">
        <v>101.441</v>
      </c>
      <c r="T56" s="125">
        <v>45838.625</v>
      </c>
      <c r="U56" s="54">
        <v>121.69</v>
      </c>
      <c r="V56" s="75">
        <v>45919.625</v>
      </c>
      <c r="W56" s="54">
        <v>99.414000000000001</v>
      </c>
    </row>
    <row r="57" spans="2:23" x14ac:dyDescent="0.3">
      <c r="P57" s="75">
        <v>45834.625</v>
      </c>
      <c r="Q57" s="54">
        <v>93.5</v>
      </c>
      <c r="R57" s="75">
        <v>45832.625</v>
      </c>
      <c r="S57" s="54">
        <v>101.40600000000001</v>
      </c>
      <c r="T57" s="125">
        <v>45839.625</v>
      </c>
      <c r="U57" s="54">
        <v>121.84</v>
      </c>
      <c r="V57" s="75">
        <v>45922.625</v>
      </c>
      <c r="W57" s="54">
        <v>99.441000000000003</v>
      </c>
    </row>
    <row r="58" spans="2:23" x14ac:dyDescent="0.3">
      <c r="P58" s="75">
        <v>45835.625</v>
      </c>
      <c r="Q58" s="54">
        <v>93.63</v>
      </c>
      <c r="R58" s="75">
        <v>45833.625</v>
      </c>
      <c r="S58" s="54">
        <v>101.367</v>
      </c>
      <c r="T58" s="125">
        <v>45840.625</v>
      </c>
      <c r="U58" s="54">
        <v>121.82</v>
      </c>
      <c r="V58" s="75">
        <v>45923.625</v>
      </c>
      <c r="W58" s="54">
        <v>99.381</v>
      </c>
    </row>
    <row r="59" spans="2:23" x14ac:dyDescent="0.3">
      <c r="P59" s="75">
        <v>45838.625</v>
      </c>
      <c r="Q59" s="54">
        <v>93.64</v>
      </c>
      <c r="R59" s="75">
        <v>45834.625</v>
      </c>
      <c r="S59" s="54">
        <v>101.43</v>
      </c>
      <c r="T59" s="125">
        <v>45841.625</v>
      </c>
      <c r="U59" s="54">
        <v>122.16</v>
      </c>
      <c r="V59" s="75">
        <v>45924.625</v>
      </c>
      <c r="W59" s="54">
        <v>99.414000000000001</v>
      </c>
    </row>
    <row r="60" spans="2:23" x14ac:dyDescent="0.3">
      <c r="P60" s="75">
        <v>45839.625</v>
      </c>
      <c r="Q60" s="54">
        <v>93.68</v>
      </c>
      <c r="R60" s="75">
        <v>45835.625</v>
      </c>
      <c r="S60" s="54">
        <v>101.3</v>
      </c>
      <c r="T60" s="125">
        <v>45842.625</v>
      </c>
      <c r="U60" s="54">
        <v>122.27</v>
      </c>
      <c r="V60" s="75">
        <v>45925.625</v>
      </c>
      <c r="W60" s="54">
        <v>99.263000000000005</v>
      </c>
    </row>
    <row r="61" spans="2:23" x14ac:dyDescent="0.3">
      <c r="P61" s="75">
        <v>45840.625</v>
      </c>
      <c r="Q61" s="54">
        <v>93.74</v>
      </c>
      <c r="R61" s="75">
        <v>45838.625</v>
      </c>
      <c r="S61" s="54">
        <v>101.331</v>
      </c>
      <c r="T61" s="125">
        <v>45845.625</v>
      </c>
      <c r="U61" s="54">
        <v>122.05</v>
      </c>
      <c r="V61" s="75">
        <v>45926.625</v>
      </c>
      <c r="W61" s="54">
        <v>99.38</v>
      </c>
    </row>
    <row r="62" spans="2:23" x14ac:dyDescent="0.3">
      <c r="P62" s="75">
        <v>45841.625</v>
      </c>
      <c r="Q62" s="54">
        <v>93.9</v>
      </c>
      <c r="R62" s="75">
        <v>45839.625</v>
      </c>
      <c r="S62" s="54">
        <v>101.357</v>
      </c>
      <c r="T62" s="125">
        <v>45846.625</v>
      </c>
      <c r="U62" s="54">
        <v>121.9</v>
      </c>
      <c r="V62" s="75">
        <v>45929.625</v>
      </c>
      <c r="W62" s="54">
        <v>99.456000000000003</v>
      </c>
    </row>
    <row r="63" spans="2:23" x14ac:dyDescent="0.3">
      <c r="P63" s="75">
        <v>45842.625</v>
      </c>
      <c r="Q63" s="54">
        <v>93.86</v>
      </c>
      <c r="R63" s="75">
        <v>45840.625</v>
      </c>
      <c r="S63" s="54">
        <v>101.286</v>
      </c>
      <c r="T63" s="125">
        <v>45847.625</v>
      </c>
      <c r="U63" s="54">
        <v>122</v>
      </c>
      <c r="V63" s="75">
        <v>45930.625</v>
      </c>
      <c r="W63" s="54">
        <v>99.484999999999999</v>
      </c>
    </row>
    <row r="64" spans="2:23" x14ac:dyDescent="0.3">
      <c r="P64" s="75">
        <v>45845.625</v>
      </c>
      <c r="Q64" s="54">
        <v>93.91</v>
      </c>
      <c r="R64" s="75">
        <v>45841.625</v>
      </c>
      <c r="S64" s="54">
        <v>101.379</v>
      </c>
      <c r="T64" s="125">
        <v>45848.625</v>
      </c>
      <c r="U64" s="54">
        <v>121.86</v>
      </c>
      <c r="V64" s="75">
        <v>45931.625</v>
      </c>
      <c r="W64" s="54">
        <v>99.536000000000001</v>
      </c>
    </row>
    <row r="65" spans="16:23" x14ac:dyDescent="0.3">
      <c r="P65" s="75">
        <v>45846.625</v>
      </c>
      <c r="Q65" s="54">
        <v>93.9</v>
      </c>
      <c r="R65" s="75">
        <v>45842.625</v>
      </c>
      <c r="S65" s="54">
        <v>101.465</v>
      </c>
      <c r="T65" s="125">
        <v>45849.625</v>
      </c>
      <c r="U65" s="54">
        <v>121.72</v>
      </c>
      <c r="V65" s="75">
        <v>45932.625</v>
      </c>
      <c r="W65" s="54">
        <v>99.51</v>
      </c>
    </row>
    <row r="66" spans="16:23" x14ac:dyDescent="0.3">
      <c r="P66" s="75">
        <v>45847.625</v>
      </c>
      <c r="Q66" s="54">
        <v>94.17</v>
      </c>
      <c r="R66" s="75">
        <v>45845.625</v>
      </c>
      <c r="S66" s="54">
        <v>101.348</v>
      </c>
      <c r="T66" s="125">
        <v>45852.625</v>
      </c>
      <c r="U66" s="54">
        <v>121.74</v>
      </c>
      <c r="V66" s="75">
        <v>45933.625</v>
      </c>
      <c r="W66" s="54">
        <v>99.492999999999995</v>
      </c>
    </row>
    <row r="67" spans="16:23" x14ac:dyDescent="0.3">
      <c r="P67" s="75">
        <v>45848.625</v>
      </c>
      <c r="Q67" s="54">
        <v>94.22</v>
      </c>
      <c r="R67" s="75">
        <v>45846.625</v>
      </c>
      <c r="S67" s="54">
        <v>101.241</v>
      </c>
      <c r="T67" s="125">
        <v>45853.625</v>
      </c>
      <c r="U67" s="54">
        <v>121.85</v>
      </c>
      <c r="V67" s="75">
        <v>45936.625</v>
      </c>
      <c r="W67" s="54">
        <v>99.536000000000001</v>
      </c>
    </row>
    <row r="68" spans="16:23" x14ac:dyDescent="0.3">
      <c r="P68" s="75">
        <v>45849.625</v>
      </c>
      <c r="Q68" s="54">
        <v>94.12</v>
      </c>
      <c r="R68" s="75">
        <v>45847.625</v>
      </c>
      <c r="S68" s="54">
        <v>101.289</v>
      </c>
      <c r="T68" s="125">
        <v>45854.625</v>
      </c>
      <c r="U68" s="54">
        <v>121.87</v>
      </c>
      <c r="V68" s="75">
        <v>45937.625</v>
      </c>
      <c r="W68" s="54">
        <v>99.483000000000004</v>
      </c>
    </row>
    <row r="69" spans="16:23" x14ac:dyDescent="0.3">
      <c r="P69" s="75">
        <v>45852.625</v>
      </c>
      <c r="Q69" s="54">
        <v>94.05</v>
      </c>
      <c r="R69" s="75">
        <v>45848.625</v>
      </c>
      <c r="S69" s="54">
        <v>101.181</v>
      </c>
      <c r="T69" s="125">
        <v>45855.625</v>
      </c>
      <c r="U69" s="54">
        <v>120.13</v>
      </c>
      <c r="V69" s="75">
        <v>45938.625</v>
      </c>
      <c r="W69" s="54">
        <v>99.673000000000002</v>
      </c>
    </row>
    <row r="70" spans="16:23" x14ac:dyDescent="0.3">
      <c r="P70" s="75">
        <v>45853.625</v>
      </c>
      <c r="Q70" s="54">
        <v>94.05</v>
      </c>
      <c r="R70" s="75">
        <v>45849.625</v>
      </c>
      <c r="S70" s="54">
        <v>101.123</v>
      </c>
      <c r="T70" s="125">
        <v>45856.625</v>
      </c>
      <c r="U70" s="54">
        <v>120.01</v>
      </c>
      <c r="V70" s="75">
        <v>45939.625</v>
      </c>
      <c r="W70" s="54">
        <v>99.552999999999997</v>
      </c>
    </row>
    <row r="71" spans="16:23" x14ac:dyDescent="0.3">
      <c r="P71" s="75">
        <v>45854.625</v>
      </c>
      <c r="Q71" s="54">
        <v>93.96</v>
      </c>
      <c r="R71" s="75">
        <v>45852.625</v>
      </c>
      <c r="S71" s="54">
        <v>101.181</v>
      </c>
      <c r="T71" s="125">
        <v>45859.625</v>
      </c>
      <c r="U71" s="54">
        <v>120.31</v>
      </c>
      <c r="V71" s="75">
        <v>45940.625</v>
      </c>
      <c r="W71" s="54">
        <v>99.754000000000005</v>
      </c>
    </row>
    <row r="72" spans="16:23" x14ac:dyDescent="0.3">
      <c r="P72" s="75">
        <v>45855.625</v>
      </c>
      <c r="Q72" s="54">
        <v>94.08</v>
      </c>
      <c r="R72" s="75">
        <v>45853.625</v>
      </c>
      <c r="S72" s="54">
        <v>101.23699999999999</v>
      </c>
      <c r="T72" s="125">
        <v>45860.625</v>
      </c>
      <c r="U72" s="54">
        <v>120.48</v>
      </c>
      <c r="V72" s="75">
        <v>45943.625</v>
      </c>
      <c r="W72" s="54">
        <v>99.923000000000002</v>
      </c>
    </row>
    <row r="73" spans="16:23" x14ac:dyDescent="0.3">
      <c r="P73" s="75">
        <v>45856.625</v>
      </c>
      <c r="Q73" s="54">
        <v>94.09</v>
      </c>
      <c r="R73" s="75">
        <v>45854.625</v>
      </c>
      <c r="S73" s="54">
        <v>101.31</v>
      </c>
      <c r="T73" s="125">
        <v>45861.625</v>
      </c>
      <c r="U73" s="54">
        <v>120.5</v>
      </c>
      <c r="V73" s="75">
        <v>45944.625</v>
      </c>
      <c r="W73" s="54">
        <v>99.977999999999994</v>
      </c>
    </row>
    <row r="74" spans="16:23" x14ac:dyDescent="0.3">
      <c r="P74" s="75">
        <v>45859.625</v>
      </c>
      <c r="Q74" s="54">
        <v>94.13</v>
      </c>
      <c r="R74" s="75">
        <v>45855.625</v>
      </c>
      <c r="S74" s="54">
        <v>101.328</v>
      </c>
      <c r="T74" s="125">
        <v>45862.625</v>
      </c>
      <c r="U74" s="54">
        <v>120.16</v>
      </c>
      <c r="V74" s="75">
        <v>45945.625</v>
      </c>
      <c r="W74" s="54">
        <v>100.18899999999999</v>
      </c>
    </row>
    <row r="75" spans="16:23" x14ac:dyDescent="0.3">
      <c r="P75" s="75">
        <v>45860.625</v>
      </c>
      <c r="Q75" s="54">
        <v>94.13</v>
      </c>
      <c r="R75" s="75">
        <v>45856.625</v>
      </c>
      <c r="S75" s="54">
        <v>101.28</v>
      </c>
      <c r="T75" s="125">
        <v>45863.625</v>
      </c>
      <c r="U75" s="54">
        <v>120.06</v>
      </c>
      <c r="V75" s="75">
        <v>45946.625</v>
      </c>
      <c r="W75" s="54">
        <v>100.14700000000001</v>
      </c>
    </row>
    <row r="76" spans="16:23" x14ac:dyDescent="0.3">
      <c r="P76" s="75">
        <v>45861.625</v>
      </c>
      <c r="Q76" s="54">
        <v>94.21</v>
      </c>
      <c r="R76" s="75">
        <v>45859.625</v>
      </c>
      <c r="S76" s="54">
        <v>101.45</v>
      </c>
      <c r="T76" s="125">
        <v>45866.625</v>
      </c>
      <c r="U76" s="54">
        <v>120.25</v>
      </c>
    </row>
    <row r="77" spans="16:23" x14ac:dyDescent="0.3">
      <c r="P77" s="75">
        <v>45862.625</v>
      </c>
      <c r="Q77" s="54">
        <v>94.34</v>
      </c>
      <c r="R77" s="75">
        <v>45860.625</v>
      </c>
      <c r="S77" s="54">
        <v>101.5</v>
      </c>
      <c r="T77" s="125">
        <v>45867.625</v>
      </c>
      <c r="U77" s="54">
        <v>120.32</v>
      </c>
    </row>
    <row r="78" spans="16:23" x14ac:dyDescent="0.3">
      <c r="P78" s="75">
        <v>45863.625</v>
      </c>
      <c r="Q78" s="54">
        <v>94.27</v>
      </c>
      <c r="R78" s="75">
        <v>45861.625</v>
      </c>
      <c r="S78" s="54">
        <v>101.505</v>
      </c>
      <c r="T78" s="125">
        <v>45868.625</v>
      </c>
      <c r="U78" s="54">
        <v>120.21</v>
      </c>
    </row>
    <row r="79" spans="16:23" x14ac:dyDescent="0.3">
      <c r="P79" s="75">
        <v>45866.625</v>
      </c>
      <c r="Q79" s="54">
        <v>94.37</v>
      </c>
      <c r="R79" s="75">
        <v>45862.625</v>
      </c>
      <c r="S79" s="54">
        <v>101.15300000000001</v>
      </c>
      <c r="T79" s="125">
        <v>45869.625</v>
      </c>
      <c r="U79" s="54">
        <v>120.26</v>
      </c>
    </row>
    <row r="80" spans="16:23" x14ac:dyDescent="0.3">
      <c r="P80" s="75">
        <v>45867.625</v>
      </c>
      <c r="Q80" s="54">
        <v>94.46</v>
      </c>
      <c r="R80" s="75">
        <v>45863.625</v>
      </c>
      <c r="S80" s="54">
        <v>101.054</v>
      </c>
      <c r="T80" s="125">
        <v>45870.625</v>
      </c>
      <c r="U80" s="54">
        <v>120.22</v>
      </c>
    </row>
    <row r="81" spans="16:21" x14ac:dyDescent="0.3">
      <c r="P81" s="75">
        <v>45868.625</v>
      </c>
      <c r="Q81" s="54">
        <v>94.48</v>
      </c>
      <c r="R81" s="75">
        <v>45866.625</v>
      </c>
      <c r="S81" s="54">
        <v>101.17</v>
      </c>
      <c r="T81" s="125">
        <v>45873.625</v>
      </c>
      <c r="U81" s="54">
        <v>120.41</v>
      </c>
    </row>
    <row r="82" spans="16:21" x14ac:dyDescent="0.3">
      <c r="P82" s="75">
        <v>45869.625</v>
      </c>
      <c r="Q82" s="54">
        <v>94.45</v>
      </c>
      <c r="R82" s="75">
        <v>45867.625</v>
      </c>
      <c r="S82" s="54">
        <v>101.105</v>
      </c>
      <c r="T82" s="125">
        <v>45874.625</v>
      </c>
      <c r="U82" s="54">
        <v>120.52</v>
      </c>
    </row>
    <row r="83" spans="16:21" x14ac:dyDescent="0.3">
      <c r="P83" s="75">
        <v>45870.625</v>
      </c>
      <c r="Q83" s="54">
        <v>94.32</v>
      </c>
      <c r="R83" s="75">
        <v>45868.625</v>
      </c>
      <c r="S83" s="54">
        <v>101.048</v>
      </c>
      <c r="T83" s="125">
        <v>45875.625</v>
      </c>
      <c r="U83" s="54">
        <v>120.41</v>
      </c>
    </row>
    <row r="84" spans="16:21" x14ac:dyDescent="0.3">
      <c r="P84" s="75">
        <v>45873.625</v>
      </c>
      <c r="Q84" s="54">
        <v>94.38</v>
      </c>
      <c r="R84" s="75">
        <v>45869.625</v>
      </c>
      <c r="S84" s="54">
        <v>101.02200000000001</v>
      </c>
      <c r="T84" s="125">
        <v>45876.625</v>
      </c>
      <c r="U84" s="54">
        <v>120.52</v>
      </c>
    </row>
    <row r="85" spans="16:21" x14ac:dyDescent="0.3">
      <c r="P85" s="75">
        <v>45874.625</v>
      </c>
      <c r="Q85" s="54">
        <v>94.45</v>
      </c>
      <c r="R85" s="75">
        <v>45870.625</v>
      </c>
      <c r="S85" s="54">
        <v>101.155</v>
      </c>
      <c r="T85" s="125">
        <v>45877.625</v>
      </c>
      <c r="U85" s="54">
        <v>120.29</v>
      </c>
    </row>
    <row r="86" spans="16:21" x14ac:dyDescent="0.3">
      <c r="P86" s="75">
        <v>45875.625</v>
      </c>
      <c r="Q86" s="54">
        <v>94.47</v>
      </c>
      <c r="R86" s="75">
        <v>45873.625</v>
      </c>
      <c r="S86" s="54">
        <v>101.214</v>
      </c>
      <c r="T86" s="125">
        <v>45880.625</v>
      </c>
      <c r="U86" s="54">
        <v>120.27</v>
      </c>
    </row>
    <row r="87" spans="16:21" x14ac:dyDescent="0.3">
      <c r="P87" s="75">
        <v>45876.625</v>
      </c>
      <c r="Q87" s="54">
        <v>94.64</v>
      </c>
      <c r="R87" s="75">
        <v>45874.625</v>
      </c>
      <c r="S87" s="54">
        <v>101.217</v>
      </c>
      <c r="T87" s="125">
        <v>45881.625</v>
      </c>
      <c r="U87" s="54">
        <v>120.15</v>
      </c>
    </row>
    <row r="88" spans="16:21" x14ac:dyDescent="0.3">
      <c r="P88" s="75">
        <v>45877.625</v>
      </c>
      <c r="Q88" s="54">
        <v>94.67</v>
      </c>
      <c r="R88" s="75">
        <v>45875.625</v>
      </c>
      <c r="S88" s="54">
        <v>101.197</v>
      </c>
      <c r="T88" s="125">
        <v>45882.625</v>
      </c>
      <c r="U88" s="54">
        <v>120.52</v>
      </c>
    </row>
    <row r="89" spans="16:21" x14ac:dyDescent="0.3">
      <c r="P89" s="75">
        <v>45880.625</v>
      </c>
      <c r="Q89" s="54">
        <v>94.66</v>
      </c>
      <c r="R89" s="75">
        <v>45876.625</v>
      </c>
      <c r="S89" s="54">
        <v>101.16500000000001</v>
      </c>
      <c r="T89" s="125">
        <v>45883.625</v>
      </c>
      <c r="U89" s="54">
        <v>120.46</v>
      </c>
    </row>
    <row r="90" spans="16:21" x14ac:dyDescent="0.3">
      <c r="P90" s="75">
        <v>45881.625</v>
      </c>
      <c r="Q90" s="54">
        <v>94.75</v>
      </c>
      <c r="R90" s="75">
        <v>45877.625</v>
      </c>
      <c r="S90" s="54">
        <v>101.039</v>
      </c>
      <c r="T90" s="125">
        <v>45887.625</v>
      </c>
      <c r="U90" s="54">
        <v>120.14</v>
      </c>
    </row>
    <row r="91" spans="16:21" x14ac:dyDescent="0.3">
      <c r="P91" s="75">
        <v>45882.625</v>
      </c>
      <c r="Q91" s="54">
        <v>94.88</v>
      </c>
      <c r="R91" s="75">
        <v>45880.625</v>
      </c>
      <c r="S91" s="54">
        <v>101.004</v>
      </c>
      <c r="T91" s="125">
        <v>45888.625</v>
      </c>
      <c r="U91" s="54">
        <v>120.27</v>
      </c>
    </row>
    <row r="92" spans="16:21" x14ac:dyDescent="0.3">
      <c r="P92" s="75">
        <v>45883.625</v>
      </c>
      <c r="Q92" s="54">
        <v>94.94</v>
      </c>
      <c r="R92" s="75">
        <v>45881.625</v>
      </c>
      <c r="S92" s="54">
        <v>100.947</v>
      </c>
      <c r="T92" s="125">
        <v>45889.625</v>
      </c>
      <c r="U92" s="54">
        <v>120.39</v>
      </c>
    </row>
    <row r="93" spans="16:21" x14ac:dyDescent="0.3">
      <c r="P93" s="75">
        <v>45884.625</v>
      </c>
      <c r="Q93" s="54">
        <v>94.87</v>
      </c>
      <c r="R93" s="75">
        <v>45882.625</v>
      </c>
      <c r="S93" s="54">
        <v>101.11799999999999</v>
      </c>
      <c r="T93" s="125">
        <v>45890.625</v>
      </c>
      <c r="U93" s="54">
        <v>120.12</v>
      </c>
    </row>
    <row r="94" spans="16:21" x14ac:dyDescent="0.3">
      <c r="P94" s="75">
        <v>45887.625</v>
      </c>
      <c r="Q94" s="54">
        <v>94.83</v>
      </c>
      <c r="R94" s="75">
        <v>45883.625</v>
      </c>
      <c r="S94" s="54">
        <v>101.057</v>
      </c>
      <c r="T94" s="125">
        <v>45891.625</v>
      </c>
      <c r="U94" s="54">
        <v>120.28</v>
      </c>
    </row>
    <row r="95" spans="16:21" x14ac:dyDescent="0.3">
      <c r="P95" s="75">
        <v>45888.625</v>
      </c>
      <c r="Q95" s="54">
        <v>94.8</v>
      </c>
      <c r="R95" s="75">
        <v>45884.625</v>
      </c>
      <c r="S95" s="54">
        <v>100.946</v>
      </c>
      <c r="T95" s="125">
        <v>45898.625</v>
      </c>
      <c r="U95" s="54">
        <v>120.25</v>
      </c>
    </row>
    <row r="96" spans="16:21" x14ac:dyDescent="0.3">
      <c r="P96" s="75">
        <v>45889.625</v>
      </c>
      <c r="Q96" s="54">
        <v>94.64</v>
      </c>
      <c r="R96" s="75">
        <v>45887.625</v>
      </c>
      <c r="S96" s="54">
        <v>100.953</v>
      </c>
      <c r="T96" s="125">
        <v>45901.625</v>
      </c>
      <c r="U96" s="54">
        <v>120.1</v>
      </c>
    </row>
    <row r="97" spans="16:21" x14ac:dyDescent="0.3">
      <c r="P97" s="75">
        <v>45890.625</v>
      </c>
      <c r="Q97" s="54">
        <v>94.47</v>
      </c>
      <c r="R97" s="75">
        <v>45888.625</v>
      </c>
      <c r="S97" s="54">
        <v>100.99</v>
      </c>
      <c r="T97" s="125">
        <v>45902.625</v>
      </c>
      <c r="U97" s="54">
        <v>119.81</v>
      </c>
    </row>
    <row r="98" spans="16:21" x14ac:dyDescent="0.3">
      <c r="P98" s="75">
        <v>45891.625</v>
      </c>
      <c r="Q98" s="54">
        <v>94.76</v>
      </c>
      <c r="R98" s="75">
        <v>45889.625</v>
      </c>
      <c r="S98" s="54">
        <v>101.083</v>
      </c>
      <c r="T98" s="125">
        <v>45903.625</v>
      </c>
      <c r="U98" s="54">
        <v>120.08</v>
      </c>
    </row>
    <row r="99" spans="16:21" x14ac:dyDescent="0.3">
      <c r="P99" s="75">
        <v>45895.625</v>
      </c>
      <c r="Q99" s="54">
        <v>94.59</v>
      </c>
      <c r="R99" s="75">
        <v>45890.625</v>
      </c>
      <c r="S99" s="54">
        <v>100.955</v>
      </c>
      <c r="T99" s="125">
        <v>45904.625</v>
      </c>
      <c r="U99" s="54">
        <v>120.3</v>
      </c>
    </row>
    <row r="100" spans="16:21" x14ac:dyDescent="0.3">
      <c r="P100" s="75">
        <v>45896.625</v>
      </c>
      <c r="Q100" s="54">
        <v>94.56</v>
      </c>
      <c r="R100" s="75">
        <v>45891.625</v>
      </c>
      <c r="S100" s="54">
        <v>101.027</v>
      </c>
      <c r="T100" s="125">
        <v>45905.625</v>
      </c>
      <c r="U100" s="54">
        <v>120.64</v>
      </c>
    </row>
    <row r="101" spans="16:21" x14ac:dyDescent="0.3">
      <c r="P101" s="75">
        <v>45897.625</v>
      </c>
      <c r="Q101" s="54">
        <v>94.44</v>
      </c>
      <c r="R101" s="75">
        <v>45894.625</v>
      </c>
      <c r="S101" s="54">
        <v>100.916</v>
      </c>
      <c r="T101" s="125">
        <v>45908.625</v>
      </c>
      <c r="U101" s="54">
        <v>120.74</v>
      </c>
    </row>
    <row r="102" spans="16:21" x14ac:dyDescent="0.3">
      <c r="P102" s="75">
        <v>45898.625</v>
      </c>
      <c r="Q102" s="54">
        <v>94.44</v>
      </c>
      <c r="R102" s="75">
        <v>45895.625</v>
      </c>
      <c r="S102" s="54">
        <v>101.051</v>
      </c>
      <c r="T102" s="125">
        <v>45909.625</v>
      </c>
      <c r="U102" s="54">
        <v>120.66</v>
      </c>
    </row>
    <row r="103" spans="16:21" x14ac:dyDescent="0.3">
      <c r="P103" s="75">
        <v>45901.625</v>
      </c>
      <c r="Q103" s="54">
        <v>94.4</v>
      </c>
      <c r="R103" s="75">
        <v>45896.625</v>
      </c>
      <c r="S103" s="54">
        <v>101.142</v>
      </c>
      <c r="T103" s="125">
        <v>45910.625</v>
      </c>
      <c r="U103" s="54">
        <v>120.75</v>
      </c>
    </row>
    <row r="104" spans="16:21" x14ac:dyDescent="0.3">
      <c r="P104" s="75">
        <v>45902.625</v>
      </c>
      <c r="Q104" s="54">
        <v>94.24</v>
      </c>
      <c r="R104" s="75">
        <v>45897.625</v>
      </c>
      <c r="S104" s="54">
        <v>101.092</v>
      </c>
      <c r="T104" s="125">
        <v>45911.625</v>
      </c>
      <c r="U104" s="54">
        <v>120.76</v>
      </c>
    </row>
    <row r="105" spans="16:21" x14ac:dyDescent="0.3">
      <c r="P105" s="75">
        <v>45903.625</v>
      </c>
      <c r="Q105" s="54">
        <v>94.38</v>
      </c>
      <c r="R105" s="75">
        <v>45898.625</v>
      </c>
      <c r="S105" s="54">
        <v>101.096</v>
      </c>
      <c r="T105" s="125">
        <v>45912.625</v>
      </c>
      <c r="U105" s="54">
        <v>120.63</v>
      </c>
    </row>
    <row r="106" spans="16:21" x14ac:dyDescent="0.3">
      <c r="P106" s="75">
        <v>45904.625</v>
      </c>
      <c r="Q106" s="54">
        <v>94.54</v>
      </c>
      <c r="R106" s="75">
        <v>45901.625</v>
      </c>
      <c r="S106" s="54">
        <v>101.01900000000001</v>
      </c>
      <c r="T106" s="125">
        <v>45915.625</v>
      </c>
      <c r="U106" s="54">
        <v>120.7</v>
      </c>
    </row>
    <row r="107" spans="16:21" x14ac:dyDescent="0.3">
      <c r="P107" s="75">
        <v>45905.625</v>
      </c>
      <c r="Q107" s="54">
        <v>94.64</v>
      </c>
      <c r="R107" s="75">
        <v>45902.625</v>
      </c>
      <c r="S107" s="54">
        <v>100.976</v>
      </c>
      <c r="T107" s="125">
        <v>45916.625</v>
      </c>
      <c r="U107" s="54">
        <v>120.66</v>
      </c>
    </row>
    <row r="108" spans="16:21" x14ac:dyDescent="0.3">
      <c r="P108" s="75">
        <v>45908.625</v>
      </c>
      <c r="Q108" s="54">
        <v>94.65</v>
      </c>
      <c r="R108" s="75">
        <v>45903.625</v>
      </c>
      <c r="S108" s="54">
        <v>101.038</v>
      </c>
      <c r="T108" s="125">
        <v>45917.625</v>
      </c>
      <c r="U108" s="54">
        <v>120.67</v>
      </c>
    </row>
    <row r="109" spans="16:21" x14ac:dyDescent="0.3">
      <c r="P109" s="75">
        <v>45909.625</v>
      </c>
      <c r="Q109" s="54">
        <v>94.54</v>
      </c>
      <c r="R109" s="75">
        <v>45904.625</v>
      </c>
      <c r="S109" s="54">
        <v>101.06399999999999</v>
      </c>
      <c r="T109" s="125">
        <v>45918.625</v>
      </c>
      <c r="U109" s="54">
        <v>120.7</v>
      </c>
    </row>
    <row r="110" spans="16:21" x14ac:dyDescent="0.3">
      <c r="P110" s="75">
        <v>45910.625</v>
      </c>
      <c r="Q110" s="54">
        <v>94.53</v>
      </c>
      <c r="R110" s="75">
        <v>45905.625</v>
      </c>
      <c r="S110" s="54">
        <v>101.19</v>
      </c>
      <c r="T110" s="125">
        <v>45919.625</v>
      </c>
      <c r="U110" s="54">
        <v>120.71</v>
      </c>
    </row>
    <row r="111" spans="16:21" x14ac:dyDescent="0.3">
      <c r="P111" s="75">
        <v>45911.625</v>
      </c>
      <c r="Q111" s="54">
        <v>92.29</v>
      </c>
      <c r="R111" s="75">
        <v>45908.625</v>
      </c>
      <c r="S111" s="54">
        <v>101.23099999999999</v>
      </c>
      <c r="T111" s="125">
        <v>45922.625</v>
      </c>
      <c r="U111" s="54">
        <v>120.61</v>
      </c>
    </row>
    <row r="112" spans="16:21" x14ac:dyDescent="0.3">
      <c r="P112" s="75">
        <v>45912.625</v>
      </c>
      <c r="Q112" s="54">
        <v>92.46</v>
      </c>
      <c r="R112" s="75">
        <v>45909.625</v>
      </c>
      <c r="S112" s="54">
        <v>101.163</v>
      </c>
      <c r="T112" s="125">
        <v>45923.625</v>
      </c>
      <c r="U112" s="54">
        <v>120.6</v>
      </c>
    </row>
    <row r="113" spans="16:21" x14ac:dyDescent="0.3">
      <c r="P113" s="75">
        <v>45915.625</v>
      </c>
      <c r="Q113" s="54">
        <v>92.46</v>
      </c>
      <c r="R113" s="75">
        <v>45910.625</v>
      </c>
      <c r="S113" s="54">
        <v>101.126</v>
      </c>
      <c r="T113" s="125">
        <v>45924.625</v>
      </c>
      <c r="U113" s="54">
        <v>120.67</v>
      </c>
    </row>
    <row r="114" spans="16:21" x14ac:dyDescent="0.3">
      <c r="P114" s="75">
        <v>45916.625</v>
      </c>
      <c r="Q114" s="54">
        <v>92.35</v>
      </c>
      <c r="R114" s="75">
        <v>45911.625</v>
      </c>
      <c r="S114" s="54">
        <v>101.012</v>
      </c>
      <c r="T114" s="125">
        <v>45925.625</v>
      </c>
      <c r="U114" s="54">
        <v>120.43</v>
      </c>
    </row>
    <row r="115" spans="16:21" x14ac:dyDescent="0.3">
      <c r="P115" s="75">
        <v>45917.625</v>
      </c>
      <c r="Q115" s="54">
        <v>92.39</v>
      </c>
      <c r="R115" s="75">
        <v>45912.625</v>
      </c>
      <c r="S115" s="54">
        <v>100.934</v>
      </c>
      <c r="T115" s="125">
        <v>45929.625</v>
      </c>
      <c r="U115" s="54">
        <v>120.76</v>
      </c>
    </row>
    <row r="116" spans="16:21" x14ac:dyDescent="0.3">
      <c r="P116" s="75">
        <v>45918.625</v>
      </c>
      <c r="Q116" s="54">
        <v>92.67</v>
      </c>
      <c r="R116" s="75">
        <v>45915.625</v>
      </c>
      <c r="S116" s="54">
        <v>100.944</v>
      </c>
      <c r="T116" s="125">
        <v>45930.625</v>
      </c>
      <c r="U116" s="54">
        <v>120.78</v>
      </c>
    </row>
    <row r="117" spans="16:21" x14ac:dyDescent="0.3">
      <c r="P117" s="75">
        <v>45919.625</v>
      </c>
      <c r="Q117" s="54">
        <v>92.67</v>
      </c>
      <c r="R117" s="75">
        <v>45916.625</v>
      </c>
      <c r="S117" s="54">
        <v>100.953</v>
      </c>
      <c r="T117" s="125">
        <v>45931.625</v>
      </c>
      <c r="U117" s="54">
        <v>120.85</v>
      </c>
    </row>
    <row r="118" spans="16:21" x14ac:dyDescent="0.3">
      <c r="P118" s="75">
        <v>45922.625</v>
      </c>
      <c r="Q118" s="54">
        <v>92.52</v>
      </c>
      <c r="R118" s="75">
        <v>45917.625</v>
      </c>
      <c r="S118" s="54">
        <v>100.971</v>
      </c>
      <c r="T118" s="125">
        <v>45932.625</v>
      </c>
      <c r="U118" s="54">
        <v>120.92</v>
      </c>
    </row>
    <row r="119" spans="16:21" x14ac:dyDescent="0.3">
      <c r="P119" s="75">
        <v>45923.625</v>
      </c>
      <c r="Q119" s="54">
        <v>92.67</v>
      </c>
      <c r="R119" s="75">
        <v>45918.625</v>
      </c>
      <c r="S119" s="54">
        <v>100.956</v>
      </c>
      <c r="T119" s="125">
        <v>45933.625</v>
      </c>
      <c r="U119" s="54">
        <v>120.97</v>
      </c>
    </row>
    <row r="120" spans="16:21" x14ac:dyDescent="0.3">
      <c r="P120" s="75">
        <v>45924.625</v>
      </c>
      <c r="Q120" s="54">
        <v>92.59</v>
      </c>
      <c r="R120" s="75">
        <v>45919.625</v>
      </c>
      <c r="S120" s="54">
        <v>100.904</v>
      </c>
      <c r="T120" s="125">
        <v>45936.625</v>
      </c>
      <c r="U120" s="54">
        <v>120.96</v>
      </c>
    </row>
    <row r="121" spans="16:21" x14ac:dyDescent="0.3">
      <c r="P121" s="75">
        <v>45925.625</v>
      </c>
      <c r="Q121" s="54">
        <v>92.45</v>
      </c>
      <c r="R121" s="75">
        <v>45922.625</v>
      </c>
      <c r="S121" s="54">
        <v>100.913</v>
      </c>
      <c r="T121" s="125">
        <v>45937.625</v>
      </c>
      <c r="U121" s="54">
        <v>120.93</v>
      </c>
    </row>
    <row r="122" spans="16:21" x14ac:dyDescent="0.3">
      <c r="P122" s="75">
        <v>45926.625</v>
      </c>
      <c r="Q122" s="54">
        <v>92.46</v>
      </c>
      <c r="R122" s="75">
        <v>45923.625</v>
      </c>
      <c r="S122" s="54">
        <v>100.883</v>
      </c>
      <c r="T122" s="125">
        <v>45938.625</v>
      </c>
      <c r="U122" s="54">
        <v>121.12</v>
      </c>
    </row>
    <row r="123" spans="16:21" x14ac:dyDescent="0.3">
      <c r="P123" s="75">
        <v>45929.625</v>
      </c>
      <c r="Q123" s="54">
        <v>92.5</v>
      </c>
      <c r="R123" s="75">
        <v>45924.625</v>
      </c>
      <c r="S123" s="54">
        <v>100.893</v>
      </c>
      <c r="T123" s="125">
        <v>45939.625</v>
      </c>
      <c r="U123" s="54">
        <v>120.99</v>
      </c>
    </row>
    <row r="124" spans="16:21" x14ac:dyDescent="0.3">
      <c r="P124" s="75">
        <v>45930.625</v>
      </c>
      <c r="Q124" s="54">
        <v>92.47</v>
      </c>
      <c r="R124" s="75">
        <v>45925.625</v>
      </c>
      <c r="S124" s="54">
        <v>100.822</v>
      </c>
      <c r="T124" s="125">
        <v>45940.625</v>
      </c>
      <c r="U124" s="54">
        <v>121</v>
      </c>
    </row>
    <row r="125" spans="16:21" x14ac:dyDescent="0.3">
      <c r="P125" s="75">
        <v>45931.625</v>
      </c>
      <c r="Q125" s="54">
        <v>92.57</v>
      </c>
      <c r="R125" s="75">
        <v>45926.625</v>
      </c>
      <c r="S125" s="54">
        <v>100.866</v>
      </c>
      <c r="T125" s="125">
        <v>45943.625</v>
      </c>
      <c r="U125" s="54">
        <v>121.1</v>
      </c>
    </row>
    <row r="126" spans="16:21" x14ac:dyDescent="0.3">
      <c r="P126" s="75">
        <v>45932.625</v>
      </c>
      <c r="Q126" s="54">
        <v>92.64</v>
      </c>
      <c r="R126" s="75">
        <v>45929.625</v>
      </c>
      <c r="S126" s="54">
        <v>100.89</v>
      </c>
      <c r="T126" s="125">
        <v>45944.625</v>
      </c>
      <c r="U126" s="54">
        <v>121.2</v>
      </c>
    </row>
    <row r="127" spans="16:21" x14ac:dyDescent="0.3">
      <c r="P127" s="75">
        <v>45933.625</v>
      </c>
      <c r="Q127" s="54">
        <v>92.6</v>
      </c>
      <c r="R127" s="75">
        <v>45930.625</v>
      </c>
      <c r="S127" s="54">
        <v>100.89400000000001</v>
      </c>
      <c r="T127" s="125">
        <v>45945.625</v>
      </c>
      <c r="U127" s="54">
        <v>121.62</v>
      </c>
    </row>
    <row r="128" spans="16:21" x14ac:dyDescent="0.3">
      <c r="P128" s="75">
        <v>45936.625</v>
      </c>
      <c r="Q128" s="54">
        <v>92.49</v>
      </c>
      <c r="R128" s="75">
        <v>45931.625</v>
      </c>
      <c r="S128" s="54">
        <v>100.92</v>
      </c>
      <c r="T128" s="125">
        <v>45946.625</v>
      </c>
      <c r="U128" s="54">
        <v>121.6</v>
      </c>
    </row>
    <row r="129" spans="16:19" x14ac:dyDescent="0.3">
      <c r="P129" s="75">
        <v>45937.625</v>
      </c>
      <c r="Q129" s="54">
        <v>92.19</v>
      </c>
      <c r="R129" s="75">
        <v>45932.625</v>
      </c>
      <c r="S129" s="54">
        <v>100.905</v>
      </c>
    </row>
    <row r="130" spans="16:19" x14ac:dyDescent="0.3">
      <c r="P130" s="75">
        <v>45938.625</v>
      </c>
      <c r="Q130" s="54">
        <v>92.12</v>
      </c>
      <c r="R130" s="75">
        <v>45933.625</v>
      </c>
      <c r="S130" s="54">
        <v>100.893</v>
      </c>
    </row>
    <row r="131" spans="16:19" x14ac:dyDescent="0.3">
      <c r="P131" s="75">
        <v>45939.625</v>
      </c>
      <c r="Q131" s="54">
        <v>92</v>
      </c>
      <c r="R131" s="75">
        <v>45936.625</v>
      </c>
      <c r="S131" s="54">
        <v>100.928</v>
      </c>
    </row>
    <row r="132" spans="16:19" x14ac:dyDescent="0.3">
      <c r="P132" s="75">
        <v>45940.625</v>
      </c>
      <c r="Q132" s="54">
        <v>91.78</v>
      </c>
      <c r="R132" s="75">
        <v>45937.625</v>
      </c>
      <c r="S132" s="54">
        <v>100.908</v>
      </c>
    </row>
    <row r="133" spans="16:19" x14ac:dyDescent="0.3">
      <c r="P133" s="75">
        <v>45943.625</v>
      </c>
      <c r="Q133" s="54">
        <v>91.79</v>
      </c>
      <c r="R133" s="75">
        <v>45938.625</v>
      </c>
      <c r="S133" s="54">
        <v>100.99299999999999</v>
      </c>
    </row>
    <row r="134" spans="16:19" x14ac:dyDescent="0.3">
      <c r="P134" s="75">
        <v>45944.625</v>
      </c>
      <c r="Q134" s="54">
        <v>91.85</v>
      </c>
      <c r="R134" s="75">
        <v>45939.625</v>
      </c>
      <c r="S134" s="54">
        <v>100.934</v>
      </c>
    </row>
    <row r="135" spans="16:19" x14ac:dyDescent="0.3">
      <c r="P135" s="75">
        <v>45945.625</v>
      </c>
      <c r="Q135" s="54">
        <v>92.38</v>
      </c>
      <c r="R135" s="75">
        <v>45940.625</v>
      </c>
      <c r="S135" s="54">
        <v>101.017</v>
      </c>
    </row>
    <row r="136" spans="16:19" x14ac:dyDescent="0.3">
      <c r="P136" s="75">
        <v>45946.625</v>
      </c>
      <c r="Q136" s="54">
        <v>92.23</v>
      </c>
      <c r="R136" s="75">
        <v>45943.625</v>
      </c>
      <c r="S136" s="54">
        <v>101.122</v>
      </c>
    </row>
    <row r="137" spans="16:19" x14ac:dyDescent="0.3">
      <c r="R137" s="75">
        <v>45944.625</v>
      </c>
      <c r="S137" s="54">
        <v>101.13800000000001</v>
      </c>
    </row>
    <row r="138" spans="16:19" x14ac:dyDescent="0.3">
      <c r="R138" s="75">
        <v>45945.625</v>
      </c>
      <c r="S138" s="54">
        <v>101.23699999999999</v>
      </c>
    </row>
    <row r="139" spans="16:19" x14ac:dyDescent="0.3">
      <c r="R139" s="75">
        <v>45946.625</v>
      </c>
      <c r="S139" s="54">
        <v>101.221</v>
      </c>
    </row>
  </sheetData>
  <mergeCells count="4">
    <mergeCell ref="B12:D12"/>
    <mergeCell ref="E12:G12"/>
    <mergeCell ref="H12:J12"/>
    <mergeCell ref="K12:M12"/>
  </mergeCells>
  <conditionalFormatting sqref="N13:N30">
    <cfRule type="cellIs" dxfId="7" priority="1" operator="lessThan">
      <formula>0</formula>
    </cfRule>
  </conditionalFormatting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9FC2E2-30FB-4041-93E7-EF55E3F5C380}">
  <dimension ref="A1:AG137"/>
  <sheetViews>
    <sheetView zoomScale="70" zoomScaleNormal="70" workbookViewId="0">
      <selection activeCell="B30" sqref="B30"/>
    </sheetView>
  </sheetViews>
  <sheetFormatPr defaultColWidth="8.88671875" defaultRowHeight="14.4" x14ac:dyDescent="0.3"/>
  <cols>
    <col min="1" max="1" width="15.44140625" style="133" bestFit="1" customWidth="1"/>
    <col min="2" max="5" width="13.33203125" style="54" bestFit="1" customWidth="1"/>
    <col min="6" max="6" width="12.44140625" style="54" customWidth="1"/>
    <col min="7" max="7" width="13.33203125" style="54" bestFit="1" customWidth="1"/>
    <col min="8" max="8" width="10.6640625" style="54" customWidth="1"/>
    <col min="9" max="9" width="13.33203125" style="54" bestFit="1" customWidth="1"/>
    <col min="10" max="10" width="11.5546875" style="54" bestFit="1" customWidth="1"/>
    <col min="11" max="11" width="10.6640625" style="54" customWidth="1"/>
    <col min="12" max="12" width="11.5546875" style="54" bestFit="1" customWidth="1"/>
    <col min="13" max="16" width="10.6640625" style="54" customWidth="1"/>
    <col min="17" max="17" width="13.88671875" style="54" bestFit="1" customWidth="1"/>
    <col min="18" max="18" width="11.5546875" style="54" bestFit="1" customWidth="1"/>
    <col min="19" max="20" width="13.33203125" style="54" bestFit="1" customWidth="1"/>
    <col min="21" max="21" width="9.109375"/>
    <col min="22" max="22" width="17.109375" style="75" customWidth="1"/>
    <col min="23" max="23" width="7.77734375" style="54" customWidth="1"/>
    <col min="24" max="24" width="11.5546875" style="75" customWidth="1"/>
    <col min="25" max="25" width="13.33203125" style="54" customWidth="1"/>
    <col min="26" max="26" width="11.5546875" style="75" customWidth="1"/>
    <col min="27" max="27" width="8.88671875" style="54" customWidth="1"/>
    <col min="28" max="28" width="11.5546875" style="75" customWidth="1"/>
    <col min="29" max="29" width="13.33203125" style="54" customWidth="1"/>
    <col min="30" max="30" width="11.5546875" style="75" customWidth="1"/>
    <col min="31" max="31" width="12.21875" style="54" customWidth="1"/>
    <col min="32" max="32" width="11.5546875" style="75" customWidth="1"/>
    <col min="33" max="33" width="12.21875" style="54" customWidth="1"/>
    <col min="34" max="16384" width="8.88671875" style="54"/>
  </cols>
  <sheetData>
    <row r="1" spans="1:33" ht="15" thickBot="1" x14ac:dyDescent="0.35">
      <c r="A1" s="1"/>
      <c r="B1" s="1"/>
      <c r="C1" s="1"/>
      <c r="D1" s="1"/>
      <c r="E1" s="1"/>
      <c r="F1" s="1"/>
      <c r="G1" s="1"/>
      <c r="I1" s="119" t="s">
        <v>100</v>
      </c>
      <c r="J1" s="120">
        <v>0.625</v>
      </c>
      <c r="V1" s="53"/>
      <c r="W1" s="1"/>
      <c r="X1" s="53"/>
      <c r="Y1" s="1"/>
      <c r="Z1" s="53"/>
      <c r="AA1" s="1"/>
      <c r="AB1" s="53"/>
      <c r="AC1" s="1"/>
      <c r="AD1" s="53"/>
      <c r="AE1" s="1"/>
      <c r="AF1" s="53"/>
    </row>
    <row r="2" spans="1:33" ht="15" thickBot="1" x14ac:dyDescent="0.35">
      <c r="A2" s="30"/>
      <c r="B2" s="40" t="s">
        <v>0</v>
      </c>
      <c r="C2" s="44" t="s">
        <v>1</v>
      </c>
      <c r="D2" s="71" t="s">
        <v>1</v>
      </c>
      <c r="E2" s="77" t="s">
        <v>0</v>
      </c>
      <c r="F2" s="71" t="s">
        <v>0</v>
      </c>
      <c r="G2" s="72" t="s">
        <v>0</v>
      </c>
      <c r="V2" s="102" t="s">
        <v>0</v>
      </c>
      <c r="W2" s="1"/>
      <c r="X2" s="103" t="s">
        <v>1</v>
      </c>
      <c r="Y2" s="2"/>
      <c r="Z2" s="104" t="s">
        <v>1</v>
      </c>
      <c r="AA2" s="1"/>
      <c r="AB2" s="105" t="s">
        <v>0</v>
      </c>
      <c r="AD2" s="106" t="s">
        <v>0</v>
      </c>
      <c r="AF2" s="101" t="s">
        <v>0</v>
      </c>
    </row>
    <row r="3" spans="1:33" x14ac:dyDescent="0.3">
      <c r="A3" s="15" t="s">
        <v>32</v>
      </c>
      <c r="B3" s="64" t="s">
        <v>64</v>
      </c>
      <c r="C3" s="73" t="s">
        <v>66</v>
      </c>
      <c r="D3" s="73" t="s">
        <v>67</v>
      </c>
      <c r="E3" s="73" t="s">
        <v>66</v>
      </c>
      <c r="F3" s="73" t="s">
        <v>68</v>
      </c>
      <c r="G3" s="65" t="s">
        <v>69</v>
      </c>
      <c r="I3" s="94" t="s">
        <v>80</v>
      </c>
      <c r="J3" s="86" t="s">
        <v>64</v>
      </c>
      <c r="K3" s="87" t="s">
        <v>67</v>
      </c>
      <c r="V3" s="52" cm="1">
        <f t="array" ref="V3:W137">_xll.BDH(B4, "LAST_PRICE", "01/01/2025 15:00:00", "01/01/2035 16:00:00", "BarSize=60", "BarType=T", "RecurDaily=True", "TZ=New_York")</f>
        <v>45751.625</v>
      </c>
      <c r="W3" s="1">
        <v>76.8</v>
      </c>
      <c r="X3" s="52" cm="1">
        <f t="array" ref="X3:Y39">_xll.BDH(C4, "LAST_PRICE", "01/01/2025 15:00:00", "01/01/2035 16:00:00", "BarSize=60", "BarType=T", "RecurDaily=True", "TZ=New_York")</f>
        <v>45896.625</v>
      </c>
      <c r="Y3" s="46">
        <v>99.6484375</v>
      </c>
      <c r="Z3" s="52" cm="1">
        <f t="array" ref="Z3:AA137">_xll.BDH(D4, "LAST_PRICE", "01/01/2025 15:00:00", "01/01/2035 16:00:00", "BarSize=60", "BarType=T", "RecurDaily=True", "TZ=New_York")</f>
        <v>45751.625</v>
      </c>
      <c r="AA3" s="1">
        <v>108.78</v>
      </c>
      <c r="AB3" s="52" cm="1">
        <f t="array" ref="AB3:AC39">_xll.BDH(E4, "LAST_PRICE", "01/01/2025 15:00:00", "01/01/2035 16:00:00", "BarSize=60", "BarType=T", "RecurDaily=True", "TZ=New_York")</f>
        <v>45896.625</v>
      </c>
      <c r="AC3" s="54">
        <v>99.6484375</v>
      </c>
      <c r="AD3" s="52" cm="1">
        <f t="array" ref="AD3:AE54">_xll.BDH(F4, "LAST_PRICE", "01/01/2025 15:00:00", "01/01/2035 16:00:00", "BarSize=60", "BarType=T", "RecurDaily=True", "TZ=New_York")</f>
        <v>45875.625</v>
      </c>
      <c r="AE3" s="54">
        <v>100.140625</v>
      </c>
      <c r="AF3" s="52" cm="1">
        <f t="array" ref="AF3:AG53">_xll.BDH(G4, "LAST_PRICE", "01/01/2025 15:00:00", "01/01/2035 16:00:00", "BarSize=60", "BarType=T", "RecurDaily=True", "TZ=New_York")</f>
        <v>45876.625</v>
      </c>
      <c r="AG3" s="54">
        <v>98.9375</v>
      </c>
    </row>
    <row r="4" spans="1:33" ht="32.25" customHeight="1" thickBot="1" x14ac:dyDescent="0.35">
      <c r="A4" s="15" t="s">
        <v>33</v>
      </c>
      <c r="B4" s="66" t="s">
        <v>65</v>
      </c>
      <c r="C4" s="41" t="s">
        <v>73</v>
      </c>
      <c r="D4" s="41" t="s">
        <v>70</v>
      </c>
      <c r="E4" s="41" t="s">
        <v>73</v>
      </c>
      <c r="F4" s="41" t="s">
        <v>72</v>
      </c>
      <c r="G4" s="42" t="s">
        <v>71</v>
      </c>
      <c r="I4" s="88"/>
      <c r="J4" s="89">
        <f>B5/B14</f>
        <v>431220.35360068991</v>
      </c>
      <c r="K4" s="90">
        <f>D5/H14</f>
        <v>320241.96059244761</v>
      </c>
      <c r="V4" s="75">
        <v>45754.625</v>
      </c>
      <c r="W4" s="54">
        <v>76.099999999999994</v>
      </c>
      <c r="X4" s="75">
        <v>45897.625</v>
      </c>
      <c r="Y4" s="54">
        <v>99.6953125</v>
      </c>
      <c r="Z4" s="75">
        <v>45754.625</v>
      </c>
      <c r="AA4" s="54">
        <v>106.66</v>
      </c>
      <c r="AB4" s="75">
        <v>45897.625</v>
      </c>
      <c r="AC4" s="54">
        <v>99.6953125</v>
      </c>
      <c r="AD4" s="75">
        <v>45876.625</v>
      </c>
      <c r="AE4" s="54">
        <v>100.0625</v>
      </c>
      <c r="AF4" s="75">
        <v>45877.625</v>
      </c>
      <c r="AG4" s="54">
        <v>98.4375</v>
      </c>
    </row>
    <row r="5" spans="1:33" ht="15" thickBot="1" x14ac:dyDescent="0.35">
      <c r="A5" s="15" t="s">
        <v>8</v>
      </c>
      <c r="B5" s="67">
        <f>35*10^6</f>
        <v>35000000</v>
      </c>
      <c r="C5" s="7">
        <f>19.5*10^6</f>
        <v>19500000</v>
      </c>
      <c r="D5" s="7">
        <f>36*10^6</f>
        <v>36000000</v>
      </c>
      <c r="E5" s="7">
        <f>17*10^6</f>
        <v>17000000</v>
      </c>
      <c r="F5" s="7">
        <f>7.5*10^6</f>
        <v>7500000</v>
      </c>
      <c r="G5" s="8">
        <f>10.5*10^6</f>
        <v>10500000</v>
      </c>
      <c r="I5" s="53"/>
      <c r="J5" s="1"/>
      <c r="K5" s="53"/>
      <c r="V5" s="75">
        <v>45755.625</v>
      </c>
      <c r="W5" s="54">
        <v>75.75</v>
      </c>
      <c r="X5" s="75">
        <v>45898.625</v>
      </c>
      <c r="Y5" s="54">
        <v>99.703125</v>
      </c>
      <c r="Z5" s="75">
        <v>45755.625</v>
      </c>
      <c r="AA5" s="54">
        <v>105.31</v>
      </c>
      <c r="AB5" s="75">
        <v>45898.625</v>
      </c>
      <c r="AC5" s="54">
        <v>99.703125</v>
      </c>
      <c r="AD5" s="75">
        <v>45877.625</v>
      </c>
      <c r="AE5" s="54">
        <v>99.734375</v>
      </c>
      <c r="AF5" s="75">
        <v>45880.625</v>
      </c>
      <c r="AG5" s="54">
        <v>98.53125</v>
      </c>
    </row>
    <row r="6" spans="1:33" x14ac:dyDescent="0.3">
      <c r="A6" s="15" t="s">
        <v>10</v>
      </c>
      <c r="B6" s="69">
        <v>0</v>
      </c>
      <c r="C6" s="74">
        <f>(3+5/8)*0.01</f>
        <v>3.6249999999999998E-2</v>
      </c>
      <c r="D6" s="74">
        <v>0</v>
      </c>
      <c r="E6" s="74">
        <f>(3+5/8)*0.01</f>
        <v>3.6249999999999998E-2</v>
      </c>
      <c r="F6" s="74">
        <v>4.2500000000000003E-2</v>
      </c>
      <c r="G6" s="10">
        <v>4.7500000000000001E-2</v>
      </c>
      <c r="I6" s="95" t="s">
        <v>79</v>
      </c>
      <c r="J6" s="73" t="s">
        <v>64</v>
      </c>
      <c r="K6" s="91" t="s">
        <v>67</v>
      </c>
      <c r="V6" s="75">
        <v>45756.625</v>
      </c>
      <c r="W6" s="54">
        <v>77.78</v>
      </c>
      <c r="X6" s="75">
        <v>45901.625</v>
      </c>
      <c r="Y6" s="54">
        <v>99.6796875</v>
      </c>
      <c r="Z6" s="75">
        <v>45756.625</v>
      </c>
      <c r="AA6" s="54">
        <v>107.07</v>
      </c>
      <c r="AB6" s="75">
        <v>45901.625</v>
      </c>
      <c r="AC6" s="54">
        <v>99.6796875</v>
      </c>
      <c r="AD6" s="75">
        <v>45880.625</v>
      </c>
      <c r="AE6" s="54">
        <v>99.8125</v>
      </c>
      <c r="AF6" s="75">
        <v>45881.625</v>
      </c>
      <c r="AG6" s="54">
        <v>98</v>
      </c>
    </row>
    <row r="7" spans="1:33" ht="15" thickBot="1" x14ac:dyDescent="0.35">
      <c r="A7" s="15" t="s">
        <v>12</v>
      </c>
      <c r="B7" s="69">
        <v>4.2299999999999997E-2</v>
      </c>
      <c r="C7" s="74">
        <v>4.2299999999999997E-2</v>
      </c>
      <c r="D7" s="74">
        <v>4.2299999999999997E-2</v>
      </c>
      <c r="E7" s="74">
        <v>4.2299999999999997E-2</v>
      </c>
      <c r="F7" s="74">
        <v>4.2299999999999997E-2</v>
      </c>
      <c r="G7" s="10">
        <v>4.2299999999999997E-2</v>
      </c>
      <c r="I7" s="79"/>
      <c r="J7" s="21">
        <v>0.38100000000000001</v>
      </c>
      <c r="K7" s="92">
        <v>0.40600000000000003</v>
      </c>
      <c r="L7" s="1"/>
      <c r="P7" s="1"/>
      <c r="T7" s="1"/>
      <c r="V7" s="75">
        <v>45757.625</v>
      </c>
      <c r="W7" s="54">
        <v>76.510000000000005</v>
      </c>
      <c r="X7" s="75">
        <v>45902.625</v>
      </c>
      <c r="Y7" s="54">
        <v>99.53125</v>
      </c>
      <c r="Z7" s="75">
        <v>45757.625</v>
      </c>
      <c r="AA7" s="54">
        <v>105.25</v>
      </c>
      <c r="AB7" s="75">
        <v>45902.625</v>
      </c>
      <c r="AC7" s="54">
        <v>99.53125</v>
      </c>
      <c r="AD7" s="75">
        <v>45881.625</v>
      </c>
      <c r="AE7" s="54">
        <v>99.6875</v>
      </c>
      <c r="AF7" s="75">
        <v>45882.625</v>
      </c>
      <c r="AG7" s="54">
        <v>98.796875</v>
      </c>
    </row>
    <row r="8" spans="1:33" ht="15" thickBot="1" x14ac:dyDescent="0.35">
      <c r="A8" s="15" t="s">
        <v>14</v>
      </c>
      <c r="B8" s="4" t="s">
        <v>23</v>
      </c>
      <c r="C8" s="1" t="s">
        <v>23</v>
      </c>
      <c r="D8" s="1" t="s">
        <v>23</v>
      </c>
      <c r="E8" s="1" t="s">
        <v>23</v>
      </c>
      <c r="F8" s="1" t="s">
        <v>23</v>
      </c>
      <c r="G8" s="5" t="s">
        <v>23</v>
      </c>
      <c r="I8" s="53"/>
      <c r="J8" s="1"/>
      <c r="K8" s="53"/>
      <c r="L8" s="1"/>
      <c r="P8" s="1"/>
      <c r="T8" s="1"/>
      <c r="V8" s="75">
        <v>45758.625</v>
      </c>
      <c r="W8" s="54">
        <v>76.739999999999995</v>
      </c>
      <c r="X8" s="75">
        <v>45903.625</v>
      </c>
      <c r="Y8" s="54">
        <v>99.6796875</v>
      </c>
      <c r="Z8" s="75">
        <v>45758.625</v>
      </c>
      <c r="AA8" s="54">
        <v>105.23</v>
      </c>
      <c r="AB8" s="75">
        <v>45903.625</v>
      </c>
      <c r="AC8" s="54">
        <v>99.6796875</v>
      </c>
      <c r="AD8" s="75">
        <v>45882.625</v>
      </c>
      <c r="AE8" s="54">
        <v>100.125</v>
      </c>
      <c r="AF8" s="75">
        <v>45883.625</v>
      </c>
      <c r="AG8" s="54">
        <v>98.03125</v>
      </c>
    </row>
    <row r="9" spans="1:33" ht="15" thickBot="1" x14ac:dyDescent="0.35">
      <c r="A9" s="15" t="s">
        <v>15</v>
      </c>
      <c r="B9" s="4" t="s">
        <v>23</v>
      </c>
      <c r="C9" s="1" t="s">
        <v>23</v>
      </c>
      <c r="D9" s="1"/>
      <c r="E9" s="1"/>
      <c r="F9" s="1"/>
      <c r="G9" s="5" t="s">
        <v>23</v>
      </c>
      <c r="I9" s="96" t="s">
        <v>81</v>
      </c>
      <c r="J9" s="93">
        <f>J4*J7-K4*K7</f>
        <v>34276.718721329118</v>
      </c>
      <c r="K9" s="53"/>
      <c r="L9" s="1"/>
      <c r="P9" s="1"/>
      <c r="Q9" s="53"/>
      <c r="R9" s="1"/>
      <c r="S9" s="53"/>
      <c r="T9" s="1"/>
      <c r="V9" s="75">
        <v>45761.625</v>
      </c>
      <c r="W9" s="54">
        <v>77.12</v>
      </c>
      <c r="X9" s="75">
        <v>45904.625</v>
      </c>
      <c r="Y9" s="54">
        <v>99.9140625</v>
      </c>
      <c r="Z9" s="75">
        <v>45761.625</v>
      </c>
      <c r="AA9" s="54">
        <v>105.89</v>
      </c>
      <c r="AB9" s="75">
        <v>45904.625</v>
      </c>
      <c r="AC9" s="54">
        <v>99.9140625</v>
      </c>
      <c r="AD9" s="75">
        <v>45883.625</v>
      </c>
      <c r="AE9" s="54">
        <v>99.703125</v>
      </c>
      <c r="AF9" s="75">
        <v>45884.625</v>
      </c>
      <c r="AG9" s="54">
        <v>97.375</v>
      </c>
    </row>
    <row r="10" spans="1:33" ht="15" thickBot="1" x14ac:dyDescent="0.35">
      <c r="A10" s="16" t="s">
        <v>28</v>
      </c>
      <c r="B10" s="11" cm="1">
        <f t="array" ref="B10">_xll.BDP(B4,"px_last")</f>
        <v>80.510000000000005</v>
      </c>
      <c r="C10" s="21" cm="1">
        <f t="array" ref="C10">_xll.BDP(C4,"px_last")</f>
        <v>100.2578125</v>
      </c>
      <c r="D10" s="21" cm="1">
        <f t="array" ref="D10">_xll.BDP(D4,"px_last")</f>
        <v>112.42</v>
      </c>
      <c r="E10" s="21" cm="1">
        <f t="array" ref="E10">_xll.BDP(E4,"px_last")</f>
        <v>100.2578125</v>
      </c>
      <c r="F10" s="21" cm="1">
        <f t="array" ref="F10">_xll.BDP(F4,"px_last")</f>
        <v>102.078125</v>
      </c>
      <c r="G10" s="22" cm="1">
        <f t="array" ref="G10">_xll.BDP(G4,"px_last")</f>
        <v>102.4375</v>
      </c>
      <c r="H10" s="1"/>
      <c r="I10" s="53"/>
      <c r="J10" s="1"/>
      <c r="K10" s="53"/>
      <c r="L10" s="1"/>
      <c r="M10" s="53"/>
      <c r="N10" s="1"/>
      <c r="O10" s="53"/>
      <c r="P10" s="1"/>
      <c r="Q10" s="53"/>
      <c r="R10" s="1"/>
      <c r="S10" s="53"/>
      <c r="T10" s="1"/>
      <c r="V10" s="75">
        <v>45762.625</v>
      </c>
      <c r="W10" s="54">
        <v>77.33</v>
      </c>
      <c r="X10" s="75">
        <v>45905.625</v>
      </c>
      <c r="Y10" s="54">
        <v>100.1328125</v>
      </c>
      <c r="Z10" s="75">
        <v>45762.625</v>
      </c>
      <c r="AA10" s="54">
        <v>106.45</v>
      </c>
      <c r="AB10" s="75">
        <v>45905.625</v>
      </c>
      <c r="AC10" s="54">
        <v>100.1328125</v>
      </c>
      <c r="AD10" s="75">
        <v>45884.625</v>
      </c>
      <c r="AE10" s="54">
        <v>99.4375</v>
      </c>
      <c r="AF10" s="75">
        <v>45887.625</v>
      </c>
      <c r="AG10" s="54">
        <v>97.078125</v>
      </c>
    </row>
    <row r="11" spans="1:33" ht="15" thickBot="1" x14ac:dyDescent="0.35">
      <c r="A11" s="54"/>
      <c r="C11" s="1"/>
      <c r="D11" s="1"/>
      <c r="E11" s="1"/>
      <c r="F11" s="1"/>
      <c r="G11" s="1"/>
      <c r="H11" s="1"/>
      <c r="I11" s="53"/>
      <c r="J11" s="1"/>
      <c r="K11" s="53"/>
      <c r="L11" s="1"/>
      <c r="M11" s="53"/>
      <c r="N11" s="1"/>
      <c r="O11" s="53"/>
      <c r="P11" s="1"/>
      <c r="Q11" s="53"/>
      <c r="R11" s="1"/>
      <c r="S11" s="53"/>
      <c r="T11" s="1"/>
      <c r="V11" s="75">
        <v>45763.625</v>
      </c>
      <c r="W11" s="54">
        <v>77.319999999999993</v>
      </c>
      <c r="X11" s="75">
        <v>45908.625</v>
      </c>
      <c r="Y11" s="54">
        <v>100.265625</v>
      </c>
      <c r="Z11" s="75">
        <v>45763.625</v>
      </c>
      <c r="AA11" s="54">
        <v>106.9</v>
      </c>
      <c r="AB11" s="75">
        <v>45908.625</v>
      </c>
      <c r="AC11" s="54">
        <v>100.265625</v>
      </c>
      <c r="AD11" s="75">
        <v>45887.625</v>
      </c>
      <c r="AE11" s="54">
        <v>99.3125</v>
      </c>
      <c r="AF11" s="75">
        <v>45888.625</v>
      </c>
      <c r="AG11" s="54">
        <v>97.640625</v>
      </c>
    </row>
    <row r="12" spans="1:33" ht="15" thickBot="1" x14ac:dyDescent="0.35">
      <c r="A12" s="39" t="s">
        <v>22</v>
      </c>
      <c r="B12" s="135" t="s">
        <v>0</v>
      </c>
      <c r="C12" s="136"/>
      <c r="D12" s="136"/>
      <c r="E12" s="141" t="s">
        <v>1</v>
      </c>
      <c r="F12" s="142"/>
      <c r="G12" s="143"/>
      <c r="H12" s="138" t="s">
        <v>1</v>
      </c>
      <c r="I12" s="149"/>
      <c r="J12" s="140"/>
      <c r="K12" s="150" t="s">
        <v>0</v>
      </c>
      <c r="L12" s="151"/>
      <c r="M12" s="152"/>
      <c r="N12" s="138" t="s">
        <v>0</v>
      </c>
      <c r="O12" s="149"/>
      <c r="P12" s="140"/>
      <c r="Q12" s="147" t="s">
        <v>0</v>
      </c>
      <c r="R12" s="145"/>
      <c r="S12" s="148"/>
      <c r="T12" s="39" t="s">
        <v>16</v>
      </c>
      <c r="V12" s="75">
        <v>45764.625</v>
      </c>
      <c r="W12" s="54">
        <v>77.77</v>
      </c>
      <c r="X12" s="75">
        <v>45909.625</v>
      </c>
      <c r="Y12" s="54">
        <v>100.09375</v>
      </c>
      <c r="Z12" s="75">
        <v>45764.625</v>
      </c>
      <c r="AA12" s="54">
        <v>106.75</v>
      </c>
      <c r="AB12" s="75">
        <v>45909.625</v>
      </c>
      <c r="AC12" s="54">
        <v>100.09375</v>
      </c>
      <c r="AD12" s="75">
        <v>45888.625</v>
      </c>
      <c r="AE12" s="54">
        <v>99.59375</v>
      </c>
      <c r="AF12" s="75">
        <v>45889.625</v>
      </c>
      <c r="AG12" s="54">
        <v>97.796875</v>
      </c>
    </row>
    <row r="13" spans="1:33" ht="15" thickBot="1" x14ac:dyDescent="0.35">
      <c r="A13" s="16"/>
      <c r="B13" s="11" t="s">
        <v>17</v>
      </c>
      <c r="C13" s="21" t="s">
        <v>21</v>
      </c>
      <c r="D13" s="21" t="s">
        <v>20</v>
      </c>
      <c r="E13" s="11" t="s">
        <v>17</v>
      </c>
      <c r="F13" s="21" t="s">
        <v>21</v>
      </c>
      <c r="G13" s="22" t="s">
        <v>20</v>
      </c>
      <c r="H13" s="11" t="s">
        <v>17</v>
      </c>
      <c r="I13" s="78" t="s">
        <v>21</v>
      </c>
      <c r="J13" s="22" t="s">
        <v>20</v>
      </c>
      <c r="K13" s="79" t="s">
        <v>17</v>
      </c>
      <c r="L13" s="21" t="s">
        <v>21</v>
      </c>
      <c r="M13" s="80" t="s">
        <v>20</v>
      </c>
      <c r="N13" s="11" t="s">
        <v>17</v>
      </c>
      <c r="O13" s="78" t="s">
        <v>21</v>
      </c>
      <c r="P13" s="22" t="s">
        <v>20</v>
      </c>
      <c r="Q13" s="79" t="s">
        <v>17</v>
      </c>
      <c r="R13" s="21" t="s">
        <v>21</v>
      </c>
      <c r="S13" s="80" t="s">
        <v>20</v>
      </c>
      <c r="T13" s="99"/>
      <c r="V13" s="75">
        <v>45768.625</v>
      </c>
      <c r="W13" s="54">
        <v>77.31</v>
      </c>
      <c r="X13" s="75">
        <v>45910.625</v>
      </c>
      <c r="Y13" s="54">
        <v>100.1640625</v>
      </c>
      <c r="Z13" s="75">
        <v>45768.625</v>
      </c>
      <c r="AA13" s="54">
        <v>105.6</v>
      </c>
      <c r="AB13" s="75">
        <v>45910.625</v>
      </c>
      <c r="AC13" s="54">
        <v>100.1640625</v>
      </c>
      <c r="AD13" s="75">
        <v>45889.625</v>
      </c>
      <c r="AE13" s="54">
        <v>99.71875</v>
      </c>
      <c r="AF13" s="75">
        <v>45890.625</v>
      </c>
      <c r="AG13" s="54">
        <v>97.328125</v>
      </c>
    </row>
    <row r="14" spans="1:33" x14ac:dyDescent="0.3">
      <c r="A14" s="131">
        <v>45915</v>
      </c>
      <c r="B14" s="45">
        <v>81.165000000000006</v>
      </c>
      <c r="C14" s="46"/>
      <c r="D14" s="46"/>
      <c r="E14" s="45">
        <f>100+3/32+3/4*1/32</f>
        <v>100.1171875</v>
      </c>
      <c r="F14" s="46"/>
      <c r="G14" s="47"/>
      <c r="H14" s="45">
        <v>112.41500000000001</v>
      </c>
      <c r="I14" s="46"/>
      <c r="J14" s="47"/>
      <c r="K14" s="45">
        <f>100+3/32+3/4*1/32</f>
        <v>100.1171875</v>
      </c>
      <c r="L14" s="46"/>
      <c r="M14" s="47"/>
      <c r="N14" s="45">
        <f>101+24/32+3/4*1/32</f>
        <v>101.7734375</v>
      </c>
      <c r="O14" s="46"/>
      <c r="P14" s="47"/>
      <c r="Q14" s="45">
        <f>101+20/32+3/4*1/32</f>
        <v>101.6484375</v>
      </c>
      <c r="R14" s="46"/>
      <c r="S14" s="47"/>
      <c r="T14" s="82">
        <v>0</v>
      </c>
      <c r="V14" s="75">
        <v>45769.625</v>
      </c>
      <c r="W14" s="54">
        <v>77.61</v>
      </c>
      <c r="X14" s="75">
        <v>45911.625</v>
      </c>
      <c r="Y14" s="54">
        <v>100.1640625</v>
      </c>
      <c r="Z14" s="75">
        <v>45769.625</v>
      </c>
      <c r="AA14" s="54">
        <v>105.86</v>
      </c>
      <c r="AB14" s="75">
        <v>45911.625</v>
      </c>
      <c r="AC14" s="54">
        <v>100.1640625</v>
      </c>
      <c r="AD14" s="75">
        <v>45890.625</v>
      </c>
      <c r="AE14" s="54">
        <v>99.390625</v>
      </c>
      <c r="AF14" s="75">
        <v>45891.625</v>
      </c>
      <c r="AG14" s="54">
        <v>97.953125</v>
      </c>
    </row>
    <row r="15" spans="1:33" x14ac:dyDescent="0.3">
      <c r="A15" s="131">
        <v>45916</v>
      </c>
      <c r="B15" s="45">
        <f t="shared" ref="B15:B36" si="0">VLOOKUP($A15+$J$1,V:W,2)</f>
        <v>81.13</v>
      </c>
      <c r="C15" s="46">
        <f t="shared" ref="C15:C35" si="1">(B15/$B$14-1)*$B$5</f>
        <v>-15092.712376026941</v>
      </c>
      <c r="D15" s="46">
        <f t="shared" ref="D15:D36" si="2">-1*(A15-$A$14)/360*$B$7*$B$5</f>
        <v>-4112.5</v>
      </c>
      <c r="E15" s="45">
        <f t="shared" ref="E15:E36" si="3">VLOOKUP($A15+$J$1,X:Y,2)</f>
        <v>100.15625</v>
      </c>
      <c r="F15" s="46">
        <f t="shared" ref="F15:F35" si="4">(E15-$E$14)/100*$C$5</f>
        <v>7617.1875</v>
      </c>
      <c r="G15" s="47">
        <f t="shared" ref="G15:G36" si="5">(A15-$A$14)/360*$C$6*$C$5-(A15-$A$14)/360*$C$7*$C$5*$E$14/100</f>
        <v>-330.39339192708326</v>
      </c>
      <c r="H15" s="45">
        <f t="shared" ref="H15:H36" si="6">VLOOKUP($A15+$J$1,Z:AA,2)</f>
        <v>112.26</v>
      </c>
      <c r="I15" s="46">
        <f t="shared" ref="I15:I35" si="7">(H15/$H$14-1)*$D$5</f>
        <v>-49637.503891829307</v>
      </c>
      <c r="J15" s="47">
        <f t="shared" ref="J15:J36" si="8">-1*(A15-$A$14)/360*$D$7*$D$5</f>
        <v>-4230</v>
      </c>
      <c r="K15" s="45">
        <f t="shared" ref="K15:K36" si="9">VLOOKUP($A15+$J$1,AB:AC,2)</f>
        <v>100.15625</v>
      </c>
      <c r="L15" s="46">
        <f t="shared" ref="L15:L35" si="10">(K15-$K$14)/100*$E$5</f>
        <v>6640.625</v>
      </c>
      <c r="M15" s="47">
        <f t="shared" ref="M15:M36" si="11">(A15-$A$14)/360*$E$6*$E$5-(A15-$A$14)/360*$E$7*$E$5*$N$14/100</f>
        <v>-321.11885850694443</v>
      </c>
      <c r="N15" s="45">
        <f t="shared" ref="N15:N36" si="12">VLOOKUP($A15+$J$1,AD:AE,2)</f>
        <v>101.765625</v>
      </c>
      <c r="O15" s="46">
        <f t="shared" ref="O15:O35" si="13">(N15-$N$14)/100*$F$5</f>
        <v>-585.9375</v>
      </c>
      <c r="P15" s="47">
        <f t="shared" ref="P15:P36" si="14">(A15-$A$14)/360*$F$6*$F$5-(A15-$A$14)/360*$F$7*$F$5*$N$14/100</f>
        <v>-11.461751302083258</v>
      </c>
      <c r="Q15" s="45">
        <f t="shared" ref="Q15:Q36" si="15">VLOOKUP($A15+$J$1,AF:AG,2)</f>
        <v>101.578125</v>
      </c>
      <c r="R15" s="46">
        <f t="shared" ref="R15:R35" si="16">(Q15-$Q$14)/100*$G$5</f>
        <v>-7382.8125</v>
      </c>
      <c r="S15" s="47">
        <f t="shared" ref="S15:S36" si="17">(A15-$A$14)/360*$G$6*$G$5-(A15-$A$14)/360*$G$7*$G$5*$Q$14/100</f>
        <v>131.32906901041679</v>
      </c>
      <c r="T15" s="82">
        <f>C15+D15-F15-G15-I15-J15+L15+M15+O15+P15+R15+S15</f>
        <v>25846.120866930833</v>
      </c>
      <c r="V15" s="75">
        <v>45770.625</v>
      </c>
      <c r="W15" s="54">
        <v>78</v>
      </c>
      <c r="X15" s="75">
        <v>45912.625</v>
      </c>
      <c r="Y15" s="54">
        <v>99.9921875</v>
      </c>
      <c r="Z15" s="75">
        <v>45770.625</v>
      </c>
      <c r="AA15" s="54">
        <v>106.33</v>
      </c>
      <c r="AB15" s="75">
        <v>45912.625</v>
      </c>
      <c r="AC15" s="54">
        <v>99.9921875</v>
      </c>
      <c r="AD15" s="75">
        <v>45891.625</v>
      </c>
      <c r="AE15" s="54">
        <v>99.953125</v>
      </c>
      <c r="AF15" s="75">
        <v>45894.625</v>
      </c>
      <c r="AG15" s="54">
        <v>97.71875</v>
      </c>
    </row>
    <row r="16" spans="1:33" x14ac:dyDescent="0.3">
      <c r="A16" s="131">
        <v>45917</v>
      </c>
      <c r="B16" s="45">
        <f t="shared" si="0"/>
        <v>81.05</v>
      </c>
      <c r="C16" s="46">
        <f t="shared" si="1"/>
        <v>-49590.340664082411</v>
      </c>
      <c r="D16" s="46">
        <f t="shared" si="2"/>
        <v>-8225</v>
      </c>
      <c r="E16" s="45">
        <f t="shared" si="3"/>
        <v>99.953125</v>
      </c>
      <c r="F16" s="46">
        <f t="shared" si="4"/>
        <v>-31992.1875</v>
      </c>
      <c r="G16" s="47">
        <f t="shared" si="5"/>
        <v>-660.78678385416652</v>
      </c>
      <c r="H16" s="45">
        <f t="shared" si="6"/>
        <v>112.06</v>
      </c>
      <c r="I16" s="46">
        <f t="shared" si="7"/>
        <v>-113685.8960103213</v>
      </c>
      <c r="J16" s="47">
        <f t="shared" si="8"/>
        <v>-8460</v>
      </c>
      <c r="K16" s="45">
        <f t="shared" si="9"/>
        <v>99.953125</v>
      </c>
      <c r="L16" s="46">
        <f t="shared" si="10"/>
        <v>-27890.625</v>
      </c>
      <c r="M16" s="47">
        <f t="shared" si="11"/>
        <v>-642.23771701388887</v>
      </c>
      <c r="N16" s="45">
        <f t="shared" si="12"/>
        <v>101.5</v>
      </c>
      <c r="O16" s="46">
        <f t="shared" si="13"/>
        <v>-20507.8125</v>
      </c>
      <c r="P16" s="47">
        <f t="shared" si="14"/>
        <v>-22.923502604166515</v>
      </c>
      <c r="Q16" s="45">
        <f t="shared" si="15"/>
        <v>101.375</v>
      </c>
      <c r="R16" s="46">
        <f t="shared" si="16"/>
        <v>-28710.937499999996</v>
      </c>
      <c r="S16" s="47">
        <f t="shared" si="17"/>
        <v>262.65813802083358</v>
      </c>
      <c r="T16" s="82">
        <f t="shared" ref="T16:T25" si="18">C16+D16-F16-G16-I16-J16+L16+M16+O16+P16+R16+S16</f>
        <v>19471.651548495844</v>
      </c>
      <c r="V16" s="75">
        <v>45771.625</v>
      </c>
      <c r="W16" s="54">
        <v>78.62</v>
      </c>
      <c r="X16" s="75">
        <v>45915.625</v>
      </c>
      <c r="Y16" s="54">
        <v>100.09375</v>
      </c>
      <c r="Z16" s="75">
        <v>45771.625</v>
      </c>
      <c r="AA16" s="54">
        <v>107.38</v>
      </c>
      <c r="AB16" s="75">
        <v>45915.625</v>
      </c>
      <c r="AC16" s="54">
        <v>100.09375</v>
      </c>
      <c r="AD16" s="75">
        <v>45894.625</v>
      </c>
      <c r="AE16" s="54">
        <v>99.765625</v>
      </c>
      <c r="AF16" s="75">
        <v>45895.625</v>
      </c>
      <c r="AG16" s="54">
        <v>97.59375</v>
      </c>
    </row>
    <row r="17" spans="1:33" x14ac:dyDescent="0.3">
      <c r="A17" s="131">
        <v>45918</v>
      </c>
      <c r="B17" s="45">
        <f t="shared" si="0"/>
        <v>81.23</v>
      </c>
      <c r="C17" s="46">
        <f t="shared" si="1"/>
        <v>28029.322984043371</v>
      </c>
      <c r="D17" s="46">
        <f t="shared" si="2"/>
        <v>-12337.499999999998</v>
      </c>
      <c r="E17" s="45">
        <f t="shared" si="3"/>
        <v>99.7890625</v>
      </c>
      <c r="F17" s="46">
        <f t="shared" si="4"/>
        <v>-63984.375</v>
      </c>
      <c r="G17" s="47">
        <f t="shared" si="5"/>
        <v>-991.18017578125</v>
      </c>
      <c r="H17" s="45">
        <f t="shared" si="6"/>
        <v>111.83</v>
      </c>
      <c r="I17" s="46">
        <f t="shared" si="7"/>
        <v>-187341.54694658311</v>
      </c>
      <c r="J17" s="47">
        <f t="shared" si="8"/>
        <v>-12689.999999999998</v>
      </c>
      <c r="K17" s="45">
        <f t="shared" si="9"/>
        <v>99.7890625</v>
      </c>
      <c r="L17" s="46">
        <f t="shared" si="10"/>
        <v>-55781.25</v>
      </c>
      <c r="M17" s="47">
        <f t="shared" si="11"/>
        <v>-963.35657552083285</v>
      </c>
      <c r="N17" s="45">
        <f t="shared" si="12"/>
        <v>101.09375</v>
      </c>
      <c r="O17" s="46">
        <f t="shared" si="13"/>
        <v>-50976.5625</v>
      </c>
      <c r="P17" s="47">
        <f t="shared" si="14"/>
        <v>-34.385253906249545</v>
      </c>
      <c r="Q17" s="45">
        <f t="shared" si="15"/>
        <v>100.328125</v>
      </c>
      <c r="R17" s="46">
        <f t="shared" si="16"/>
        <v>-138632.8125</v>
      </c>
      <c r="S17" s="47">
        <f t="shared" si="17"/>
        <v>393.98720703125036</v>
      </c>
      <c r="T17" s="82">
        <f t="shared" si="18"/>
        <v>34704.545484011898</v>
      </c>
      <c r="V17" s="75">
        <v>45772.625</v>
      </c>
      <c r="W17" s="54">
        <v>78.77</v>
      </c>
      <c r="X17" s="75">
        <v>45916.625</v>
      </c>
      <c r="Y17" s="54">
        <v>100.15625</v>
      </c>
      <c r="Z17" s="75">
        <v>45772.625</v>
      </c>
      <c r="AA17" s="54">
        <v>107.99</v>
      </c>
      <c r="AB17" s="75">
        <v>45916.625</v>
      </c>
      <c r="AC17" s="54">
        <v>100.15625</v>
      </c>
      <c r="AD17" s="75">
        <v>45895.625</v>
      </c>
      <c r="AE17" s="54">
        <v>99.984375</v>
      </c>
      <c r="AF17" s="75">
        <v>45896.625</v>
      </c>
      <c r="AG17" s="54">
        <v>97.453125</v>
      </c>
    </row>
    <row r="18" spans="1:33" x14ac:dyDescent="0.3">
      <c r="A18" s="131">
        <v>45919</v>
      </c>
      <c r="B18" s="45">
        <f t="shared" si="0"/>
        <v>81.260000000000005</v>
      </c>
      <c r="C18" s="46">
        <f t="shared" si="1"/>
        <v>40965.933592067573</v>
      </c>
      <c r="D18" s="46">
        <f t="shared" si="2"/>
        <v>-16450</v>
      </c>
      <c r="E18" s="45">
        <f t="shared" si="3"/>
        <v>99.7734375</v>
      </c>
      <c r="F18" s="46">
        <f t="shared" si="4"/>
        <v>-67031.25</v>
      </c>
      <c r="G18" s="47">
        <f t="shared" si="5"/>
        <v>-1321.573567708333</v>
      </c>
      <c r="H18" s="45">
        <f t="shared" si="6"/>
        <v>111.74</v>
      </c>
      <c r="I18" s="46">
        <f t="shared" si="7"/>
        <v>-216163.3233999045</v>
      </c>
      <c r="J18" s="47">
        <f t="shared" si="8"/>
        <v>-16920</v>
      </c>
      <c r="K18" s="45">
        <f t="shared" si="9"/>
        <v>99.7734375</v>
      </c>
      <c r="L18" s="46">
        <f t="shared" si="10"/>
        <v>-58437.5</v>
      </c>
      <c r="M18" s="47">
        <f t="shared" si="11"/>
        <v>-1284.4754340277777</v>
      </c>
      <c r="N18" s="45">
        <f t="shared" si="12"/>
        <v>101.015625</v>
      </c>
      <c r="O18" s="46">
        <f t="shared" si="13"/>
        <v>-56835.9375</v>
      </c>
      <c r="P18" s="47">
        <f t="shared" si="14"/>
        <v>-45.84700520833303</v>
      </c>
      <c r="Q18" s="45">
        <f t="shared" si="15"/>
        <v>100.125</v>
      </c>
      <c r="R18" s="46">
        <f t="shared" si="16"/>
        <v>-159960.9375</v>
      </c>
      <c r="S18" s="47">
        <f t="shared" si="17"/>
        <v>525.31627604166715</v>
      </c>
      <c r="T18" s="82">
        <f t="shared" si="18"/>
        <v>49912.69939648595</v>
      </c>
      <c r="V18" s="75">
        <v>45775.625</v>
      </c>
      <c r="W18" s="54">
        <v>78.81</v>
      </c>
      <c r="X18" s="75">
        <v>45917.625</v>
      </c>
      <c r="Y18" s="54">
        <v>99.953125</v>
      </c>
      <c r="Z18" s="75">
        <v>45775.625</v>
      </c>
      <c r="AA18" s="54">
        <v>108.24</v>
      </c>
      <c r="AB18" s="75">
        <v>45917.625</v>
      </c>
      <c r="AC18" s="54">
        <v>99.953125</v>
      </c>
      <c r="AD18" s="75">
        <v>45896.625</v>
      </c>
      <c r="AE18" s="54">
        <v>100.125</v>
      </c>
      <c r="AF18" s="75">
        <v>45897.625</v>
      </c>
      <c r="AG18" s="54">
        <v>98.078125</v>
      </c>
    </row>
    <row r="19" spans="1:33" x14ac:dyDescent="0.3">
      <c r="A19" s="131">
        <v>45922</v>
      </c>
      <c r="B19" s="45">
        <f t="shared" si="0"/>
        <v>81.319999999999993</v>
      </c>
      <c r="C19" s="46">
        <f t="shared" si="1"/>
        <v>66839.154808100429</v>
      </c>
      <c r="D19" s="46">
        <f t="shared" si="2"/>
        <v>-28787.5</v>
      </c>
      <c r="E19" s="45">
        <f t="shared" si="3"/>
        <v>99.65625</v>
      </c>
      <c r="F19" s="46">
        <f t="shared" si="4"/>
        <v>-89882.8125</v>
      </c>
      <c r="G19" s="47">
        <f t="shared" si="5"/>
        <v>-2312.7537434895839</v>
      </c>
      <c r="H19" s="45">
        <f t="shared" si="6"/>
        <v>111.48</v>
      </c>
      <c r="I19" s="46">
        <f t="shared" si="7"/>
        <v>-299426.23315394012</v>
      </c>
      <c r="J19" s="47">
        <f t="shared" si="8"/>
        <v>-29610</v>
      </c>
      <c r="K19" s="45">
        <f t="shared" si="9"/>
        <v>99.65625</v>
      </c>
      <c r="L19" s="46">
        <f t="shared" si="10"/>
        <v>-78359.375</v>
      </c>
      <c r="M19" s="47">
        <f t="shared" si="11"/>
        <v>-2247.8320095486106</v>
      </c>
      <c r="N19" s="45">
        <f t="shared" si="12"/>
        <v>100.8125</v>
      </c>
      <c r="O19" s="46">
        <f t="shared" si="13"/>
        <v>-72070.3125</v>
      </c>
      <c r="P19" s="47">
        <f t="shared" si="14"/>
        <v>-80.23225911458303</v>
      </c>
      <c r="Q19" s="45">
        <f t="shared" si="15"/>
        <v>99.734375</v>
      </c>
      <c r="R19" s="46">
        <f t="shared" si="16"/>
        <v>-200976.56250000003</v>
      </c>
      <c r="S19" s="47">
        <f t="shared" si="17"/>
        <v>919.30348307291752</v>
      </c>
      <c r="T19" s="82">
        <f t="shared" si="18"/>
        <v>106468.44341993982</v>
      </c>
      <c r="V19" s="75">
        <v>45776.625</v>
      </c>
      <c r="W19" s="54">
        <v>79.02</v>
      </c>
      <c r="X19" s="75">
        <v>45918.625</v>
      </c>
      <c r="Y19" s="54">
        <v>99.7890625</v>
      </c>
      <c r="Z19" s="75">
        <v>45776.625</v>
      </c>
      <c r="AA19" s="54">
        <v>108.49</v>
      </c>
      <c r="AB19" s="75">
        <v>45918.625</v>
      </c>
      <c r="AC19" s="54">
        <v>99.7890625</v>
      </c>
      <c r="AD19" s="75">
        <v>45897.625</v>
      </c>
      <c r="AE19" s="54">
        <v>100.375</v>
      </c>
      <c r="AF19" s="75">
        <v>45898.625</v>
      </c>
      <c r="AG19" s="54">
        <v>97.34375</v>
      </c>
    </row>
    <row r="20" spans="1:33" x14ac:dyDescent="0.3">
      <c r="A20" s="131">
        <v>45923</v>
      </c>
      <c r="B20" s="45">
        <f t="shared" si="0"/>
        <v>81.260000000000005</v>
      </c>
      <c r="C20" s="46">
        <f t="shared" si="1"/>
        <v>40965.933592067573</v>
      </c>
      <c r="D20" s="46">
        <f t="shared" si="2"/>
        <v>-32900</v>
      </c>
      <c r="E20" s="45">
        <f t="shared" si="3"/>
        <v>99.796875</v>
      </c>
      <c r="F20" s="46">
        <f t="shared" si="4"/>
        <v>-62460.937499999993</v>
      </c>
      <c r="G20" s="47">
        <f t="shared" si="5"/>
        <v>-2643.1471354166661</v>
      </c>
      <c r="H20" s="45">
        <f t="shared" si="6"/>
        <v>111.71</v>
      </c>
      <c r="I20" s="46">
        <f t="shared" si="7"/>
        <v>-225770.58221767831</v>
      </c>
      <c r="J20" s="47">
        <f t="shared" si="8"/>
        <v>-33840</v>
      </c>
      <c r="K20" s="45">
        <f t="shared" si="9"/>
        <v>99.796875</v>
      </c>
      <c r="L20" s="46">
        <f t="shared" si="10"/>
        <v>-54453.125</v>
      </c>
      <c r="M20" s="47">
        <f t="shared" si="11"/>
        <v>-2568.9508680555555</v>
      </c>
      <c r="N20" s="45">
        <f t="shared" si="12"/>
        <v>101.140625</v>
      </c>
      <c r="O20" s="46">
        <f t="shared" si="13"/>
        <v>-47460.9375</v>
      </c>
      <c r="P20" s="47">
        <f t="shared" si="14"/>
        <v>-91.69401041666606</v>
      </c>
      <c r="Q20" s="45">
        <f t="shared" si="15"/>
        <v>100.421875</v>
      </c>
      <c r="R20" s="46">
        <f t="shared" si="16"/>
        <v>-128789.0625</v>
      </c>
      <c r="S20" s="47">
        <f t="shared" si="17"/>
        <v>1050.6325520833343</v>
      </c>
      <c r="T20" s="82">
        <f t="shared" si="18"/>
        <v>100467.46311877367</v>
      </c>
      <c r="V20" s="75">
        <v>45777.625</v>
      </c>
      <c r="W20" s="54">
        <v>78.599999999999994</v>
      </c>
      <c r="X20" s="75">
        <v>45919.625</v>
      </c>
      <c r="Y20" s="54">
        <v>99.7734375</v>
      </c>
      <c r="Z20" s="75">
        <v>45777.625</v>
      </c>
      <c r="AA20" s="54">
        <v>108</v>
      </c>
      <c r="AB20" s="75">
        <v>45919.625</v>
      </c>
      <c r="AC20" s="54">
        <v>99.7734375</v>
      </c>
      <c r="AD20" s="75">
        <v>45898.625</v>
      </c>
      <c r="AE20" s="54">
        <v>100.21875</v>
      </c>
      <c r="AF20" s="75">
        <v>45901.625</v>
      </c>
      <c r="AG20" s="54">
        <v>97.234375</v>
      </c>
    </row>
    <row r="21" spans="1:33" x14ac:dyDescent="0.3">
      <c r="A21" s="131">
        <v>45924</v>
      </c>
      <c r="B21" s="45">
        <f t="shared" si="0"/>
        <v>81.150000000000006</v>
      </c>
      <c r="C21" s="46">
        <f t="shared" si="1"/>
        <v>-6468.3053040121004</v>
      </c>
      <c r="D21" s="46">
        <f t="shared" si="2"/>
        <v>-37012.5</v>
      </c>
      <c r="E21" s="45">
        <f t="shared" si="3"/>
        <v>99.6015625</v>
      </c>
      <c r="F21" s="46">
        <f t="shared" si="4"/>
        <v>-100546.875</v>
      </c>
      <c r="G21" s="47">
        <f t="shared" si="5"/>
        <v>-2973.54052734375</v>
      </c>
      <c r="H21" s="45">
        <f t="shared" si="6"/>
        <v>111.26</v>
      </c>
      <c r="I21" s="46">
        <f t="shared" si="7"/>
        <v>-369879.46448427736</v>
      </c>
      <c r="J21" s="47">
        <f t="shared" si="8"/>
        <v>-38070</v>
      </c>
      <c r="K21" s="45">
        <f t="shared" si="9"/>
        <v>99.6015625</v>
      </c>
      <c r="L21" s="46">
        <f t="shared" si="10"/>
        <v>-87656.25</v>
      </c>
      <c r="M21" s="47">
        <f t="shared" si="11"/>
        <v>-2890.0697265625004</v>
      </c>
      <c r="N21" s="45">
        <f t="shared" si="12"/>
        <v>100.859375</v>
      </c>
      <c r="O21" s="46">
        <f t="shared" si="13"/>
        <v>-68554.6875</v>
      </c>
      <c r="P21" s="47">
        <f t="shared" si="14"/>
        <v>-103.15576171875</v>
      </c>
      <c r="Q21" s="45">
        <f t="shared" si="15"/>
        <v>100.015625</v>
      </c>
      <c r="R21" s="46">
        <f t="shared" si="16"/>
        <v>-171445.3125</v>
      </c>
      <c r="S21" s="47">
        <f t="shared" si="17"/>
        <v>1181.9616210937511</v>
      </c>
      <c r="T21" s="82">
        <f t="shared" si="18"/>
        <v>138521.56084042153</v>
      </c>
      <c r="V21" s="75">
        <v>45778.625</v>
      </c>
      <c r="W21" s="54">
        <v>78.3</v>
      </c>
      <c r="X21" s="75">
        <v>45922.625</v>
      </c>
      <c r="Y21" s="54">
        <v>99.65625</v>
      </c>
      <c r="Z21" s="75">
        <v>45778.625</v>
      </c>
      <c r="AA21" s="54">
        <v>107.17</v>
      </c>
      <c r="AB21" s="75">
        <v>45922.625</v>
      </c>
      <c r="AC21" s="54">
        <v>99.65625</v>
      </c>
      <c r="AD21" s="75">
        <v>45901.625</v>
      </c>
      <c r="AE21" s="54">
        <v>100.171875</v>
      </c>
      <c r="AF21" s="75">
        <v>45902.625</v>
      </c>
      <c r="AG21" s="54">
        <v>96.65625</v>
      </c>
    </row>
    <row r="22" spans="1:33" x14ac:dyDescent="0.3">
      <c r="A22" s="131">
        <v>45925</v>
      </c>
      <c r="B22" s="45">
        <f t="shared" si="0"/>
        <v>80.92</v>
      </c>
      <c r="C22" s="46">
        <f t="shared" si="1"/>
        <v>-105648.98663216915</v>
      </c>
      <c r="D22" s="46">
        <f t="shared" si="2"/>
        <v>-41124.999999999993</v>
      </c>
      <c r="E22" s="45">
        <f t="shared" si="3"/>
        <v>99.390625</v>
      </c>
      <c r="F22" s="46">
        <f t="shared" si="4"/>
        <v>-141679.6875</v>
      </c>
      <c r="G22" s="47">
        <f t="shared" si="5"/>
        <v>-3303.9339192708285</v>
      </c>
      <c r="H22" s="45">
        <f t="shared" si="6"/>
        <v>111.06</v>
      </c>
      <c r="I22" s="46">
        <f t="shared" si="7"/>
        <v>-433927.85660276935</v>
      </c>
      <c r="J22" s="47">
        <f t="shared" si="8"/>
        <v>-42299.999999999993</v>
      </c>
      <c r="K22" s="45">
        <f t="shared" si="9"/>
        <v>99.390625</v>
      </c>
      <c r="L22" s="46">
        <f t="shared" si="10"/>
        <v>-123515.625</v>
      </c>
      <c r="M22" s="47">
        <f t="shared" si="11"/>
        <v>-3211.1885850694416</v>
      </c>
      <c r="N22" s="45">
        <f t="shared" si="12"/>
        <v>100.640625</v>
      </c>
      <c r="O22" s="46">
        <f t="shared" si="13"/>
        <v>-84960.9375</v>
      </c>
      <c r="P22" s="47">
        <f t="shared" si="14"/>
        <v>-114.61751302083212</v>
      </c>
      <c r="Q22" s="45">
        <f t="shared" si="15"/>
        <v>100.03125</v>
      </c>
      <c r="R22" s="46">
        <f t="shared" si="16"/>
        <v>-169804.6875</v>
      </c>
      <c r="S22" s="47">
        <f t="shared" si="17"/>
        <v>1313.2906901041697</v>
      </c>
      <c r="T22" s="82">
        <f t="shared" si="18"/>
        <v>94143.725981884971</v>
      </c>
      <c r="V22" s="75">
        <v>45779.625</v>
      </c>
      <c r="W22" s="54">
        <v>78.540000000000006</v>
      </c>
      <c r="X22" s="75">
        <v>45923.625</v>
      </c>
      <c r="Y22" s="54">
        <v>99.796875</v>
      </c>
      <c r="Z22" s="75">
        <v>45779.625</v>
      </c>
      <c r="AA22" s="54">
        <v>106.91</v>
      </c>
      <c r="AB22" s="75">
        <v>45923.625</v>
      </c>
      <c r="AC22" s="54">
        <v>99.796875</v>
      </c>
      <c r="AD22" s="75">
        <v>45902.625</v>
      </c>
      <c r="AE22" s="54">
        <v>99.859375</v>
      </c>
      <c r="AF22" s="75">
        <v>45903.625</v>
      </c>
      <c r="AG22" s="54">
        <v>97.671875</v>
      </c>
    </row>
    <row r="23" spans="1:33" x14ac:dyDescent="0.3">
      <c r="A23" s="131">
        <v>45926</v>
      </c>
      <c r="B23" s="45">
        <f t="shared" si="0"/>
        <v>81.08</v>
      </c>
      <c r="C23" s="46">
        <f t="shared" si="1"/>
        <v>-36653.730056062093</v>
      </c>
      <c r="D23" s="46">
        <f t="shared" si="2"/>
        <v>-45237.499999999993</v>
      </c>
      <c r="E23" s="45">
        <f t="shared" si="3"/>
        <v>99.3828125</v>
      </c>
      <c r="F23" s="46">
        <f t="shared" si="4"/>
        <v>-143203.125</v>
      </c>
      <c r="G23" s="47">
        <f t="shared" si="5"/>
        <v>-3634.3273111979179</v>
      </c>
      <c r="H23" s="45">
        <f t="shared" si="6"/>
        <v>111.21</v>
      </c>
      <c r="I23" s="46">
        <f t="shared" si="7"/>
        <v>-385891.56251390436</v>
      </c>
      <c r="J23" s="47">
        <f t="shared" si="8"/>
        <v>-46529.999999999993</v>
      </c>
      <c r="K23" s="45">
        <f t="shared" si="9"/>
        <v>99.3828125</v>
      </c>
      <c r="L23" s="46">
        <f t="shared" si="10"/>
        <v>-124843.75</v>
      </c>
      <c r="M23" s="47">
        <f t="shared" si="11"/>
        <v>-3532.3074435763847</v>
      </c>
      <c r="N23" s="45">
        <f t="shared" si="12"/>
        <v>100.5625</v>
      </c>
      <c r="O23" s="46">
        <f t="shared" si="13"/>
        <v>-90820.3125</v>
      </c>
      <c r="P23" s="47">
        <f t="shared" si="14"/>
        <v>-126.07926432291606</v>
      </c>
      <c r="Q23" s="45">
        <f t="shared" si="15"/>
        <v>99.90625</v>
      </c>
      <c r="R23" s="46">
        <f t="shared" si="16"/>
        <v>-182929.6875</v>
      </c>
      <c r="S23" s="47">
        <f t="shared" si="17"/>
        <v>1444.6197591145847</v>
      </c>
      <c r="T23" s="82">
        <f t="shared" si="18"/>
        <v>96560.267820255438</v>
      </c>
      <c r="V23" s="75">
        <v>45782.625</v>
      </c>
      <c r="W23" s="54">
        <v>78.510000000000005</v>
      </c>
      <c r="X23" s="75">
        <v>45924.625</v>
      </c>
      <c r="Y23" s="54">
        <v>99.6015625</v>
      </c>
      <c r="Z23" s="75">
        <v>45782.625</v>
      </c>
      <c r="AA23" s="54">
        <v>106.76</v>
      </c>
      <c r="AB23" s="75">
        <v>45924.625</v>
      </c>
      <c r="AC23" s="54">
        <v>99.6015625</v>
      </c>
      <c r="AD23" s="75">
        <v>45903.625</v>
      </c>
      <c r="AE23" s="54">
        <v>100.234375</v>
      </c>
      <c r="AF23" s="75">
        <v>45904.625</v>
      </c>
      <c r="AG23" s="54">
        <v>98.296875</v>
      </c>
    </row>
    <row r="24" spans="1:33" x14ac:dyDescent="0.3">
      <c r="A24" s="131">
        <v>45929</v>
      </c>
      <c r="B24" s="45">
        <f t="shared" si="0"/>
        <v>81.22</v>
      </c>
      <c r="C24" s="46">
        <f t="shared" si="1"/>
        <v>23717.119448037894</v>
      </c>
      <c r="D24" s="46">
        <f t="shared" si="2"/>
        <v>-57575</v>
      </c>
      <c r="E24" s="45">
        <f t="shared" si="3"/>
        <v>99.4921875</v>
      </c>
      <c r="F24" s="46">
        <f t="shared" si="4"/>
        <v>-121875</v>
      </c>
      <c r="G24" s="47">
        <f t="shared" si="5"/>
        <v>-4625.5074869791679</v>
      </c>
      <c r="H24" s="45">
        <f t="shared" si="6"/>
        <v>111.58</v>
      </c>
      <c r="I24" s="46">
        <f t="shared" si="7"/>
        <v>-267402.03709469811</v>
      </c>
      <c r="J24" s="47">
        <f t="shared" si="8"/>
        <v>-59220</v>
      </c>
      <c r="K24" s="45">
        <f t="shared" si="9"/>
        <v>99.4921875</v>
      </c>
      <c r="L24" s="46">
        <f t="shared" si="10"/>
        <v>-106250</v>
      </c>
      <c r="M24" s="47">
        <f t="shared" si="11"/>
        <v>-4495.6640190972212</v>
      </c>
      <c r="N24" s="45">
        <f t="shared" si="12"/>
        <v>100.875</v>
      </c>
      <c r="O24" s="46">
        <f t="shared" si="13"/>
        <v>-67382.8125</v>
      </c>
      <c r="P24" s="47">
        <f t="shared" si="14"/>
        <v>-160.46451822916606</v>
      </c>
      <c r="Q24" s="45">
        <f t="shared" si="15"/>
        <v>100.65625</v>
      </c>
      <c r="R24" s="46">
        <f t="shared" si="16"/>
        <v>-104179.6875</v>
      </c>
      <c r="S24" s="47">
        <f t="shared" si="17"/>
        <v>1838.606966145835</v>
      </c>
      <c r="T24" s="82">
        <f t="shared" si="18"/>
        <v>138634.64245853462</v>
      </c>
      <c r="V24" s="75">
        <v>45783.625</v>
      </c>
      <c r="W24" s="54">
        <v>78.45</v>
      </c>
      <c r="X24" s="75">
        <v>45925.625</v>
      </c>
      <c r="Y24" s="54">
        <v>99.390625</v>
      </c>
      <c r="Z24" s="75">
        <v>45783.625</v>
      </c>
      <c r="AA24" s="54">
        <v>106.97</v>
      </c>
      <c r="AB24" s="75">
        <v>45925.625</v>
      </c>
      <c r="AC24" s="54">
        <v>99.390625</v>
      </c>
      <c r="AD24" s="75">
        <v>45904.625</v>
      </c>
      <c r="AE24" s="54">
        <v>100.71875</v>
      </c>
      <c r="AF24" s="75">
        <v>45905.625</v>
      </c>
      <c r="AG24" s="54">
        <v>99.6875</v>
      </c>
    </row>
    <row r="25" spans="1:33" x14ac:dyDescent="0.3">
      <c r="A25" s="131">
        <v>45930</v>
      </c>
      <c r="B25" s="45">
        <f t="shared" si="0"/>
        <v>81.19</v>
      </c>
      <c r="C25" s="46">
        <f t="shared" si="1"/>
        <v>10780.508840013692</v>
      </c>
      <c r="D25" s="46">
        <f t="shared" si="2"/>
        <v>-61687.499999999993</v>
      </c>
      <c r="E25" s="45">
        <f t="shared" si="3"/>
        <v>99.5078125</v>
      </c>
      <c r="F25" s="46">
        <f t="shared" si="4"/>
        <v>-118828.125</v>
      </c>
      <c r="G25" s="47">
        <f t="shared" si="5"/>
        <v>-4955.9008789062464</v>
      </c>
      <c r="H25" s="45">
        <f t="shared" si="6"/>
        <v>111.47</v>
      </c>
      <c r="I25" s="46">
        <f t="shared" si="7"/>
        <v>-302628.65275986475</v>
      </c>
      <c r="J25" s="47">
        <f t="shared" si="8"/>
        <v>-63449.999999999993</v>
      </c>
      <c r="K25" s="45">
        <f t="shared" si="9"/>
        <v>99.5078125</v>
      </c>
      <c r="L25" s="46">
        <f t="shared" si="10"/>
        <v>-103593.75</v>
      </c>
      <c r="M25" s="47">
        <f t="shared" si="11"/>
        <v>-4816.7828776041679</v>
      </c>
      <c r="N25" s="45">
        <f t="shared" si="12"/>
        <v>100.828125</v>
      </c>
      <c r="O25" s="46">
        <f t="shared" si="13"/>
        <v>-70898.4375</v>
      </c>
      <c r="P25" s="47">
        <f t="shared" si="14"/>
        <v>-171.92626953124636</v>
      </c>
      <c r="Q25" s="45">
        <f t="shared" si="15"/>
        <v>100.390625</v>
      </c>
      <c r="R25" s="46">
        <f t="shared" si="16"/>
        <v>-132070.3125</v>
      </c>
      <c r="S25" s="47">
        <f t="shared" si="17"/>
        <v>1969.93603515625</v>
      </c>
      <c r="T25" s="82">
        <f t="shared" si="18"/>
        <v>129374.41436680552</v>
      </c>
      <c r="V25" s="75">
        <v>45784.625</v>
      </c>
      <c r="W25" s="54">
        <v>78.52</v>
      </c>
      <c r="X25" s="75">
        <v>45926.625</v>
      </c>
      <c r="Y25" s="54">
        <v>99.3828125</v>
      </c>
      <c r="Z25" s="75">
        <v>45784.625</v>
      </c>
      <c r="AA25" s="54">
        <v>107.19</v>
      </c>
      <c r="AB25" s="75">
        <v>45926.625</v>
      </c>
      <c r="AC25" s="54">
        <v>99.3828125</v>
      </c>
      <c r="AD25" s="75">
        <v>45905.625</v>
      </c>
      <c r="AE25" s="54">
        <v>101.3125</v>
      </c>
      <c r="AF25" s="75">
        <v>45908.625</v>
      </c>
      <c r="AG25" s="54">
        <v>101</v>
      </c>
    </row>
    <row r="26" spans="1:33" x14ac:dyDescent="0.3">
      <c r="A26" s="131">
        <v>45931</v>
      </c>
      <c r="B26" s="45">
        <f t="shared" si="0"/>
        <v>80.959999999999994</v>
      </c>
      <c r="C26" s="46">
        <f t="shared" si="1"/>
        <v>-88400.172488147247</v>
      </c>
      <c r="D26" s="46">
        <f t="shared" si="2"/>
        <v>-65800</v>
      </c>
      <c r="E26" s="45">
        <f t="shared" si="3"/>
        <v>99.765625</v>
      </c>
      <c r="F26" s="46">
        <f t="shared" si="4"/>
        <v>-68554.6875</v>
      </c>
      <c r="G26" s="47">
        <f t="shared" si="5"/>
        <v>-5286.2942708333321</v>
      </c>
      <c r="H26" s="45">
        <f t="shared" si="6"/>
        <v>111.51</v>
      </c>
      <c r="I26" s="46">
        <f t="shared" si="7"/>
        <v>-289818.97433616634</v>
      </c>
      <c r="J26" s="47">
        <f t="shared" si="8"/>
        <v>-67680</v>
      </c>
      <c r="K26" s="45">
        <f t="shared" si="9"/>
        <v>99.765625</v>
      </c>
      <c r="L26" s="46">
        <f t="shared" si="10"/>
        <v>-59765.625</v>
      </c>
      <c r="M26" s="47">
        <f t="shared" si="11"/>
        <v>-5137.9017361111109</v>
      </c>
      <c r="N26" s="45">
        <f t="shared" si="12"/>
        <v>101.171875</v>
      </c>
      <c r="O26" s="46">
        <f t="shared" si="13"/>
        <v>-45117.1875</v>
      </c>
      <c r="P26" s="47">
        <f t="shared" si="14"/>
        <v>-183.38802083333212</v>
      </c>
      <c r="Q26" s="45">
        <f t="shared" si="15"/>
        <v>100.578125</v>
      </c>
      <c r="R26" s="46">
        <f t="shared" si="16"/>
        <v>-112382.81250000001</v>
      </c>
      <c r="S26" s="47">
        <f t="shared" si="17"/>
        <v>2101.2651041666686</v>
      </c>
      <c r="T26" s="82">
        <f t="shared" ref="T26:T36" si="19">C26+D26-F26-G26-I26-J26+L26+M26+O26+P26+R26+S26+$J$9</f>
        <v>90930.852687403749</v>
      </c>
      <c r="V26" s="75">
        <v>45785.625</v>
      </c>
      <c r="W26" s="54">
        <v>78.5</v>
      </c>
      <c r="X26" s="75">
        <v>45929.625</v>
      </c>
      <c r="Y26" s="54">
        <v>99.4921875</v>
      </c>
      <c r="Z26" s="75">
        <v>45785.625</v>
      </c>
      <c r="AA26" s="54">
        <v>106.65</v>
      </c>
      <c r="AB26" s="75">
        <v>45929.625</v>
      </c>
      <c r="AC26" s="54">
        <v>99.4921875</v>
      </c>
      <c r="AD26" s="75">
        <v>45908.625</v>
      </c>
      <c r="AE26" s="54">
        <v>101.6875</v>
      </c>
      <c r="AF26" s="75">
        <v>45909.625</v>
      </c>
      <c r="AG26" s="54">
        <v>100.4375</v>
      </c>
    </row>
    <row r="27" spans="1:33" x14ac:dyDescent="0.3">
      <c r="A27" s="131">
        <v>45932</v>
      </c>
      <c r="B27" s="45">
        <f t="shared" si="0"/>
        <v>80.930000000000007</v>
      </c>
      <c r="C27" s="46">
        <f t="shared" si="1"/>
        <v>-101336.78309616368</v>
      </c>
      <c r="D27" s="46">
        <f t="shared" si="2"/>
        <v>-69912.499999999985</v>
      </c>
      <c r="E27" s="45">
        <f t="shared" si="3"/>
        <v>99.78125</v>
      </c>
      <c r="F27" s="46">
        <f t="shared" si="4"/>
        <v>-65507.8125</v>
      </c>
      <c r="G27" s="47">
        <f t="shared" si="5"/>
        <v>-5616.6876627604142</v>
      </c>
      <c r="H27" s="45">
        <f t="shared" si="6"/>
        <v>111.69</v>
      </c>
      <c r="I27" s="46">
        <f t="shared" si="7"/>
        <v>-232175.42142952752</v>
      </c>
      <c r="J27" s="47">
        <f t="shared" si="8"/>
        <v>-71909.999999999985</v>
      </c>
      <c r="K27" s="45">
        <f t="shared" si="9"/>
        <v>99.78125</v>
      </c>
      <c r="L27" s="46">
        <f t="shared" si="10"/>
        <v>-57109.375</v>
      </c>
      <c r="M27" s="47">
        <f t="shared" si="11"/>
        <v>-5459.0205946180467</v>
      </c>
      <c r="N27" s="45">
        <f t="shared" si="12"/>
        <v>101.3125</v>
      </c>
      <c r="O27" s="46">
        <f t="shared" si="13"/>
        <v>-34570.3125</v>
      </c>
      <c r="P27" s="47">
        <f t="shared" si="14"/>
        <v>-194.84977213541424</v>
      </c>
      <c r="Q27" s="45">
        <f t="shared" si="15"/>
        <v>100.875</v>
      </c>
      <c r="R27" s="46">
        <f t="shared" si="16"/>
        <v>-81210.9375</v>
      </c>
      <c r="S27" s="47">
        <f t="shared" si="17"/>
        <v>2232.5941731770872</v>
      </c>
      <c r="T27" s="82">
        <f t="shared" si="19"/>
        <v>61925.456023876992</v>
      </c>
      <c r="V27" s="75">
        <v>45786.625</v>
      </c>
      <c r="W27" s="54">
        <v>78.55</v>
      </c>
      <c r="X27" s="75">
        <v>45930.625</v>
      </c>
      <c r="Y27" s="54">
        <v>99.5078125</v>
      </c>
      <c r="Z27" s="75">
        <v>45786.625</v>
      </c>
      <c r="AA27" s="54">
        <v>106.61</v>
      </c>
      <c r="AB27" s="75">
        <v>45930.625</v>
      </c>
      <c r="AC27" s="54">
        <v>99.5078125</v>
      </c>
      <c r="AD27" s="75">
        <v>45909.625</v>
      </c>
      <c r="AE27" s="54">
        <v>101.390625</v>
      </c>
      <c r="AF27" s="75">
        <v>45910.625</v>
      </c>
      <c r="AG27" s="54">
        <v>100.953125</v>
      </c>
    </row>
    <row r="28" spans="1:33" x14ac:dyDescent="0.3">
      <c r="A28" s="131">
        <v>45933</v>
      </c>
      <c r="B28" s="45">
        <f t="shared" si="0"/>
        <v>80.84</v>
      </c>
      <c r="C28" s="46">
        <f t="shared" si="1"/>
        <v>-140146.61492022462</v>
      </c>
      <c r="D28" s="46">
        <f t="shared" si="2"/>
        <v>-74025</v>
      </c>
      <c r="E28" s="45">
        <f t="shared" si="3"/>
        <v>99.6015625</v>
      </c>
      <c r="F28" s="46">
        <f t="shared" si="4"/>
        <v>-100546.875</v>
      </c>
      <c r="G28" s="47">
        <f t="shared" si="5"/>
        <v>-5947.0810546875</v>
      </c>
      <c r="H28" s="45">
        <f t="shared" si="6"/>
        <v>111.55</v>
      </c>
      <c r="I28" s="46">
        <f t="shared" si="7"/>
        <v>-277009.29591247195</v>
      </c>
      <c r="J28" s="47">
        <f t="shared" si="8"/>
        <v>-76140</v>
      </c>
      <c r="K28" s="45">
        <f t="shared" si="9"/>
        <v>99.6015625</v>
      </c>
      <c r="L28" s="46">
        <f t="shared" si="10"/>
        <v>-87656.25</v>
      </c>
      <c r="M28" s="47">
        <f t="shared" si="11"/>
        <v>-5780.1394531250007</v>
      </c>
      <c r="N28" s="45">
        <f t="shared" si="12"/>
        <v>101.046875</v>
      </c>
      <c r="O28" s="46">
        <f t="shared" si="13"/>
        <v>-54492.1875</v>
      </c>
      <c r="P28" s="47">
        <f t="shared" si="14"/>
        <v>-206.3115234375</v>
      </c>
      <c r="Q28" s="45">
        <f t="shared" si="15"/>
        <v>100.609375</v>
      </c>
      <c r="R28" s="46">
        <f t="shared" si="16"/>
        <v>-109101.5625</v>
      </c>
      <c r="S28" s="47">
        <f t="shared" si="17"/>
        <v>2363.9232421875022</v>
      </c>
      <c r="T28" s="82">
        <f t="shared" si="19"/>
        <v>24875.828033888942</v>
      </c>
      <c r="V28" s="75">
        <v>45789.625</v>
      </c>
      <c r="W28" s="54">
        <v>79.33</v>
      </c>
      <c r="X28" s="75">
        <v>45931.625</v>
      </c>
      <c r="Y28" s="54">
        <v>99.765625</v>
      </c>
      <c r="Z28" s="75">
        <v>45789.625</v>
      </c>
      <c r="AA28" s="54">
        <v>106.59</v>
      </c>
      <c r="AB28" s="75">
        <v>45931.625</v>
      </c>
      <c r="AC28" s="54">
        <v>99.765625</v>
      </c>
      <c r="AD28" s="75">
        <v>45910.625</v>
      </c>
      <c r="AE28" s="54">
        <v>101.6875</v>
      </c>
      <c r="AF28" s="75">
        <v>45911.625</v>
      </c>
      <c r="AG28" s="54">
        <v>101.640625</v>
      </c>
    </row>
    <row r="29" spans="1:33" x14ac:dyDescent="0.3">
      <c r="A29" s="131">
        <v>45936</v>
      </c>
      <c r="B29" s="45">
        <f t="shared" si="0"/>
        <v>80.86</v>
      </c>
      <c r="C29" s="46">
        <f t="shared" si="1"/>
        <v>-131522.20784821367</v>
      </c>
      <c r="D29" s="46">
        <f t="shared" si="2"/>
        <v>-86362.5</v>
      </c>
      <c r="E29" s="45">
        <f t="shared" si="3"/>
        <v>99.46875</v>
      </c>
      <c r="F29" s="46">
        <f t="shared" si="4"/>
        <v>-126445.3125</v>
      </c>
      <c r="G29" s="47">
        <f t="shared" si="5"/>
        <v>-6938.26123046875</v>
      </c>
      <c r="H29" s="45">
        <f t="shared" si="6"/>
        <v>111.19</v>
      </c>
      <c r="I29" s="46">
        <f t="shared" si="7"/>
        <v>-392296.40172574954</v>
      </c>
      <c r="J29" s="47">
        <f t="shared" si="8"/>
        <v>-88830</v>
      </c>
      <c r="K29" s="45">
        <f t="shared" si="9"/>
        <v>99.46875</v>
      </c>
      <c r="L29" s="46">
        <f t="shared" si="10"/>
        <v>-110234.375</v>
      </c>
      <c r="M29" s="47">
        <f t="shared" si="11"/>
        <v>-6743.4960286458372</v>
      </c>
      <c r="N29" s="45">
        <f t="shared" si="12"/>
        <v>100.6875</v>
      </c>
      <c r="O29" s="46">
        <f t="shared" si="13"/>
        <v>-81445.3125</v>
      </c>
      <c r="P29" s="47">
        <f t="shared" si="14"/>
        <v>-240.69677734375</v>
      </c>
      <c r="Q29" s="45">
        <f t="shared" si="15"/>
        <v>99.859375</v>
      </c>
      <c r="R29" s="46">
        <f t="shared" si="16"/>
        <v>-187851.5625</v>
      </c>
      <c r="S29" s="47">
        <f t="shared" si="17"/>
        <v>2757.9104492187507</v>
      </c>
      <c r="T29" s="82">
        <f t="shared" si="19"/>
        <v>47144.4539725629</v>
      </c>
      <c r="V29" s="75">
        <v>45790.625</v>
      </c>
      <c r="W29" s="54">
        <v>79.47</v>
      </c>
      <c r="X29" s="75">
        <v>45932.625</v>
      </c>
      <c r="Y29" s="54">
        <v>99.78125</v>
      </c>
      <c r="Z29" s="75">
        <v>45790.625</v>
      </c>
      <c r="AA29" s="54">
        <v>106.68</v>
      </c>
      <c r="AB29" s="75">
        <v>45932.625</v>
      </c>
      <c r="AC29" s="54">
        <v>99.78125</v>
      </c>
      <c r="AD29" s="75">
        <v>45911.625</v>
      </c>
      <c r="AE29" s="54">
        <v>101.890625</v>
      </c>
      <c r="AF29" s="75">
        <v>45912.625</v>
      </c>
      <c r="AG29" s="54">
        <v>101.171875</v>
      </c>
    </row>
    <row r="30" spans="1:33" x14ac:dyDescent="0.3">
      <c r="A30" s="131">
        <v>45937</v>
      </c>
      <c r="B30" s="45">
        <f t="shared" si="0"/>
        <v>80.77</v>
      </c>
      <c r="C30" s="46">
        <f t="shared" si="1"/>
        <v>-170332.03967227851</v>
      </c>
      <c r="D30" s="46">
        <f t="shared" si="2"/>
        <v>-90474.999999999985</v>
      </c>
      <c r="E30" s="45">
        <f t="shared" si="3"/>
        <v>99.625</v>
      </c>
      <c r="F30" s="46">
        <f t="shared" si="4"/>
        <v>-95976.5625</v>
      </c>
      <c r="G30" s="47">
        <f t="shared" si="5"/>
        <v>-7268.6546223958358</v>
      </c>
      <c r="H30" s="45">
        <f t="shared" si="6"/>
        <v>111.4</v>
      </c>
      <c r="I30" s="46">
        <f t="shared" si="7"/>
        <v>-325045.59000133292</v>
      </c>
      <c r="J30" s="47">
        <f t="shared" si="8"/>
        <v>-93059.999999999985</v>
      </c>
      <c r="K30" s="45">
        <f t="shared" si="9"/>
        <v>99.625</v>
      </c>
      <c r="L30" s="46">
        <f t="shared" si="10"/>
        <v>-83671.875</v>
      </c>
      <c r="M30" s="47">
        <f t="shared" si="11"/>
        <v>-7064.6148871527694</v>
      </c>
      <c r="N30" s="45">
        <f t="shared" si="12"/>
        <v>100.96875</v>
      </c>
      <c r="O30" s="46">
        <f t="shared" si="13"/>
        <v>-60351.5625</v>
      </c>
      <c r="P30" s="47">
        <f t="shared" si="14"/>
        <v>-252.15852864583212</v>
      </c>
      <c r="Q30" s="45">
        <f t="shared" si="15"/>
        <v>100.390625</v>
      </c>
      <c r="R30" s="46">
        <f t="shared" si="16"/>
        <v>-132070.3125</v>
      </c>
      <c r="S30" s="47">
        <f t="shared" si="17"/>
        <v>2889.2395182291693</v>
      </c>
      <c r="T30" s="82">
        <f t="shared" si="19"/>
        <v>14299.202275209918</v>
      </c>
      <c r="V30" s="75">
        <v>45791.625</v>
      </c>
      <c r="W30" s="54">
        <v>79.180000000000007</v>
      </c>
      <c r="X30" s="75">
        <v>45933.625</v>
      </c>
      <c r="Y30" s="54">
        <v>99.6015625</v>
      </c>
      <c r="Z30" s="75">
        <v>45791.625</v>
      </c>
      <c r="AA30" s="54">
        <v>106.18</v>
      </c>
      <c r="AB30" s="75">
        <v>45933.625</v>
      </c>
      <c r="AC30" s="54">
        <v>99.6015625</v>
      </c>
      <c r="AD30" s="75">
        <v>45912.625</v>
      </c>
      <c r="AE30" s="54">
        <v>101.546875</v>
      </c>
      <c r="AF30" s="75">
        <v>45915.625</v>
      </c>
      <c r="AG30" s="54">
        <v>101.4375</v>
      </c>
    </row>
    <row r="31" spans="1:33" x14ac:dyDescent="0.3">
      <c r="A31" s="131">
        <v>45938</v>
      </c>
      <c r="B31" s="45">
        <f t="shared" si="0"/>
        <v>80.650000000000006</v>
      </c>
      <c r="C31" s="46">
        <f t="shared" si="1"/>
        <v>-222078.48210435588</v>
      </c>
      <c r="D31" s="46">
        <f t="shared" si="2"/>
        <v>-94587.499999999985</v>
      </c>
      <c r="E31" s="45">
        <f t="shared" si="3"/>
        <v>99.5625</v>
      </c>
      <c r="F31" s="46">
        <f t="shared" si="4"/>
        <v>-108164.0625</v>
      </c>
      <c r="G31" s="47">
        <f t="shared" si="5"/>
        <v>-7599.0480143229142</v>
      </c>
      <c r="H31" s="45">
        <f t="shared" si="6"/>
        <v>111.26</v>
      </c>
      <c r="I31" s="46">
        <f t="shared" si="7"/>
        <v>-369879.46448427736</v>
      </c>
      <c r="J31" s="47">
        <f t="shared" si="8"/>
        <v>-97289.999999999985</v>
      </c>
      <c r="K31" s="45">
        <f t="shared" si="9"/>
        <v>99.5625</v>
      </c>
      <c r="L31" s="46">
        <f t="shared" si="10"/>
        <v>-94296.875</v>
      </c>
      <c r="M31" s="47">
        <f t="shared" si="11"/>
        <v>-7385.7337456597161</v>
      </c>
      <c r="N31" s="45">
        <f t="shared" si="12"/>
        <v>100.953125</v>
      </c>
      <c r="O31" s="46">
        <f t="shared" si="13"/>
        <v>-61523.4375</v>
      </c>
      <c r="P31" s="47">
        <f t="shared" si="14"/>
        <v>-263.62027994791424</v>
      </c>
      <c r="Q31" s="45">
        <f t="shared" si="15"/>
        <v>100.4375</v>
      </c>
      <c r="R31" s="46">
        <f t="shared" si="16"/>
        <v>-127148.4375</v>
      </c>
      <c r="S31" s="47">
        <f t="shared" si="17"/>
        <v>3020.5685872395879</v>
      </c>
      <c r="T31" s="82">
        <f t="shared" si="19"/>
        <v>12945.776177205455</v>
      </c>
      <c r="V31" s="75">
        <v>45792.625</v>
      </c>
      <c r="W31" s="54">
        <v>79.33</v>
      </c>
      <c r="X31" s="75">
        <v>45936.625</v>
      </c>
      <c r="Y31" s="54">
        <v>99.46875</v>
      </c>
      <c r="Z31" s="75">
        <v>45792.625</v>
      </c>
      <c r="AA31" s="54">
        <v>106.9</v>
      </c>
      <c r="AB31" s="75">
        <v>45936.625</v>
      </c>
      <c r="AC31" s="54">
        <v>99.46875</v>
      </c>
      <c r="AD31" s="75">
        <v>45915.625</v>
      </c>
      <c r="AE31" s="54">
        <v>101.71875</v>
      </c>
      <c r="AF31" s="75">
        <v>45916.625</v>
      </c>
      <c r="AG31" s="54">
        <v>101.578125</v>
      </c>
    </row>
    <row r="32" spans="1:33" x14ac:dyDescent="0.3">
      <c r="A32" s="131">
        <v>45939</v>
      </c>
      <c r="B32" s="45">
        <f t="shared" si="0"/>
        <v>80.42</v>
      </c>
      <c r="C32" s="46">
        <f t="shared" si="1"/>
        <v>-321259.1634325168</v>
      </c>
      <c r="D32" s="46">
        <f t="shared" si="2"/>
        <v>-98699.999999999985</v>
      </c>
      <c r="E32" s="45">
        <f t="shared" si="3"/>
        <v>99.5078125</v>
      </c>
      <c r="F32" s="46">
        <f t="shared" si="4"/>
        <v>-118828.125</v>
      </c>
      <c r="G32" s="47">
        <f t="shared" si="5"/>
        <v>-7929.44140625</v>
      </c>
      <c r="H32" s="45">
        <f t="shared" si="6"/>
        <v>111.04</v>
      </c>
      <c r="I32" s="46">
        <f t="shared" si="7"/>
        <v>-440332.69581461453</v>
      </c>
      <c r="J32" s="47">
        <f t="shared" si="8"/>
        <v>-101519.99999999999</v>
      </c>
      <c r="K32" s="45">
        <f t="shared" si="9"/>
        <v>99.5078125</v>
      </c>
      <c r="L32" s="46">
        <f t="shared" si="10"/>
        <v>-103593.75</v>
      </c>
      <c r="M32" s="47">
        <f t="shared" si="11"/>
        <v>-7706.8526041666628</v>
      </c>
      <c r="N32" s="45">
        <f t="shared" si="12"/>
        <v>100.875</v>
      </c>
      <c r="O32" s="46">
        <f t="shared" si="13"/>
        <v>-67382.8125</v>
      </c>
      <c r="P32" s="47">
        <f t="shared" si="14"/>
        <v>-275.08203124999636</v>
      </c>
      <c r="Q32" s="45">
        <f t="shared" si="15"/>
        <v>100.390625</v>
      </c>
      <c r="R32" s="46">
        <f t="shared" si="16"/>
        <v>-132070.3125</v>
      </c>
      <c r="S32" s="47">
        <f t="shared" si="17"/>
        <v>3151.8976562500029</v>
      </c>
      <c r="T32" s="82">
        <f t="shared" si="19"/>
        <v>-24949.094469489806</v>
      </c>
      <c r="V32" s="75">
        <v>45793.625</v>
      </c>
      <c r="W32" s="54">
        <v>79.42</v>
      </c>
      <c r="X32" s="75">
        <v>45937.625</v>
      </c>
      <c r="Y32" s="54">
        <v>99.625</v>
      </c>
      <c r="Z32" s="75">
        <v>45793.625</v>
      </c>
      <c r="AA32" s="54">
        <v>107.1</v>
      </c>
      <c r="AB32" s="75">
        <v>45937.625</v>
      </c>
      <c r="AC32" s="54">
        <v>99.625</v>
      </c>
      <c r="AD32" s="75">
        <v>45916.625</v>
      </c>
      <c r="AE32" s="54">
        <v>101.765625</v>
      </c>
      <c r="AF32" s="75">
        <v>45917.625</v>
      </c>
      <c r="AG32" s="54">
        <v>101.375</v>
      </c>
    </row>
    <row r="33" spans="1:33" x14ac:dyDescent="0.3">
      <c r="A33" s="131">
        <v>45940</v>
      </c>
      <c r="B33" s="45">
        <f t="shared" si="0"/>
        <v>79.984999999999999</v>
      </c>
      <c r="C33" s="46">
        <f t="shared" si="1"/>
        <v>-508840.0172488172</v>
      </c>
      <c r="D33" s="46">
        <f t="shared" si="2"/>
        <v>-102812.5</v>
      </c>
      <c r="E33" s="45">
        <f t="shared" si="3"/>
        <v>99.890625</v>
      </c>
      <c r="F33" s="46">
        <f t="shared" si="4"/>
        <v>-44179.6875</v>
      </c>
      <c r="G33" s="47">
        <f t="shared" si="5"/>
        <v>-8259.8347981770858</v>
      </c>
      <c r="H33" s="45">
        <f t="shared" si="6"/>
        <v>111.36</v>
      </c>
      <c r="I33" s="46">
        <f t="shared" si="7"/>
        <v>-337855.26842503535</v>
      </c>
      <c r="J33" s="47">
        <f t="shared" si="8"/>
        <v>-105750</v>
      </c>
      <c r="K33" s="45">
        <f t="shared" si="9"/>
        <v>99.890625</v>
      </c>
      <c r="L33" s="46">
        <f t="shared" si="10"/>
        <v>-38515.625</v>
      </c>
      <c r="M33" s="47">
        <f t="shared" si="11"/>
        <v>-8027.9714626736168</v>
      </c>
      <c r="N33" s="45">
        <f t="shared" si="12"/>
        <v>101.578125</v>
      </c>
      <c r="O33" s="46">
        <f t="shared" si="13"/>
        <v>-14648.4375</v>
      </c>
      <c r="P33" s="47">
        <f t="shared" si="14"/>
        <v>-286.54378255208212</v>
      </c>
      <c r="Q33" s="45">
        <f t="shared" si="15"/>
        <v>101.875</v>
      </c>
      <c r="R33" s="46">
        <f t="shared" si="16"/>
        <v>23789.0625</v>
      </c>
      <c r="S33" s="47">
        <f t="shared" si="17"/>
        <v>3283.2267252604142</v>
      </c>
      <c r="T33" s="82">
        <f t="shared" si="19"/>
        <v>-115737.29632424098</v>
      </c>
      <c r="V33" s="75">
        <v>45796.625</v>
      </c>
      <c r="W33" s="54">
        <v>79.38</v>
      </c>
      <c r="X33" s="75">
        <v>45938.625</v>
      </c>
      <c r="Y33" s="54">
        <v>99.5625</v>
      </c>
      <c r="Z33" s="75">
        <v>45796.625</v>
      </c>
      <c r="AA33" s="54">
        <v>107.11</v>
      </c>
      <c r="AB33" s="75">
        <v>45938.625</v>
      </c>
      <c r="AC33" s="54">
        <v>99.5625</v>
      </c>
      <c r="AD33" s="75">
        <v>45917.625</v>
      </c>
      <c r="AE33" s="54">
        <v>101.5</v>
      </c>
      <c r="AF33" s="75">
        <v>45918.625</v>
      </c>
      <c r="AG33" s="54">
        <v>100.328125</v>
      </c>
    </row>
    <row r="34" spans="1:33" x14ac:dyDescent="0.3">
      <c r="A34" s="131">
        <v>45943</v>
      </c>
      <c r="B34" s="45">
        <f t="shared" si="0"/>
        <v>80.45</v>
      </c>
      <c r="C34" s="46">
        <f t="shared" si="1"/>
        <v>-308322.55282449652</v>
      </c>
      <c r="D34" s="46">
        <f t="shared" si="2"/>
        <v>-115150</v>
      </c>
      <c r="E34" s="45">
        <f t="shared" si="3"/>
        <v>99.9921875</v>
      </c>
      <c r="F34" s="46">
        <f t="shared" si="4"/>
        <v>-24375</v>
      </c>
      <c r="G34" s="47">
        <f t="shared" si="5"/>
        <v>-9251.0149739583358</v>
      </c>
      <c r="H34" s="45">
        <f t="shared" si="6"/>
        <v>111.73</v>
      </c>
      <c r="I34" s="46">
        <f t="shared" si="7"/>
        <v>-219365.74300582911</v>
      </c>
      <c r="J34" s="47">
        <f t="shared" si="8"/>
        <v>-118440</v>
      </c>
      <c r="K34" s="45">
        <f t="shared" si="9"/>
        <v>99.9921875</v>
      </c>
      <c r="L34" s="46">
        <f t="shared" si="10"/>
        <v>-21250</v>
      </c>
      <c r="M34" s="47">
        <f t="shared" si="11"/>
        <v>-8991.3280381944423</v>
      </c>
      <c r="N34" s="45">
        <f t="shared" si="12"/>
        <v>101.75</v>
      </c>
      <c r="O34" s="46">
        <f t="shared" si="13"/>
        <v>-1757.8125</v>
      </c>
      <c r="P34" s="47">
        <f t="shared" si="14"/>
        <v>-320.92903645833212</v>
      </c>
      <c r="Q34" s="45">
        <f t="shared" si="15"/>
        <v>102.109375</v>
      </c>
      <c r="R34" s="46">
        <f t="shared" si="16"/>
        <v>48398.4375</v>
      </c>
      <c r="S34" s="47">
        <f t="shared" si="17"/>
        <v>3677.2139322916701</v>
      </c>
      <c r="T34" s="82">
        <f t="shared" si="19"/>
        <v>1991.5057342589062</v>
      </c>
      <c r="V34" s="75">
        <v>45797.625</v>
      </c>
      <c r="W34" s="54">
        <v>79.34</v>
      </c>
      <c r="X34" s="75">
        <v>45939.625</v>
      </c>
      <c r="Y34" s="54">
        <v>99.5078125</v>
      </c>
      <c r="Z34" s="75">
        <v>45797.625</v>
      </c>
      <c r="AA34" s="54">
        <v>106.86</v>
      </c>
      <c r="AB34" s="75">
        <v>45939.625</v>
      </c>
      <c r="AC34" s="54">
        <v>99.5078125</v>
      </c>
      <c r="AD34" s="75">
        <v>45918.625</v>
      </c>
      <c r="AE34" s="54">
        <v>101.09375</v>
      </c>
      <c r="AF34" s="75">
        <v>45919.625</v>
      </c>
      <c r="AG34" s="54">
        <v>100.125</v>
      </c>
    </row>
    <row r="35" spans="1:33" x14ac:dyDescent="0.3">
      <c r="A35" s="131">
        <v>45944</v>
      </c>
      <c r="B35" s="45">
        <f t="shared" si="0"/>
        <v>80.540000000000006</v>
      </c>
      <c r="C35" s="46">
        <f t="shared" si="1"/>
        <v>-269512.72100043169</v>
      </c>
      <c r="D35" s="46">
        <f t="shared" si="2"/>
        <v>-119262.5</v>
      </c>
      <c r="E35" s="45">
        <f t="shared" si="3"/>
        <v>100.1328125</v>
      </c>
      <c r="F35" s="46">
        <f t="shared" si="4"/>
        <v>3046.875</v>
      </c>
      <c r="G35" s="47">
        <f t="shared" si="5"/>
        <v>-9581.4083658854215</v>
      </c>
      <c r="H35" s="45">
        <f t="shared" si="6"/>
        <v>112.1</v>
      </c>
      <c r="I35" s="46">
        <f t="shared" si="7"/>
        <v>-100876.21758662291</v>
      </c>
      <c r="J35" s="47">
        <f t="shared" si="8"/>
        <v>-122670</v>
      </c>
      <c r="K35" s="45">
        <f t="shared" si="9"/>
        <v>100.1328125</v>
      </c>
      <c r="L35" s="46">
        <f t="shared" si="10"/>
        <v>2656.25</v>
      </c>
      <c r="M35" s="47">
        <f t="shared" si="11"/>
        <v>-9312.4468967013891</v>
      </c>
      <c r="N35" s="45">
        <f t="shared" si="12"/>
        <v>101.859375</v>
      </c>
      <c r="O35" s="46">
        <f t="shared" si="13"/>
        <v>6445.3125</v>
      </c>
      <c r="P35" s="47">
        <f t="shared" si="14"/>
        <v>-332.39078776041424</v>
      </c>
      <c r="Q35" s="45">
        <f t="shared" si="15"/>
        <v>102.140625</v>
      </c>
      <c r="R35" s="46">
        <f t="shared" si="16"/>
        <v>51679.6875</v>
      </c>
      <c r="S35" s="47">
        <f t="shared" si="17"/>
        <v>3808.5430013020887</v>
      </c>
      <c r="T35" s="82">
        <f t="shared" si="19"/>
        <v>-69472.796009753918</v>
      </c>
      <c r="V35" s="75">
        <v>45798.625</v>
      </c>
      <c r="W35" s="54">
        <v>78.81</v>
      </c>
      <c r="X35" s="75">
        <v>45940.625</v>
      </c>
      <c r="Y35" s="54">
        <v>99.890625</v>
      </c>
      <c r="Z35" s="75">
        <v>45798.625</v>
      </c>
      <c r="AA35" s="54">
        <v>105.66</v>
      </c>
      <c r="AB35" s="75">
        <v>45940.625</v>
      </c>
      <c r="AC35" s="54">
        <v>99.890625</v>
      </c>
      <c r="AD35" s="75">
        <v>45919.625</v>
      </c>
      <c r="AE35" s="54">
        <v>101.015625</v>
      </c>
      <c r="AF35" s="75">
        <v>45922.625</v>
      </c>
      <c r="AG35" s="54">
        <v>99.734375</v>
      </c>
    </row>
    <row r="36" spans="1:33" x14ac:dyDescent="0.3">
      <c r="A36" s="131">
        <v>45945</v>
      </c>
      <c r="B36" s="45">
        <f t="shared" si="0"/>
        <v>80.8</v>
      </c>
      <c r="C36" s="46">
        <f t="shared" ref="C36" si="20">(B36/$B$14-1)*$B$5</f>
        <v>-157395.42906425431</v>
      </c>
      <c r="D36" s="46">
        <f t="shared" si="2"/>
        <v>-123374.99999999999</v>
      </c>
      <c r="E36" s="45">
        <f t="shared" si="3"/>
        <v>100.0234375</v>
      </c>
      <c r="F36" s="46">
        <f t="shared" ref="F36" si="21">(E36-$E$14)/100*$C$5</f>
        <v>-18281.25</v>
      </c>
      <c r="G36" s="47">
        <f t="shared" si="5"/>
        <v>-9911.8017578124927</v>
      </c>
      <c r="H36" s="45">
        <f t="shared" si="6"/>
        <v>112.1</v>
      </c>
      <c r="I36" s="46">
        <f t="shared" ref="I36" si="22">(H36/$H$14-1)*$D$5</f>
        <v>-100876.21758662291</v>
      </c>
      <c r="J36" s="47">
        <f t="shared" si="8"/>
        <v>-126899.99999999999</v>
      </c>
      <c r="K36" s="45">
        <f t="shared" si="9"/>
        <v>100.0234375</v>
      </c>
      <c r="L36" s="46">
        <f t="shared" ref="L36" si="23">(K36-$K$14)/100*$E$5</f>
        <v>-15937.5</v>
      </c>
      <c r="M36" s="47">
        <f t="shared" si="11"/>
        <v>-9633.5657552083358</v>
      </c>
      <c r="N36" s="45">
        <f t="shared" si="12"/>
        <v>101.734375</v>
      </c>
      <c r="O36" s="46">
        <f t="shared" ref="O36" si="24">(N36-$N$14)/100*$F$5</f>
        <v>-2929.6875</v>
      </c>
      <c r="P36" s="47">
        <f t="shared" si="14"/>
        <v>-343.85253906249272</v>
      </c>
      <c r="Q36" s="45">
        <f t="shared" si="15"/>
        <v>101.921875</v>
      </c>
      <c r="R36" s="46">
        <f t="shared" ref="R36" si="25">(Q36-$Q$14)/100*$G$5</f>
        <v>28710.937499999996</v>
      </c>
      <c r="S36" s="47">
        <f t="shared" si="17"/>
        <v>3939.8720703125</v>
      </c>
      <c r="T36" s="82">
        <f t="shared" si="19"/>
        <v>13281.762777551918</v>
      </c>
      <c r="V36" s="75">
        <v>45799.625</v>
      </c>
      <c r="W36" s="54">
        <v>78.97</v>
      </c>
      <c r="X36" s="75">
        <v>45943.625</v>
      </c>
      <c r="Y36" s="54">
        <v>99.9921875</v>
      </c>
      <c r="Z36" s="75">
        <v>45799.625</v>
      </c>
      <c r="AA36" s="54">
        <v>106.2</v>
      </c>
      <c r="AB36" s="75">
        <v>45943.625</v>
      </c>
      <c r="AC36" s="54">
        <v>99.9921875</v>
      </c>
      <c r="AD36" s="75">
        <v>45922.625</v>
      </c>
      <c r="AE36" s="54">
        <v>100.8125</v>
      </c>
      <c r="AF36" s="75">
        <v>45923.625</v>
      </c>
      <c r="AG36" s="54">
        <v>100.421875</v>
      </c>
    </row>
    <row r="37" spans="1:33" x14ac:dyDescent="0.3">
      <c r="A37" s="131">
        <v>45946</v>
      </c>
      <c r="B37" s="45">
        <f t="shared" ref="B37" si="26">VLOOKUP($A37+$J$1,V:W,2)</f>
        <v>80.510000000000005</v>
      </c>
      <c r="C37" s="46">
        <f t="shared" ref="C37:C38" si="27">(B37/$B$14-1)*$B$5</f>
        <v>-282449.33160845196</v>
      </c>
      <c r="D37" s="46">
        <f t="shared" ref="D37:D38" si="28">-1*(A37-$A$14)/360*$B$7*$B$5</f>
        <v>-127487.5</v>
      </c>
      <c r="E37" s="45">
        <f t="shared" ref="E37" si="29">VLOOKUP($A37+$J$1,X:Y,2)</f>
        <v>100.359375</v>
      </c>
      <c r="F37" s="46">
        <f t="shared" ref="F37:F38" si="30">(E37-$E$14)/100*$C$5</f>
        <v>47226.5625</v>
      </c>
      <c r="G37" s="47">
        <f t="shared" ref="G37:G38" si="31">(A37-$A$14)/360*$C$6*$C$5-(A37-$A$14)/360*$C$7*$C$5*$E$14/100</f>
        <v>-10242.195149739586</v>
      </c>
      <c r="H37" s="45">
        <f t="shared" ref="H37" si="32">VLOOKUP($A37+$J$1,Z:AA,2)</f>
        <v>112.42</v>
      </c>
      <c r="I37" s="46">
        <f t="shared" ref="I37:I38" si="33">(H37/$H$14-1)*$D$5</f>
        <v>1601.2098029642984</v>
      </c>
      <c r="J37" s="47">
        <f t="shared" ref="J37:J38" si="34">-1*(A37-$A$14)/360*$D$7*$D$5</f>
        <v>-131130</v>
      </c>
      <c r="K37" s="45">
        <f t="shared" ref="K37" si="35">VLOOKUP($A37+$J$1,AB:AC,2)</f>
        <v>100.359375</v>
      </c>
      <c r="L37" s="46">
        <f t="shared" ref="L37:L38" si="36">(K37-$K$14)/100*$E$5</f>
        <v>41171.875</v>
      </c>
      <c r="M37" s="47">
        <f t="shared" ref="M37:M38" si="37">(A37-$A$14)/360*$E$6*$E$5-(A37-$A$14)/360*$E$7*$E$5*$N$14/100</f>
        <v>-9954.6846137152825</v>
      </c>
      <c r="N37" s="45">
        <f t="shared" ref="N37" si="38">VLOOKUP($A37+$J$1,AD:AE,2)</f>
        <v>102.234375</v>
      </c>
      <c r="O37" s="46">
        <f t="shared" ref="O37:O38" si="39">(N37-$N$14)/100*$F$5</f>
        <v>34570.3125</v>
      </c>
      <c r="P37" s="47">
        <f t="shared" ref="P37:P38" si="40">(A37-$A$14)/360*$F$6*$F$5-(A37-$A$14)/360*$F$7*$F$5*$N$14/100</f>
        <v>-355.31429036457848</v>
      </c>
      <c r="Q37" s="45">
        <f t="shared" ref="Q37" si="41">VLOOKUP($A37+$J$1,AF:AG,2)</f>
        <v>102.671875</v>
      </c>
      <c r="R37" s="46">
        <f t="shared" ref="R37:R38" si="42">(Q37-$Q$14)/100*$G$5</f>
        <v>107460.9375</v>
      </c>
      <c r="S37" s="47">
        <f t="shared" ref="S37:S38" si="43">(A37-$A$14)/360*$G$6*$G$5-(A37-$A$14)/360*$G$7*$G$5*$Q$14/100</f>
        <v>4071.2011393229113</v>
      </c>
      <c r="T37" s="82">
        <f t="shared" ref="T37:T38" si="44">C37+D37-F37-G37-I37-J37+L37+M37+O37+P37+R37+S37+$J$9</f>
        <v>-106151.36280510449</v>
      </c>
      <c r="V37" s="75">
        <v>45800.625</v>
      </c>
      <c r="W37" s="54">
        <v>78.95</v>
      </c>
      <c r="X37" s="75">
        <v>45944.625</v>
      </c>
      <c r="Y37" s="54">
        <v>100.1328125</v>
      </c>
      <c r="Z37" s="75">
        <v>45800.625</v>
      </c>
      <c r="AA37" s="54">
        <v>106.28</v>
      </c>
      <c r="AB37" s="75">
        <v>45944.625</v>
      </c>
      <c r="AC37" s="54">
        <v>100.1328125</v>
      </c>
      <c r="AD37" s="75">
        <v>45923.625</v>
      </c>
      <c r="AE37" s="54">
        <v>101.140625</v>
      </c>
      <c r="AF37" s="75">
        <v>45924.625</v>
      </c>
      <c r="AG37" s="54">
        <v>100.015625</v>
      </c>
    </row>
    <row r="38" spans="1:33" x14ac:dyDescent="0.3">
      <c r="A38" s="131">
        <v>45947</v>
      </c>
      <c r="B38" s="45">
        <f>B10</f>
        <v>80.510000000000005</v>
      </c>
      <c r="C38" s="46">
        <f t="shared" si="27"/>
        <v>-282449.33160845196</v>
      </c>
      <c r="D38" s="46">
        <f t="shared" si="28"/>
        <v>-131600</v>
      </c>
      <c r="E38" s="45">
        <f>C10</f>
        <v>100.2578125</v>
      </c>
      <c r="F38" s="46">
        <f t="shared" si="30"/>
        <v>27421.875</v>
      </c>
      <c r="G38" s="47">
        <f t="shared" si="31"/>
        <v>-10572.588541666664</v>
      </c>
      <c r="H38" s="45">
        <f>D10</f>
        <v>112.42</v>
      </c>
      <c r="I38" s="46">
        <f t="shared" si="33"/>
        <v>1601.2098029642984</v>
      </c>
      <c r="J38" s="47">
        <f t="shared" si="34"/>
        <v>-135360</v>
      </c>
      <c r="K38" s="45">
        <f>E10</f>
        <v>100.2578125</v>
      </c>
      <c r="L38" s="46">
        <f t="shared" si="36"/>
        <v>23906.25</v>
      </c>
      <c r="M38" s="47">
        <f t="shared" si="37"/>
        <v>-10275.803472222222</v>
      </c>
      <c r="N38" s="45">
        <f>F10</f>
        <v>102.078125</v>
      </c>
      <c r="O38" s="46">
        <f t="shared" si="39"/>
        <v>22851.5625</v>
      </c>
      <c r="P38" s="47">
        <f t="shared" si="40"/>
        <v>-366.77604166666424</v>
      </c>
      <c r="Q38" s="45">
        <f>G10</f>
        <v>102.4375</v>
      </c>
      <c r="R38" s="46">
        <f t="shared" si="42"/>
        <v>82851.5625</v>
      </c>
      <c r="S38" s="47">
        <f t="shared" si="43"/>
        <v>4202.5302083333372</v>
      </c>
      <c r="T38" s="82">
        <f t="shared" si="44"/>
        <v>-139693.78345397601</v>
      </c>
      <c r="V38" s="75">
        <v>45804.625</v>
      </c>
      <c r="W38" s="54">
        <v>79.430000000000007</v>
      </c>
      <c r="X38" s="75">
        <v>45945.625</v>
      </c>
      <c r="Y38" s="54">
        <v>100.0234375</v>
      </c>
      <c r="Z38" s="75">
        <v>45804.625</v>
      </c>
      <c r="AA38" s="54">
        <v>107.24</v>
      </c>
      <c r="AB38" s="75">
        <v>45945.625</v>
      </c>
      <c r="AC38" s="54">
        <v>100.0234375</v>
      </c>
      <c r="AD38" s="75">
        <v>45924.625</v>
      </c>
      <c r="AE38" s="54">
        <v>100.859375</v>
      </c>
      <c r="AF38" s="75">
        <v>45925.625</v>
      </c>
      <c r="AG38" s="54">
        <v>100.03125</v>
      </c>
    </row>
    <row r="39" spans="1:33" x14ac:dyDescent="0.3">
      <c r="A39" s="131">
        <v>45950</v>
      </c>
      <c r="B39" s="45"/>
      <c r="C39" s="31"/>
      <c r="D39" s="31"/>
      <c r="E39" s="4"/>
      <c r="F39" s="31"/>
      <c r="G39" s="32"/>
      <c r="H39" s="4"/>
      <c r="I39" s="31"/>
      <c r="J39" s="32"/>
      <c r="K39" s="4"/>
      <c r="L39" s="31"/>
      <c r="M39" s="32"/>
      <c r="N39" s="4"/>
      <c r="O39" s="31"/>
      <c r="P39" s="32"/>
      <c r="Q39" s="4"/>
      <c r="R39" s="31"/>
      <c r="S39" s="32"/>
      <c r="T39" s="82"/>
      <c r="V39" s="75">
        <v>45805.625</v>
      </c>
      <c r="W39" s="54">
        <v>79.38</v>
      </c>
      <c r="X39" s="75">
        <v>45946.625</v>
      </c>
      <c r="Y39" s="54">
        <v>100.359375</v>
      </c>
      <c r="Z39" s="75">
        <v>45805.625</v>
      </c>
      <c r="AA39" s="54">
        <v>106.98</v>
      </c>
      <c r="AB39" s="75">
        <v>45946.625</v>
      </c>
      <c r="AC39" s="54">
        <v>100.359375</v>
      </c>
      <c r="AD39" s="75">
        <v>45925.625</v>
      </c>
      <c r="AE39" s="54">
        <v>100.640625</v>
      </c>
      <c r="AF39" s="75">
        <v>45926.625</v>
      </c>
      <c r="AG39" s="54">
        <v>99.90625</v>
      </c>
    </row>
    <row r="40" spans="1:33" x14ac:dyDescent="0.3">
      <c r="A40" s="131">
        <v>45951</v>
      </c>
      <c r="B40" s="45"/>
      <c r="C40" s="31"/>
      <c r="D40" s="31"/>
      <c r="E40" s="4"/>
      <c r="F40" s="31"/>
      <c r="G40" s="32"/>
      <c r="H40" s="4"/>
      <c r="I40" s="31"/>
      <c r="J40" s="32"/>
      <c r="K40" s="4"/>
      <c r="L40" s="31"/>
      <c r="M40" s="32"/>
      <c r="N40" s="4"/>
      <c r="O40" s="31"/>
      <c r="P40" s="32"/>
      <c r="Q40" s="4"/>
      <c r="R40" s="31"/>
      <c r="S40" s="32"/>
      <c r="T40" s="38"/>
      <c r="V40" s="75">
        <v>45806.625</v>
      </c>
      <c r="W40" s="54">
        <v>79.5</v>
      </c>
      <c r="Z40" s="75">
        <v>45806.625</v>
      </c>
      <c r="AA40" s="54">
        <v>107.46</v>
      </c>
      <c r="AD40" s="75">
        <v>45926.625</v>
      </c>
      <c r="AE40" s="54">
        <v>100.5625</v>
      </c>
      <c r="AF40" s="75">
        <v>45929.625</v>
      </c>
      <c r="AG40" s="54">
        <v>100.65625</v>
      </c>
    </row>
    <row r="41" spans="1:33" x14ac:dyDescent="0.3">
      <c r="A41" s="131">
        <v>45952</v>
      </c>
      <c r="B41" s="45"/>
      <c r="C41" s="31"/>
      <c r="D41" s="31"/>
      <c r="E41" s="4"/>
      <c r="F41" s="31"/>
      <c r="G41" s="32"/>
      <c r="H41" s="4"/>
      <c r="I41" s="31"/>
      <c r="J41" s="32"/>
      <c r="K41" s="4"/>
      <c r="L41" s="31"/>
      <c r="M41" s="32"/>
      <c r="N41" s="4"/>
      <c r="O41" s="31"/>
      <c r="P41" s="32"/>
      <c r="Q41" s="4"/>
      <c r="R41" s="31"/>
      <c r="S41" s="32"/>
      <c r="T41" s="38"/>
      <c r="V41" s="75">
        <v>45807.625</v>
      </c>
      <c r="W41" s="54">
        <v>79.569999999999993</v>
      </c>
      <c r="Z41" s="75">
        <v>45807.625</v>
      </c>
      <c r="AA41" s="54">
        <v>107.77</v>
      </c>
      <c r="AD41" s="75">
        <v>45929.625</v>
      </c>
      <c r="AE41" s="54">
        <v>100.875</v>
      </c>
      <c r="AF41" s="75">
        <v>45930.625</v>
      </c>
      <c r="AG41" s="54">
        <v>100.390625</v>
      </c>
    </row>
    <row r="42" spans="1:33" x14ac:dyDescent="0.3">
      <c r="A42" s="131">
        <v>45953</v>
      </c>
      <c r="B42" s="45"/>
      <c r="C42" s="31"/>
      <c r="D42" s="31"/>
      <c r="E42" s="4"/>
      <c r="F42" s="31"/>
      <c r="G42" s="32"/>
      <c r="H42" s="4"/>
      <c r="I42" s="31"/>
      <c r="J42" s="32"/>
      <c r="K42" s="4"/>
      <c r="L42" s="31"/>
      <c r="M42" s="32"/>
      <c r="N42" s="4"/>
      <c r="O42" s="31"/>
      <c r="P42" s="32"/>
      <c r="Q42" s="4"/>
      <c r="R42" s="31"/>
      <c r="S42" s="32"/>
      <c r="T42" s="38"/>
      <c r="V42" s="75">
        <v>45810.625</v>
      </c>
      <c r="W42" s="54">
        <v>79.180000000000007</v>
      </c>
      <c r="Z42" s="75">
        <v>45810.625</v>
      </c>
      <c r="AA42" s="54">
        <v>107.07</v>
      </c>
      <c r="AD42" s="75">
        <v>45930.625</v>
      </c>
      <c r="AE42" s="54">
        <v>100.828125</v>
      </c>
      <c r="AF42" s="75">
        <v>45931.625</v>
      </c>
      <c r="AG42" s="54">
        <v>100.578125</v>
      </c>
    </row>
    <row r="43" spans="1:33" x14ac:dyDescent="0.3">
      <c r="A43" s="131">
        <v>45954</v>
      </c>
      <c r="B43" s="45"/>
      <c r="C43" s="31"/>
      <c r="D43" s="31"/>
      <c r="E43" s="4"/>
      <c r="F43" s="31"/>
      <c r="G43" s="32"/>
      <c r="H43" s="4"/>
      <c r="I43" s="31"/>
      <c r="J43" s="32"/>
      <c r="K43" s="4"/>
      <c r="L43" s="31"/>
      <c r="M43" s="32"/>
      <c r="N43" s="4"/>
      <c r="O43" s="31"/>
      <c r="P43" s="32"/>
      <c r="Q43" s="4"/>
      <c r="R43" s="31"/>
      <c r="S43" s="32"/>
      <c r="T43" s="38"/>
      <c r="V43" s="75">
        <v>45811.625</v>
      </c>
      <c r="W43" s="54">
        <v>79.33</v>
      </c>
      <c r="Z43" s="75">
        <v>45811.625</v>
      </c>
      <c r="AA43" s="54">
        <v>107.12</v>
      </c>
      <c r="AD43" s="75">
        <v>45931.625</v>
      </c>
      <c r="AE43" s="54">
        <v>101.171875</v>
      </c>
      <c r="AF43" s="75">
        <v>45932.625</v>
      </c>
      <c r="AG43" s="54">
        <v>100.875</v>
      </c>
    </row>
    <row r="44" spans="1:33" x14ac:dyDescent="0.3">
      <c r="A44" s="131">
        <v>45955</v>
      </c>
      <c r="B44" s="45"/>
      <c r="C44" s="31"/>
      <c r="D44" s="31"/>
      <c r="E44" s="4"/>
      <c r="F44" s="31"/>
      <c r="G44" s="32"/>
      <c r="H44" s="4"/>
      <c r="I44" s="31"/>
      <c r="J44" s="32"/>
      <c r="K44" s="4"/>
      <c r="L44" s="31"/>
      <c r="M44" s="32"/>
      <c r="N44" s="4"/>
      <c r="O44" s="31"/>
      <c r="P44" s="32"/>
      <c r="Q44" s="4"/>
      <c r="R44" s="31"/>
      <c r="S44" s="32"/>
      <c r="T44" s="38"/>
      <c r="V44" s="75">
        <v>45812.625</v>
      </c>
      <c r="W44" s="54">
        <v>79.48</v>
      </c>
      <c r="Z44" s="75">
        <v>45812.625</v>
      </c>
      <c r="AA44" s="54">
        <v>107.9</v>
      </c>
      <c r="AD44" s="75">
        <v>45932.625</v>
      </c>
      <c r="AE44" s="54">
        <v>101.3125</v>
      </c>
      <c r="AF44" s="75">
        <v>45933.625</v>
      </c>
      <c r="AG44" s="54">
        <v>100.609375</v>
      </c>
    </row>
    <row r="45" spans="1:33" x14ac:dyDescent="0.3">
      <c r="A45" s="131">
        <v>45956</v>
      </c>
      <c r="B45" s="45"/>
      <c r="C45" s="31"/>
      <c r="D45" s="31"/>
      <c r="E45" s="4"/>
      <c r="F45" s="31"/>
      <c r="G45" s="32"/>
      <c r="H45" s="4"/>
      <c r="I45" s="31"/>
      <c r="J45" s="32"/>
      <c r="K45" s="4"/>
      <c r="L45" s="31"/>
      <c r="M45" s="32"/>
      <c r="N45" s="4"/>
      <c r="O45" s="31"/>
      <c r="P45" s="32"/>
      <c r="Q45" s="4"/>
      <c r="R45" s="31"/>
      <c r="S45" s="32"/>
      <c r="T45" s="38"/>
      <c r="V45" s="75">
        <v>45813.625</v>
      </c>
      <c r="W45" s="54">
        <v>79.31</v>
      </c>
      <c r="Z45" s="75">
        <v>45813.625</v>
      </c>
      <c r="AA45" s="54">
        <v>107.57</v>
      </c>
      <c r="AD45" s="75">
        <v>45933.625</v>
      </c>
      <c r="AE45" s="54">
        <v>101.046875</v>
      </c>
      <c r="AF45" s="75">
        <v>45936.625</v>
      </c>
      <c r="AG45" s="54">
        <v>99.859375</v>
      </c>
    </row>
    <row r="46" spans="1:33" x14ac:dyDescent="0.3">
      <c r="A46" s="131"/>
      <c r="B46" s="45"/>
      <c r="C46" s="31"/>
      <c r="D46" s="31"/>
      <c r="E46" s="4"/>
      <c r="F46" s="31"/>
      <c r="G46" s="32"/>
      <c r="H46" s="4"/>
      <c r="I46" s="31"/>
      <c r="J46" s="32"/>
      <c r="K46" s="4"/>
      <c r="L46" s="31"/>
      <c r="M46" s="32"/>
      <c r="N46" s="4"/>
      <c r="O46" s="31"/>
      <c r="P46" s="32"/>
      <c r="Q46" s="4"/>
      <c r="R46" s="31"/>
      <c r="S46" s="32"/>
      <c r="T46" s="38"/>
      <c r="V46" s="75">
        <v>45814.625</v>
      </c>
      <c r="W46" s="54">
        <v>79.3</v>
      </c>
      <c r="Z46" s="75">
        <v>45814.625</v>
      </c>
      <c r="AA46" s="54">
        <v>106.92</v>
      </c>
      <c r="AD46" s="75">
        <v>45936.625</v>
      </c>
      <c r="AE46" s="54">
        <v>100.6875</v>
      </c>
      <c r="AF46" s="75">
        <v>45937.625</v>
      </c>
      <c r="AG46" s="54">
        <v>100.390625</v>
      </c>
    </row>
    <row r="47" spans="1:33" x14ac:dyDescent="0.3">
      <c r="A47" s="131"/>
      <c r="B47" s="45"/>
      <c r="C47" s="31"/>
      <c r="D47" s="31"/>
      <c r="E47" s="4"/>
      <c r="F47" s="31"/>
      <c r="G47" s="32"/>
      <c r="H47" s="4"/>
      <c r="I47" s="31"/>
      <c r="J47" s="32"/>
      <c r="K47" s="4"/>
      <c r="L47" s="31"/>
      <c r="M47" s="32"/>
      <c r="N47" s="4"/>
      <c r="O47" s="31"/>
      <c r="P47" s="32"/>
      <c r="Q47" s="4"/>
      <c r="R47" s="31"/>
      <c r="S47" s="32"/>
      <c r="T47" s="38"/>
      <c r="V47" s="75">
        <v>45817.625</v>
      </c>
      <c r="W47" s="54">
        <v>79.34</v>
      </c>
      <c r="Z47" s="75">
        <v>45817.625</v>
      </c>
      <c r="AA47" s="54">
        <v>107.24</v>
      </c>
      <c r="AD47" s="75">
        <v>45937.625</v>
      </c>
      <c r="AE47" s="54">
        <v>100.96875</v>
      </c>
      <c r="AF47" s="75">
        <v>45938.625</v>
      </c>
      <c r="AG47" s="54">
        <v>100.4375</v>
      </c>
    </row>
    <row r="48" spans="1:33" x14ac:dyDescent="0.3">
      <c r="A48" s="131"/>
      <c r="B48" s="45"/>
      <c r="C48" s="31"/>
      <c r="D48" s="31"/>
      <c r="E48" s="4"/>
      <c r="F48" s="31"/>
      <c r="G48" s="32"/>
      <c r="H48" s="4"/>
      <c r="I48" s="31"/>
      <c r="J48" s="32"/>
      <c r="K48" s="4"/>
      <c r="L48" s="31"/>
      <c r="M48" s="32"/>
      <c r="N48" s="4"/>
      <c r="O48" s="31"/>
      <c r="P48" s="32"/>
      <c r="Q48" s="4"/>
      <c r="R48" s="31"/>
      <c r="S48" s="32"/>
      <c r="T48" s="38"/>
      <c r="V48" s="75">
        <v>45818.625</v>
      </c>
      <c r="W48" s="54">
        <v>79.53</v>
      </c>
      <c r="Z48" s="75">
        <v>45818.625</v>
      </c>
      <c r="AA48" s="54">
        <v>107.5</v>
      </c>
      <c r="AD48" s="75">
        <v>45938.625</v>
      </c>
      <c r="AE48" s="54">
        <v>100.953125</v>
      </c>
      <c r="AF48" s="75">
        <v>45939.625</v>
      </c>
      <c r="AG48" s="54">
        <v>100.390625</v>
      </c>
    </row>
    <row r="49" spans="1:33" x14ac:dyDescent="0.3">
      <c r="A49" s="131"/>
      <c r="B49" s="45"/>
      <c r="C49" s="31"/>
      <c r="D49" s="31"/>
      <c r="E49" s="4"/>
      <c r="F49" s="31"/>
      <c r="G49" s="32"/>
      <c r="H49" s="4"/>
      <c r="I49" s="31"/>
      <c r="J49" s="32"/>
      <c r="K49" s="4"/>
      <c r="L49" s="31"/>
      <c r="M49" s="32"/>
      <c r="N49" s="4"/>
      <c r="O49" s="31"/>
      <c r="P49" s="32"/>
      <c r="Q49" s="4"/>
      <c r="R49" s="31"/>
      <c r="S49" s="32"/>
      <c r="T49" s="38"/>
      <c r="V49" s="75">
        <v>45819.625</v>
      </c>
      <c r="W49" s="54">
        <v>79.510000000000005</v>
      </c>
      <c r="Z49" s="75">
        <v>45819.625</v>
      </c>
      <c r="AA49" s="54">
        <v>107.84</v>
      </c>
      <c r="AD49" s="75">
        <v>45939.625</v>
      </c>
      <c r="AE49" s="54">
        <v>100.875</v>
      </c>
      <c r="AF49" s="75">
        <v>45940.625</v>
      </c>
      <c r="AG49" s="54">
        <v>101.875</v>
      </c>
    </row>
    <row r="50" spans="1:33" x14ac:dyDescent="0.3">
      <c r="A50" s="131"/>
      <c r="B50" s="45"/>
      <c r="C50" s="31"/>
      <c r="D50" s="31"/>
      <c r="E50" s="4"/>
      <c r="F50" s="31"/>
      <c r="G50" s="32"/>
      <c r="H50" s="4"/>
      <c r="I50" s="31"/>
      <c r="J50" s="32"/>
      <c r="K50" s="4"/>
      <c r="L50" s="31"/>
      <c r="M50" s="32"/>
      <c r="N50" s="4"/>
      <c r="O50" s="31"/>
      <c r="P50" s="32"/>
      <c r="Q50" s="4"/>
      <c r="R50" s="31"/>
      <c r="S50" s="32"/>
      <c r="T50" s="38"/>
      <c r="V50" s="75">
        <v>45820.625</v>
      </c>
      <c r="W50" s="54">
        <v>79.599999999999994</v>
      </c>
      <c r="Z50" s="75">
        <v>45820.625</v>
      </c>
      <c r="AA50" s="54">
        <v>108.44</v>
      </c>
      <c r="AD50" s="75">
        <v>45940.625</v>
      </c>
      <c r="AE50" s="54">
        <v>101.578125</v>
      </c>
      <c r="AF50" s="75">
        <v>45943.625</v>
      </c>
      <c r="AG50" s="54">
        <v>102.109375</v>
      </c>
    </row>
    <row r="51" spans="1:33" x14ac:dyDescent="0.3">
      <c r="A51" s="131"/>
      <c r="B51" s="45"/>
      <c r="C51" s="31"/>
      <c r="D51" s="31"/>
      <c r="E51" s="4"/>
      <c r="F51" s="31"/>
      <c r="G51" s="32"/>
      <c r="H51" s="4"/>
      <c r="I51" s="31"/>
      <c r="J51" s="32"/>
      <c r="K51" s="4"/>
      <c r="L51" s="31"/>
      <c r="M51" s="32"/>
      <c r="N51" s="4"/>
      <c r="O51" s="31"/>
      <c r="P51" s="32"/>
      <c r="Q51" s="4"/>
      <c r="R51" s="31"/>
      <c r="S51" s="32"/>
      <c r="T51" s="38"/>
      <c r="V51" s="75">
        <v>45821.625</v>
      </c>
      <c r="W51" s="54">
        <v>79.36</v>
      </c>
      <c r="Z51" s="75">
        <v>45821.625</v>
      </c>
      <c r="AA51" s="54">
        <v>107.79</v>
      </c>
      <c r="AD51" s="75">
        <v>45943.625</v>
      </c>
      <c r="AE51" s="54">
        <v>101.75</v>
      </c>
      <c r="AF51" s="75">
        <v>45944.625</v>
      </c>
      <c r="AG51" s="54">
        <v>102.140625</v>
      </c>
    </row>
    <row r="52" spans="1:33" x14ac:dyDescent="0.3">
      <c r="A52" s="131"/>
      <c r="B52" s="45"/>
      <c r="C52" s="31"/>
      <c r="D52" s="31"/>
      <c r="E52" s="4"/>
      <c r="F52" s="31"/>
      <c r="G52" s="32"/>
      <c r="H52" s="4"/>
      <c r="I52" s="31"/>
      <c r="J52" s="32"/>
      <c r="K52" s="4"/>
      <c r="L52" s="31"/>
      <c r="M52" s="32"/>
      <c r="N52" s="4"/>
      <c r="O52" s="31"/>
      <c r="P52" s="32"/>
      <c r="Q52" s="4"/>
      <c r="R52" s="31"/>
      <c r="S52" s="32"/>
      <c r="T52" s="38"/>
      <c r="V52" s="75">
        <v>45824.625</v>
      </c>
      <c r="W52" s="54">
        <v>79.52</v>
      </c>
      <c r="Z52" s="75">
        <v>45824.625</v>
      </c>
      <c r="AA52" s="54">
        <v>107.6</v>
      </c>
      <c r="AD52" s="75">
        <v>45944.625</v>
      </c>
      <c r="AE52" s="54">
        <v>101.859375</v>
      </c>
      <c r="AF52" s="75">
        <v>45945.625</v>
      </c>
      <c r="AG52" s="54">
        <v>101.921875</v>
      </c>
    </row>
    <row r="53" spans="1:33" x14ac:dyDescent="0.3">
      <c r="A53" s="131"/>
      <c r="B53" s="45"/>
      <c r="C53" s="31"/>
      <c r="D53" s="31"/>
      <c r="E53" s="4"/>
      <c r="F53" s="31"/>
      <c r="G53" s="32"/>
      <c r="H53" s="4"/>
      <c r="I53" s="31"/>
      <c r="J53" s="32"/>
      <c r="K53" s="4"/>
      <c r="L53" s="31"/>
      <c r="M53" s="32"/>
      <c r="N53" s="4"/>
      <c r="O53" s="31"/>
      <c r="P53" s="32"/>
      <c r="Q53" s="4"/>
      <c r="R53" s="31"/>
      <c r="S53" s="32"/>
      <c r="T53" s="38"/>
      <c r="V53" s="75">
        <v>45825.625</v>
      </c>
      <c r="W53" s="54">
        <v>79.430000000000007</v>
      </c>
      <c r="Z53" s="75">
        <v>45825.625</v>
      </c>
      <c r="AA53" s="54">
        <v>107.97</v>
      </c>
      <c r="AD53" s="75">
        <v>45945.625</v>
      </c>
      <c r="AE53" s="54">
        <v>101.734375</v>
      </c>
      <c r="AF53" s="75">
        <v>45946.625</v>
      </c>
      <c r="AG53" s="54">
        <v>102.671875</v>
      </c>
    </row>
    <row r="54" spans="1:33" x14ac:dyDescent="0.3">
      <c r="A54" s="131"/>
      <c r="B54" s="45"/>
      <c r="C54" s="31"/>
      <c r="D54" s="31"/>
      <c r="E54" s="4"/>
      <c r="F54" s="31"/>
      <c r="G54" s="32"/>
      <c r="H54" s="4"/>
      <c r="I54" s="31"/>
      <c r="J54" s="32"/>
      <c r="K54" s="4"/>
      <c r="L54" s="31"/>
      <c r="M54" s="32"/>
      <c r="N54" s="4"/>
      <c r="O54" s="31"/>
      <c r="P54" s="32"/>
      <c r="Q54" s="4"/>
      <c r="R54" s="31"/>
      <c r="S54" s="32"/>
      <c r="T54" s="38"/>
      <c r="V54" s="75">
        <v>45826.625</v>
      </c>
      <c r="W54" s="54">
        <v>79.55</v>
      </c>
      <c r="Z54" s="75">
        <v>45826.625</v>
      </c>
      <c r="AA54" s="54">
        <v>108.05</v>
      </c>
      <c r="AD54" s="75">
        <v>45946.625</v>
      </c>
      <c r="AE54" s="54">
        <v>102.234375</v>
      </c>
    </row>
    <row r="55" spans="1:33" x14ac:dyDescent="0.3">
      <c r="A55" s="131"/>
      <c r="B55" s="45"/>
      <c r="C55" s="31"/>
      <c r="D55" s="31"/>
      <c r="E55" s="4"/>
      <c r="F55" s="31"/>
      <c r="G55" s="32"/>
      <c r="H55" s="4"/>
      <c r="I55" s="31"/>
      <c r="J55" s="32"/>
      <c r="K55" s="4"/>
      <c r="L55" s="31"/>
      <c r="M55" s="32"/>
      <c r="N55" s="4"/>
      <c r="O55" s="31"/>
      <c r="P55" s="32"/>
      <c r="Q55" s="4"/>
      <c r="R55" s="31"/>
      <c r="S55" s="32"/>
      <c r="T55" s="38"/>
      <c r="V55" s="75">
        <v>45828.625</v>
      </c>
      <c r="W55" s="54">
        <v>79.790000000000006</v>
      </c>
      <c r="Z55" s="75">
        <v>45828.625</v>
      </c>
      <c r="AA55" s="54">
        <v>108.15</v>
      </c>
    </row>
    <row r="56" spans="1:33" x14ac:dyDescent="0.3">
      <c r="A56" s="131"/>
      <c r="B56" s="45"/>
      <c r="C56" s="31"/>
      <c r="D56" s="31"/>
      <c r="E56" s="4"/>
      <c r="F56" s="31"/>
      <c r="G56" s="32"/>
      <c r="H56" s="4"/>
      <c r="I56" s="31"/>
      <c r="J56" s="32"/>
      <c r="K56" s="4"/>
      <c r="L56" s="31"/>
      <c r="M56" s="32"/>
      <c r="N56" s="4"/>
      <c r="O56" s="31"/>
      <c r="P56" s="32"/>
      <c r="Q56" s="4"/>
      <c r="R56" s="31"/>
      <c r="S56" s="32"/>
      <c r="T56" s="38"/>
      <c r="V56" s="75">
        <v>45831.625</v>
      </c>
      <c r="W56" s="54">
        <v>79.95</v>
      </c>
      <c r="Z56" s="75">
        <v>45831.625</v>
      </c>
      <c r="AA56" s="54">
        <v>108.41</v>
      </c>
    </row>
    <row r="57" spans="1:33" x14ac:dyDescent="0.3">
      <c r="A57" s="131"/>
      <c r="B57" s="45"/>
      <c r="C57" s="31"/>
      <c r="D57" s="31"/>
      <c r="E57" s="4"/>
      <c r="F57" s="31"/>
      <c r="G57" s="32"/>
      <c r="H57" s="4"/>
      <c r="I57" s="31"/>
      <c r="J57" s="32"/>
      <c r="K57" s="4"/>
      <c r="L57" s="31"/>
      <c r="M57" s="32"/>
      <c r="N57" s="4"/>
      <c r="O57" s="31"/>
      <c r="P57" s="32"/>
      <c r="Q57" s="4"/>
      <c r="R57" s="31"/>
      <c r="S57" s="32"/>
      <c r="T57" s="38"/>
      <c r="V57" s="75">
        <v>45832.625</v>
      </c>
      <c r="W57" s="54">
        <v>80.17</v>
      </c>
      <c r="Z57" s="75">
        <v>45832.625</v>
      </c>
      <c r="AA57" s="54">
        <v>108.92</v>
      </c>
    </row>
    <row r="58" spans="1:33" x14ac:dyDescent="0.3">
      <c r="A58" s="131"/>
      <c r="B58" s="45"/>
      <c r="C58" s="31"/>
      <c r="D58" s="31"/>
      <c r="E58" s="4"/>
      <c r="F58" s="31"/>
      <c r="G58" s="32"/>
      <c r="H58" s="4"/>
      <c r="I58" s="31"/>
      <c r="J58" s="32"/>
      <c r="K58" s="4"/>
      <c r="L58" s="31"/>
      <c r="M58" s="32"/>
      <c r="N58" s="4"/>
      <c r="O58" s="31"/>
      <c r="P58" s="32"/>
      <c r="Q58" s="4"/>
      <c r="R58" s="31"/>
      <c r="S58" s="32"/>
      <c r="T58" s="38"/>
      <c r="V58" s="75">
        <v>45833.625</v>
      </c>
      <c r="W58" s="54">
        <v>80.150000000000006</v>
      </c>
      <c r="Z58" s="75">
        <v>45833.625</v>
      </c>
      <c r="AA58" s="54">
        <v>108.79</v>
      </c>
    </row>
    <row r="59" spans="1:33" x14ac:dyDescent="0.3">
      <c r="A59" s="131"/>
      <c r="B59" s="45"/>
      <c r="C59" s="31"/>
      <c r="D59" s="31"/>
      <c r="E59" s="4"/>
      <c r="F59" s="31"/>
      <c r="G59" s="32"/>
      <c r="H59" s="4"/>
      <c r="I59" s="31"/>
      <c r="J59" s="32"/>
      <c r="K59" s="4"/>
      <c r="L59" s="31"/>
      <c r="M59" s="32"/>
      <c r="N59" s="4"/>
      <c r="O59" s="31"/>
      <c r="P59" s="32"/>
      <c r="Q59" s="4"/>
      <c r="R59" s="31"/>
      <c r="S59" s="32"/>
      <c r="T59" s="38"/>
      <c r="V59" s="75">
        <v>45834.625</v>
      </c>
      <c r="W59" s="54">
        <v>80.38</v>
      </c>
      <c r="Z59" s="75">
        <v>45834.625</v>
      </c>
      <c r="AA59" s="54">
        <v>109.19</v>
      </c>
    </row>
    <row r="60" spans="1:33" x14ac:dyDescent="0.3">
      <c r="A60" s="131"/>
      <c r="B60" s="45"/>
      <c r="C60" s="31"/>
      <c r="D60" s="31"/>
      <c r="E60" s="4"/>
      <c r="F60" s="31"/>
      <c r="G60" s="32"/>
      <c r="H60" s="4"/>
      <c r="I60" s="31"/>
      <c r="J60" s="32"/>
      <c r="K60" s="4"/>
      <c r="L60" s="31"/>
      <c r="M60" s="32"/>
      <c r="N60" s="4"/>
      <c r="O60" s="31"/>
      <c r="P60" s="32"/>
      <c r="Q60" s="4"/>
      <c r="R60" s="31"/>
      <c r="S60" s="32"/>
      <c r="T60" s="38"/>
      <c r="V60" s="75">
        <v>45835.625</v>
      </c>
      <c r="W60" s="54">
        <v>80.34</v>
      </c>
      <c r="Z60" s="75">
        <v>45835.625</v>
      </c>
      <c r="AA60" s="54">
        <v>109.01</v>
      </c>
    </row>
    <row r="61" spans="1:33" x14ac:dyDescent="0.3">
      <c r="A61" s="131"/>
      <c r="B61" s="45"/>
      <c r="C61" s="31"/>
      <c r="D61" s="31"/>
      <c r="E61" s="4"/>
      <c r="F61" s="31"/>
      <c r="G61" s="32"/>
      <c r="H61" s="4"/>
      <c r="I61" s="31"/>
      <c r="J61" s="32"/>
      <c r="K61" s="4"/>
      <c r="L61" s="31"/>
      <c r="M61" s="32"/>
      <c r="N61" s="4"/>
      <c r="O61" s="31"/>
      <c r="P61" s="32"/>
      <c r="Q61" s="4"/>
      <c r="R61" s="31"/>
      <c r="S61" s="32"/>
      <c r="T61" s="38"/>
      <c r="V61" s="75">
        <v>45838.625</v>
      </c>
      <c r="W61" s="54">
        <v>80.650000000000006</v>
      </c>
      <c r="Z61" s="75">
        <v>45838.625</v>
      </c>
      <c r="AA61" s="54">
        <v>109.61</v>
      </c>
    </row>
    <row r="62" spans="1:33" ht="15" thickBot="1" x14ac:dyDescent="0.35">
      <c r="A62" s="132"/>
      <c r="B62" s="48"/>
      <c r="C62" s="49"/>
      <c r="D62" s="49"/>
      <c r="E62" s="11"/>
      <c r="F62" s="49"/>
      <c r="G62" s="50"/>
      <c r="H62" s="11"/>
      <c r="I62" s="49"/>
      <c r="J62" s="50"/>
      <c r="K62" s="11"/>
      <c r="L62" s="49"/>
      <c r="M62" s="50"/>
      <c r="N62" s="11"/>
      <c r="O62" s="49"/>
      <c r="P62" s="50"/>
      <c r="Q62" s="11"/>
      <c r="R62" s="49"/>
      <c r="S62" s="50"/>
      <c r="T62" s="51"/>
      <c r="V62" s="75">
        <v>45839.625</v>
      </c>
      <c r="W62" s="54">
        <v>80.17</v>
      </c>
      <c r="Z62" s="75">
        <v>45839.625</v>
      </c>
      <c r="AA62" s="54">
        <v>109.34</v>
      </c>
    </row>
    <row r="63" spans="1:33" x14ac:dyDescent="0.3">
      <c r="B63" s="58"/>
      <c r="C63" s="58"/>
      <c r="D63" s="58"/>
      <c r="E63" s="58"/>
      <c r="F63" s="58"/>
      <c r="H63" s="57"/>
      <c r="I63" s="57"/>
      <c r="K63" s="58"/>
      <c r="L63" s="58"/>
      <c r="N63" s="57"/>
      <c r="O63" s="57"/>
      <c r="R63" s="57"/>
      <c r="S63" s="57"/>
      <c r="T63" s="57"/>
      <c r="V63" s="75">
        <v>45840.625</v>
      </c>
      <c r="W63" s="54">
        <v>80.319999999999993</v>
      </c>
      <c r="Z63" s="75">
        <v>45840.625</v>
      </c>
      <c r="AA63" s="54">
        <v>109.32</v>
      </c>
    </row>
    <row r="64" spans="1:33" x14ac:dyDescent="0.3">
      <c r="B64" s="75"/>
      <c r="C64" s="58"/>
      <c r="D64" s="75"/>
      <c r="E64" s="58"/>
      <c r="F64" s="75"/>
      <c r="H64" s="75"/>
      <c r="J64" s="75"/>
      <c r="K64" s="58"/>
      <c r="L64" s="75"/>
      <c r="R64" s="57"/>
      <c r="S64" s="57"/>
      <c r="T64" s="57"/>
      <c r="V64" s="75">
        <v>45841.625</v>
      </c>
      <c r="W64" s="54">
        <v>80.37</v>
      </c>
      <c r="Z64" s="75">
        <v>45841.625</v>
      </c>
      <c r="AA64" s="54">
        <v>109.06</v>
      </c>
    </row>
    <row r="65" spans="2:27" x14ac:dyDescent="0.3">
      <c r="B65" s="75"/>
      <c r="C65" s="58"/>
      <c r="D65" s="75"/>
      <c r="E65" s="58"/>
      <c r="F65" s="75"/>
      <c r="H65" s="75"/>
      <c r="J65" s="75"/>
      <c r="K65" s="58"/>
      <c r="L65" s="75"/>
      <c r="R65" s="57"/>
      <c r="S65" s="57"/>
      <c r="T65" s="57"/>
      <c r="V65" s="75">
        <v>45845.625</v>
      </c>
      <c r="W65" s="54">
        <v>80.099999999999994</v>
      </c>
      <c r="Z65" s="75">
        <v>45845.625</v>
      </c>
      <c r="AA65" s="54">
        <v>108.41</v>
      </c>
    </row>
    <row r="66" spans="2:27" x14ac:dyDescent="0.3">
      <c r="B66" s="75"/>
      <c r="C66" s="58"/>
      <c r="D66" s="75"/>
      <c r="E66" s="58"/>
      <c r="F66" s="75"/>
      <c r="H66" s="75"/>
      <c r="J66" s="75"/>
      <c r="K66" s="58"/>
      <c r="L66" s="75"/>
      <c r="R66" s="57"/>
      <c r="S66" s="57"/>
      <c r="T66" s="57"/>
      <c r="V66" s="75">
        <v>45846.625</v>
      </c>
      <c r="W66" s="54">
        <v>79.989999999999995</v>
      </c>
      <c r="Z66" s="75">
        <v>45846.625</v>
      </c>
      <c r="AA66" s="54">
        <v>108.1</v>
      </c>
    </row>
    <row r="67" spans="2:27" x14ac:dyDescent="0.3">
      <c r="B67" s="75"/>
      <c r="C67" s="58"/>
      <c r="D67" s="75"/>
      <c r="E67" s="58"/>
      <c r="F67" s="75"/>
      <c r="H67" s="75"/>
      <c r="J67" s="75"/>
      <c r="K67" s="58"/>
      <c r="L67" s="75"/>
      <c r="V67" s="75">
        <v>45847.625</v>
      </c>
      <c r="W67" s="54">
        <v>80.209999999999994</v>
      </c>
      <c r="Z67" s="75">
        <v>45847.625</v>
      </c>
      <c r="AA67" s="54">
        <v>108.71</v>
      </c>
    </row>
    <row r="68" spans="2:27" x14ac:dyDescent="0.3">
      <c r="B68" s="75"/>
      <c r="C68" s="58"/>
      <c r="D68" s="75"/>
      <c r="E68" s="58"/>
      <c r="F68" s="75"/>
      <c r="H68" s="75"/>
      <c r="J68" s="75"/>
      <c r="K68" s="58"/>
      <c r="L68" s="75"/>
      <c r="V68" s="75">
        <v>45848.625</v>
      </c>
      <c r="W68" s="54">
        <v>80.13</v>
      </c>
      <c r="Z68" s="75">
        <v>45848.625</v>
      </c>
      <c r="AA68" s="54">
        <v>108.74</v>
      </c>
    </row>
    <row r="69" spans="2:27" x14ac:dyDescent="0.3">
      <c r="B69" s="75"/>
      <c r="C69" s="58"/>
      <c r="D69" s="75"/>
      <c r="E69" s="58"/>
      <c r="F69" s="75"/>
      <c r="H69" s="75"/>
      <c r="J69" s="75"/>
      <c r="K69" s="58"/>
      <c r="L69" s="75"/>
      <c r="V69" s="75">
        <v>45849.625</v>
      </c>
      <c r="W69" s="54">
        <v>80.03</v>
      </c>
      <c r="Z69" s="75">
        <v>45849.625</v>
      </c>
      <c r="AA69" s="54">
        <v>108.08</v>
      </c>
    </row>
    <row r="70" spans="2:27" x14ac:dyDescent="0.3">
      <c r="B70" s="75"/>
      <c r="C70" s="58"/>
      <c r="D70" s="75"/>
      <c r="E70" s="58"/>
      <c r="F70" s="75"/>
      <c r="H70" s="75"/>
      <c r="J70" s="75"/>
      <c r="K70" s="58"/>
      <c r="L70" s="75"/>
      <c r="V70" s="75">
        <v>45852.625</v>
      </c>
      <c r="W70" s="54">
        <v>80.09</v>
      </c>
      <c r="Z70" s="75">
        <v>45852.625</v>
      </c>
      <c r="AA70" s="54">
        <v>108.05</v>
      </c>
    </row>
    <row r="71" spans="2:27" x14ac:dyDescent="0.3">
      <c r="B71" s="75"/>
      <c r="C71" s="58"/>
      <c r="D71" s="75"/>
      <c r="E71" s="58"/>
      <c r="F71" s="75"/>
      <c r="H71" s="75"/>
      <c r="J71" s="75"/>
      <c r="K71" s="58"/>
      <c r="L71" s="75"/>
      <c r="V71" s="75">
        <v>45853.625</v>
      </c>
      <c r="W71" s="54">
        <v>79.849999999999994</v>
      </c>
      <c r="Z71" s="75">
        <v>45853.625</v>
      </c>
      <c r="AA71" s="54">
        <v>107.66</v>
      </c>
    </row>
    <row r="72" spans="2:27" x14ac:dyDescent="0.3">
      <c r="B72" s="75"/>
      <c r="C72" s="58"/>
      <c r="D72" s="75"/>
      <c r="E72" s="58"/>
      <c r="F72" s="75"/>
      <c r="H72" s="75"/>
      <c r="J72" s="75"/>
      <c r="K72" s="58"/>
      <c r="L72" s="75"/>
      <c r="V72" s="75">
        <v>45854.625</v>
      </c>
      <c r="W72" s="54">
        <v>80.06</v>
      </c>
      <c r="Z72" s="75">
        <v>45854.625</v>
      </c>
      <c r="AA72" s="54">
        <v>107.83</v>
      </c>
    </row>
    <row r="73" spans="2:27" x14ac:dyDescent="0.3">
      <c r="B73" s="75"/>
      <c r="C73" s="58"/>
      <c r="D73" s="75"/>
      <c r="E73" s="58"/>
      <c r="F73" s="75"/>
      <c r="H73" s="75"/>
      <c r="J73" s="75"/>
      <c r="K73" s="58"/>
      <c r="L73" s="75"/>
      <c r="V73" s="75">
        <v>45855.625</v>
      </c>
      <c r="W73" s="54">
        <v>80.14</v>
      </c>
      <c r="Z73" s="75">
        <v>45855.625</v>
      </c>
      <c r="AA73" s="54">
        <v>108.09</v>
      </c>
    </row>
    <row r="74" spans="2:27" x14ac:dyDescent="0.3">
      <c r="B74" s="75"/>
      <c r="C74" s="58"/>
      <c r="D74" s="75"/>
      <c r="E74" s="58"/>
      <c r="F74" s="75"/>
      <c r="H74" s="75"/>
      <c r="J74" s="75"/>
      <c r="K74" s="58"/>
      <c r="L74" s="75"/>
      <c r="V74" s="75">
        <v>45856.625</v>
      </c>
      <c r="W74" s="54">
        <v>80.25</v>
      </c>
      <c r="Z74" s="75">
        <v>45856.625</v>
      </c>
      <c r="AA74" s="54">
        <v>108.29</v>
      </c>
    </row>
    <row r="75" spans="2:27" x14ac:dyDescent="0.3">
      <c r="B75" s="75"/>
      <c r="D75" s="75"/>
      <c r="F75" s="75"/>
      <c r="H75" s="75"/>
      <c r="J75" s="75"/>
      <c r="L75" s="75"/>
      <c r="V75" s="75">
        <v>45859.625</v>
      </c>
      <c r="W75" s="54">
        <v>80.36</v>
      </c>
      <c r="Z75" s="75">
        <v>45859.625</v>
      </c>
      <c r="AA75" s="54">
        <v>108.71</v>
      </c>
    </row>
    <row r="76" spans="2:27" x14ac:dyDescent="0.3">
      <c r="B76" s="75"/>
      <c r="D76" s="75"/>
      <c r="F76" s="75"/>
      <c r="H76" s="75"/>
      <c r="J76" s="75"/>
      <c r="L76" s="75"/>
      <c r="V76" s="75">
        <v>45860.625</v>
      </c>
      <c r="W76" s="54">
        <v>80.5</v>
      </c>
      <c r="Z76" s="75">
        <v>45860.625</v>
      </c>
      <c r="AA76" s="54">
        <v>108.97</v>
      </c>
    </row>
    <row r="77" spans="2:27" x14ac:dyDescent="0.3">
      <c r="B77" s="75"/>
      <c r="D77" s="75"/>
      <c r="F77" s="75"/>
      <c r="H77" s="75"/>
      <c r="J77" s="75"/>
      <c r="L77" s="75"/>
      <c r="V77" s="75">
        <v>45861.625</v>
      </c>
      <c r="W77" s="54">
        <v>80.540000000000006</v>
      </c>
      <c r="Z77" s="75">
        <v>45861.625</v>
      </c>
      <c r="AA77" s="54">
        <v>108.8</v>
      </c>
    </row>
    <row r="78" spans="2:27" x14ac:dyDescent="0.3">
      <c r="B78" s="75"/>
      <c r="D78" s="75"/>
      <c r="F78" s="75"/>
      <c r="H78" s="75"/>
      <c r="J78" s="75"/>
      <c r="L78" s="75"/>
      <c r="V78" s="75">
        <v>45862.625</v>
      </c>
      <c r="W78" s="54">
        <v>80.44</v>
      </c>
      <c r="Z78" s="75">
        <v>45862.625</v>
      </c>
      <c r="AA78" s="54">
        <v>108.64</v>
      </c>
    </row>
    <row r="79" spans="2:27" x14ac:dyDescent="0.3">
      <c r="B79" s="75"/>
      <c r="D79" s="75"/>
      <c r="F79" s="75"/>
      <c r="H79" s="75"/>
      <c r="J79" s="75"/>
      <c r="L79" s="75"/>
      <c r="V79" s="75">
        <v>45863.625</v>
      </c>
      <c r="W79" s="54">
        <v>80.489999999999995</v>
      </c>
      <c r="Z79" s="75">
        <v>45863.625</v>
      </c>
      <c r="AA79" s="54">
        <v>108.99</v>
      </c>
    </row>
    <row r="80" spans="2:27" x14ac:dyDescent="0.3">
      <c r="B80" s="75"/>
      <c r="D80" s="75"/>
      <c r="F80" s="75"/>
      <c r="H80" s="75"/>
      <c r="J80" s="75"/>
      <c r="L80" s="75"/>
      <c r="V80" s="75">
        <v>45866.625</v>
      </c>
      <c r="W80" s="54">
        <v>80.45</v>
      </c>
      <c r="Z80" s="75">
        <v>45866.625</v>
      </c>
      <c r="AA80" s="54">
        <v>108.77</v>
      </c>
    </row>
    <row r="81" spans="2:27" x14ac:dyDescent="0.3">
      <c r="B81" s="75"/>
      <c r="D81" s="75"/>
      <c r="F81" s="75"/>
      <c r="H81" s="75"/>
      <c r="J81" s="75"/>
      <c r="L81" s="75"/>
      <c r="V81" s="75">
        <v>45867.625</v>
      </c>
      <c r="W81" s="54">
        <v>80.5</v>
      </c>
      <c r="Z81" s="75">
        <v>45867.625</v>
      </c>
      <c r="AA81" s="54">
        <v>109.49</v>
      </c>
    </row>
    <row r="82" spans="2:27" x14ac:dyDescent="0.3">
      <c r="B82" s="75"/>
      <c r="D82" s="75"/>
      <c r="F82" s="75"/>
      <c r="H82" s="75"/>
      <c r="J82" s="75"/>
      <c r="L82" s="75"/>
      <c r="V82" s="75">
        <v>45868.625</v>
      </c>
      <c r="W82" s="54">
        <v>80.33</v>
      </c>
      <c r="Z82" s="75">
        <v>45868.625</v>
      </c>
      <c r="AA82" s="54">
        <v>109.08</v>
      </c>
    </row>
    <row r="83" spans="2:27" x14ac:dyDescent="0.3">
      <c r="H83" s="75"/>
      <c r="J83" s="75"/>
      <c r="L83" s="75"/>
      <c r="V83" s="75">
        <v>45869.625</v>
      </c>
      <c r="W83" s="54">
        <v>80.38</v>
      </c>
      <c r="Z83" s="75">
        <v>45869.625</v>
      </c>
      <c r="AA83" s="54">
        <v>109.11</v>
      </c>
    </row>
    <row r="84" spans="2:27" x14ac:dyDescent="0.3">
      <c r="H84" s="75"/>
      <c r="J84" s="75"/>
      <c r="V84" s="75">
        <v>45870.625</v>
      </c>
      <c r="W84" s="54">
        <v>79.98</v>
      </c>
      <c r="Z84" s="75">
        <v>45870.625</v>
      </c>
      <c r="AA84" s="54">
        <v>109.63</v>
      </c>
    </row>
    <row r="85" spans="2:27" x14ac:dyDescent="0.3">
      <c r="H85" s="75"/>
      <c r="J85" s="75"/>
      <c r="V85" s="75">
        <v>45873.625</v>
      </c>
      <c r="W85" s="54">
        <v>80.25</v>
      </c>
      <c r="Z85" s="75">
        <v>45873.625</v>
      </c>
      <c r="AA85" s="54">
        <v>109.82</v>
      </c>
    </row>
    <row r="86" spans="2:27" x14ac:dyDescent="0.3">
      <c r="H86" s="75"/>
      <c r="J86" s="75"/>
      <c r="V86" s="75">
        <v>45874.625</v>
      </c>
      <c r="W86" s="54">
        <v>80.209999999999994</v>
      </c>
      <c r="Z86" s="75">
        <v>45874.625</v>
      </c>
      <c r="AA86" s="54">
        <v>109.9</v>
      </c>
    </row>
    <row r="87" spans="2:27" x14ac:dyDescent="0.3">
      <c r="H87" s="75"/>
      <c r="J87" s="75"/>
      <c r="V87" s="75">
        <v>45875.625</v>
      </c>
      <c r="W87" s="54">
        <v>80.290000000000006</v>
      </c>
      <c r="Z87" s="75">
        <v>45875.625</v>
      </c>
      <c r="AA87" s="54">
        <v>109.87</v>
      </c>
    </row>
    <row r="88" spans="2:27" x14ac:dyDescent="0.3">
      <c r="H88" s="75"/>
      <c r="J88" s="75"/>
      <c r="V88" s="75">
        <v>45876.625</v>
      </c>
      <c r="W88" s="54">
        <v>80.209999999999994</v>
      </c>
      <c r="Z88" s="75">
        <v>45876.625</v>
      </c>
      <c r="AA88" s="54">
        <v>109.76</v>
      </c>
    </row>
    <row r="89" spans="2:27" x14ac:dyDescent="0.3">
      <c r="H89" s="75"/>
      <c r="J89" s="75"/>
      <c r="V89" s="75">
        <v>45877.625</v>
      </c>
      <c r="W89" s="54">
        <v>80.22</v>
      </c>
      <c r="Z89" s="75">
        <v>45877.625</v>
      </c>
      <c r="AA89" s="54">
        <v>109.41</v>
      </c>
    </row>
    <row r="90" spans="2:27" x14ac:dyDescent="0.3">
      <c r="H90" s="75"/>
      <c r="J90" s="75"/>
      <c r="V90" s="75">
        <v>45880.625</v>
      </c>
      <c r="W90" s="54">
        <v>80.22</v>
      </c>
      <c r="Z90" s="75">
        <v>45880.625</v>
      </c>
      <c r="AA90" s="54">
        <v>109.58499999999999</v>
      </c>
    </row>
    <row r="91" spans="2:27" x14ac:dyDescent="0.3">
      <c r="H91" s="75"/>
      <c r="V91" s="75">
        <v>45881.625</v>
      </c>
      <c r="W91" s="54">
        <v>80.400000000000006</v>
      </c>
      <c r="Z91" s="75">
        <v>45881.625</v>
      </c>
      <c r="AA91" s="54">
        <v>109.68</v>
      </c>
    </row>
    <row r="92" spans="2:27" x14ac:dyDescent="0.3">
      <c r="H92" s="75"/>
      <c r="V92" s="75">
        <v>45882.625</v>
      </c>
      <c r="W92" s="54">
        <v>80.61</v>
      </c>
      <c r="Z92" s="75">
        <v>45882.625</v>
      </c>
      <c r="AA92" s="54">
        <v>110.26</v>
      </c>
    </row>
    <row r="93" spans="2:27" x14ac:dyDescent="0.3">
      <c r="H93" s="75"/>
      <c r="V93" s="75">
        <v>45883.625</v>
      </c>
      <c r="W93" s="54">
        <v>80.400000000000006</v>
      </c>
      <c r="Z93" s="75">
        <v>45883.625</v>
      </c>
      <c r="AA93" s="54">
        <v>109.88</v>
      </c>
    </row>
    <row r="94" spans="2:27" x14ac:dyDescent="0.3">
      <c r="H94" s="75"/>
      <c r="V94" s="75">
        <v>45884.625</v>
      </c>
      <c r="W94" s="54">
        <v>80.459999999999994</v>
      </c>
      <c r="Z94" s="75">
        <v>45884.625</v>
      </c>
      <c r="AA94" s="54">
        <v>109.74</v>
      </c>
    </row>
    <row r="95" spans="2:27" x14ac:dyDescent="0.3">
      <c r="V95" s="75">
        <v>45887.625</v>
      </c>
      <c r="W95" s="54">
        <v>80.400000000000006</v>
      </c>
      <c r="Z95" s="75">
        <v>45887.625</v>
      </c>
      <c r="AA95" s="54">
        <v>109.54</v>
      </c>
    </row>
    <row r="96" spans="2:27" x14ac:dyDescent="0.3">
      <c r="V96" s="75">
        <v>45888.625</v>
      </c>
      <c r="W96" s="54">
        <v>80.38</v>
      </c>
      <c r="Z96" s="75">
        <v>45888.625</v>
      </c>
      <c r="AA96" s="54">
        <v>109.71</v>
      </c>
    </row>
    <row r="97" spans="22:27" x14ac:dyDescent="0.3">
      <c r="V97" s="75">
        <v>45889.625</v>
      </c>
      <c r="W97" s="54">
        <v>80.349999999999994</v>
      </c>
      <c r="Z97" s="75">
        <v>45889.625</v>
      </c>
      <c r="AA97" s="54">
        <v>109.76</v>
      </c>
    </row>
    <row r="98" spans="22:27" x14ac:dyDescent="0.3">
      <c r="V98" s="75">
        <v>45890.625</v>
      </c>
      <c r="W98" s="54">
        <v>80.2</v>
      </c>
      <c r="Z98" s="75">
        <v>45890.625</v>
      </c>
      <c r="AA98" s="54">
        <v>109.34</v>
      </c>
    </row>
    <row r="99" spans="22:27" x14ac:dyDescent="0.3">
      <c r="V99" s="75">
        <v>45891.625</v>
      </c>
      <c r="W99" s="54">
        <v>80.849999999999994</v>
      </c>
      <c r="Z99" s="75">
        <v>45891.625</v>
      </c>
      <c r="AA99" s="54">
        <v>110.2</v>
      </c>
    </row>
    <row r="100" spans="22:27" x14ac:dyDescent="0.3">
      <c r="V100" s="75">
        <v>45894.625</v>
      </c>
      <c r="W100" s="54">
        <v>80.69</v>
      </c>
      <c r="Z100" s="75">
        <v>45894.625</v>
      </c>
      <c r="AA100" s="54">
        <v>109.91</v>
      </c>
    </row>
    <row r="101" spans="22:27" x14ac:dyDescent="0.3">
      <c r="V101" s="75">
        <v>45895.625</v>
      </c>
      <c r="W101" s="54">
        <v>80.87</v>
      </c>
      <c r="Z101" s="75">
        <v>45895.625</v>
      </c>
      <c r="AA101" s="54">
        <v>109.99</v>
      </c>
    </row>
    <row r="102" spans="22:27" x14ac:dyDescent="0.3">
      <c r="V102" s="75">
        <v>45896.625</v>
      </c>
      <c r="W102" s="54">
        <v>80.97</v>
      </c>
      <c r="Z102" s="75">
        <v>45896.625</v>
      </c>
      <c r="AA102" s="54">
        <v>110.03</v>
      </c>
    </row>
    <row r="103" spans="22:27" x14ac:dyDescent="0.3">
      <c r="V103" s="75">
        <v>45897.625</v>
      </c>
      <c r="W103" s="54">
        <v>81.010000000000005</v>
      </c>
      <c r="Z103" s="75">
        <v>45897.625</v>
      </c>
      <c r="AA103" s="54">
        <v>110.2</v>
      </c>
    </row>
    <row r="104" spans="22:27" x14ac:dyDescent="0.3">
      <c r="V104" s="75">
        <v>45898.625</v>
      </c>
      <c r="W104" s="54">
        <v>80.86</v>
      </c>
      <c r="Z104" s="75">
        <v>45898.625</v>
      </c>
      <c r="AA104" s="54">
        <v>109.83</v>
      </c>
    </row>
    <row r="105" spans="22:27" x14ac:dyDescent="0.3">
      <c r="V105" s="75">
        <v>45902.625</v>
      </c>
      <c r="W105" s="54">
        <v>80.39</v>
      </c>
      <c r="Z105" s="75">
        <v>45902.625</v>
      </c>
      <c r="AA105" s="54">
        <v>109.05</v>
      </c>
    </row>
    <row r="106" spans="22:27" x14ac:dyDescent="0.3">
      <c r="V106" s="75">
        <v>45903.625</v>
      </c>
      <c r="W106" s="54">
        <v>80.61</v>
      </c>
      <c r="Z106" s="75">
        <v>45903.625</v>
      </c>
      <c r="AA106" s="54">
        <v>109.7</v>
      </c>
    </row>
    <row r="107" spans="22:27" x14ac:dyDescent="0.3">
      <c r="V107" s="75">
        <v>45904.625</v>
      </c>
      <c r="W107" s="54">
        <v>80.819999999999993</v>
      </c>
      <c r="Z107" s="75">
        <v>45904.625</v>
      </c>
      <c r="AA107" s="54">
        <v>110.45</v>
      </c>
    </row>
    <row r="108" spans="22:27" x14ac:dyDescent="0.3">
      <c r="V108" s="75">
        <v>45905.625</v>
      </c>
      <c r="W108" s="54">
        <v>80.87</v>
      </c>
      <c r="Z108" s="75">
        <v>45905.625</v>
      </c>
      <c r="AA108" s="54">
        <v>111.17</v>
      </c>
    </row>
    <row r="109" spans="22:27" x14ac:dyDescent="0.3">
      <c r="V109" s="75">
        <v>45908.625</v>
      </c>
      <c r="W109" s="54">
        <v>80.87</v>
      </c>
      <c r="Z109" s="75">
        <v>45908.625</v>
      </c>
      <c r="AA109" s="54">
        <v>111.56</v>
      </c>
    </row>
    <row r="110" spans="22:27" x14ac:dyDescent="0.3">
      <c r="V110" s="75">
        <v>45909.625</v>
      </c>
      <c r="W110" s="54">
        <v>80.78</v>
      </c>
      <c r="Z110" s="75">
        <v>45909.625</v>
      </c>
      <c r="AA110" s="54">
        <v>111.36</v>
      </c>
    </row>
    <row r="111" spans="22:27" x14ac:dyDescent="0.3">
      <c r="V111" s="75">
        <v>45910.625</v>
      </c>
      <c r="W111" s="54">
        <v>80.84</v>
      </c>
      <c r="Z111" s="75">
        <v>45910.625</v>
      </c>
      <c r="AA111" s="54">
        <v>111.69</v>
      </c>
    </row>
    <row r="112" spans="22:27" x14ac:dyDescent="0.3">
      <c r="V112" s="75">
        <v>45911.625</v>
      </c>
      <c r="W112" s="54">
        <v>81.040000000000006</v>
      </c>
      <c r="Z112" s="75">
        <v>45911.625</v>
      </c>
      <c r="AA112" s="54">
        <v>112.21</v>
      </c>
    </row>
    <row r="113" spans="22:27" x14ac:dyDescent="0.3">
      <c r="V113" s="75">
        <v>45912.625</v>
      </c>
      <c r="W113" s="54">
        <v>80.959999999999994</v>
      </c>
      <c r="Z113" s="75">
        <v>45912.625</v>
      </c>
      <c r="AA113" s="54">
        <v>112.01</v>
      </c>
    </row>
    <row r="114" spans="22:27" x14ac:dyDescent="0.3">
      <c r="V114" s="75">
        <v>45915.625</v>
      </c>
      <c r="W114" s="54">
        <v>81.19</v>
      </c>
      <c r="Z114" s="75">
        <v>45915.625</v>
      </c>
      <c r="AA114" s="54">
        <v>112.36</v>
      </c>
    </row>
    <row r="115" spans="22:27" x14ac:dyDescent="0.3">
      <c r="V115" s="75">
        <v>45916.625</v>
      </c>
      <c r="W115" s="54">
        <v>81.13</v>
      </c>
      <c r="Z115" s="75">
        <v>45916.625</v>
      </c>
      <c r="AA115" s="54">
        <v>112.26</v>
      </c>
    </row>
    <row r="116" spans="22:27" x14ac:dyDescent="0.3">
      <c r="V116" s="75">
        <v>45917.625</v>
      </c>
      <c r="W116" s="54">
        <v>81.05</v>
      </c>
      <c r="Z116" s="75">
        <v>45917.625</v>
      </c>
      <c r="AA116" s="54">
        <v>112.06</v>
      </c>
    </row>
    <row r="117" spans="22:27" x14ac:dyDescent="0.3">
      <c r="V117" s="75">
        <v>45918.625</v>
      </c>
      <c r="W117" s="54">
        <v>81.23</v>
      </c>
      <c r="Z117" s="75">
        <v>45918.625</v>
      </c>
      <c r="AA117" s="54">
        <v>111.83</v>
      </c>
    </row>
    <row r="118" spans="22:27" x14ac:dyDescent="0.3">
      <c r="V118" s="75">
        <v>45919.625</v>
      </c>
      <c r="W118" s="54">
        <v>81.260000000000005</v>
      </c>
      <c r="Z118" s="75">
        <v>45919.625</v>
      </c>
      <c r="AA118" s="54">
        <v>111.74</v>
      </c>
    </row>
    <row r="119" spans="22:27" x14ac:dyDescent="0.3">
      <c r="V119" s="75">
        <v>45922.625</v>
      </c>
      <c r="W119" s="54">
        <v>81.319999999999993</v>
      </c>
      <c r="Z119" s="75">
        <v>45922.625</v>
      </c>
      <c r="AA119" s="54">
        <v>111.48</v>
      </c>
    </row>
    <row r="120" spans="22:27" x14ac:dyDescent="0.3">
      <c r="V120" s="75">
        <v>45923.625</v>
      </c>
      <c r="W120" s="54">
        <v>81.260000000000005</v>
      </c>
      <c r="Z120" s="75">
        <v>45923.625</v>
      </c>
      <c r="AA120" s="54">
        <v>111.71</v>
      </c>
    </row>
    <row r="121" spans="22:27" x14ac:dyDescent="0.3">
      <c r="V121" s="75">
        <v>45924.625</v>
      </c>
      <c r="W121" s="54">
        <v>81.150000000000006</v>
      </c>
      <c r="Z121" s="75">
        <v>45924.625</v>
      </c>
      <c r="AA121" s="54">
        <v>111.26</v>
      </c>
    </row>
    <row r="122" spans="22:27" x14ac:dyDescent="0.3">
      <c r="V122" s="75">
        <v>45925.625</v>
      </c>
      <c r="W122" s="54">
        <v>80.92</v>
      </c>
      <c r="Z122" s="75">
        <v>45925.625</v>
      </c>
      <c r="AA122" s="54">
        <v>111.06</v>
      </c>
    </row>
    <row r="123" spans="22:27" x14ac:dyDescent="0.3">
      <c r="V123" s="75">
        <v>45926.625</v>
      </c>
      <c r="W123" s="54">
        <v>81.08</v>
      </c>
      <c r="Z123" s="75">
        <v>45926.625</v>
      </c>
      <c r="AA123" s="54">
        <v>111.21</v>
      </c>
    </row>
    <row r="124" spans="22:27" x14ac:dyDescent="0.3">
      <c r="V124" s="75">
        <v>45929.625</v>
      </c>
      <c r="W124" s="54">
        <v>81.22</v>
      </c>
      <c r="Z124" s="75">
        <v>45929.625</v>
      </c>
      <c r="AA124" s="54">
        <v>111.58</v>
      </c>
    </row>
    <row r="125" spans="22:27" x14ac:dyDescent="0.3">
      <c r="V125" s="75">
        <v>45930.625</v>
      </c>
      <c r="W125" s="54">
        <v>81.19</v>
      </c>
      <c r="Z125" s="75">
        <v>45930.625</v>
      </c>
      <c r="AA125" s="54">
        <v>111.47</v>
      </c>
    </row>
    <row r="126" spans="22:27" x14ac:dyDescent="0.3">
      <c r="V126" s="75">
        <v>45931.625</v>
      </c>
      <c r="W126" s="54">
        <v>80.959999999999994</v>
      </c>
      <c r="Z126" s="75">
        <v>45931.625</v>
      </c>
      <c r="AA126" s="54">
        <v>111.51</v>
      </c>
    </row>
    <row r="127" spans="22:27" x14ac:dyDescent="0.3">
      <c r="V127" s="75">
        <v>45932.625</v>
      </c>
      <c r="W127" s="54">
        <v>80.930000000000007</v>
      </c>
      <c r="Z127" s="75">
        <v>45932.625</v>
      </c>
      <c r="AA127" s="54">
        <v>111.69</v>
      </c>
    </row>
    <row r="128" spans="22:27" x14ac:dyDescent="0.3">
      <c r="V128" s="75">
        <v>45933.625</v>
      </c>
      <c r="W128" s="54">
        <v>80.84</v>
      </c>
      <c r="Z128" s="75">
        <v>45933.625</v>
      </c>
      <c r="AA128" s="54">
        <v>111.55</v>
      </c>
    </row>
    <row r="129" spans="22:27" x14ac:dyDescent="0.3">
      <c r="V129" s="75">
        <v>45936.625</v>
      </c>
      <c r="W129" s="54">
        <v>80.86</v>
      </c>
      <c r="Z129" s="75">
        <v>45936.625</v>
      </c>
      <c r="AA129" s="54">
        <v>111.19</v>
      </c>
    </row>
    <row r="130" spans="22:27" x14ac:dyDescent="0.3">
      <c r="V130" s="75">
        <v>45937.625</v>
      </c>
      <c r="W130" s="54">
        <v>80.77</v>
      </c>
      <c r="Z130" s="75">
        <v>45937.625</v>
      </c>
      <c r="AA130" s="54">
        <v>111.4</v>
      </c>
    </row>
    <row r="131" spans="22:27" x14ac:dyDescent="0.3">
      <c r="V131" s="75">
        <v>45938.625</v>
      </c>
      <c r="W131" s="54">
        <v>80.650000000000006</v>
      </c>
      <c r="Z131" s="75">
        <v>45938.625</v>
      </c>
      <c r="AA131" s="54">
        <v>111.26</v>
      </c>
    </row>
    <row r="132" spans="22:27" x14ac:dyDescent="0.3">
      <c r="V132" s="75">
        <v>45939.625</v>
      </c>
      <c r="W132" s="54">
        <v>80.42</v>
      </c>
      <c r="Z132" s="75">
        <v>45939.625</v>
      </c>
      <c r="AA132" s="54">
        <v>111.04</v>
      </c>
    </row>
    <row r="133" spans="22:27" x14ac:dyDescent="0.3">
      <c r="V133" s="75">
        <v>45940.625</v>
      </c>
      <c r="W133" s="54">
        <v>79.984999999999999</v>
      </c>
      <c r="Z133" s="75">
        <v>45940.625</v>
      </c>
      <c r="AA133" s="54">
        <v>111.36</v>
      </c>
    </row>
    <row r="134" spans="22:27" x14ac:dyDescent="0.3">
      <c r="V134" s="75">
        <v>45943.625</v>
      </c>
      <c r="W134" s="54">
        <v>80.45</v>
      </c>
      <c r="Z134" s="75">
        <v>45943.625</v>
      </c>
      <c r="AA134" s="54">
        <v>111.73</v>
      </c>
    </row>
    <row r="135" spans="22:27" x14ac:dyDescent="0.3">
      <c r="V135" s="75">
        <v>45944.625</v>
      </c>
      <c r="W135" s="54">
        <v>80.540000000000006</v>
      </c>
      <c r="Z135" s="75">
        <v>45944.625</v>
      </c>
      <c r="AA135" s="54">
        <v>112.1</v>
      </c>
    </row>
    <row r="136" spans="22:27" x14ac:dyDescent="0.3">
      <c r="V136" s="75">
        <v>45945.625</v>
      </c>
      <c r="W136" s="54">
        <v>80.8</v>
      </c>
      <c r="Z136" s="75">
        <v>45945.625</v>
      </c>
      <c r="AA136" s="54">
        <v>112.1</v>
      </c>
    </row>
    <row r="137" spans="22:27" x14ac:dyDescent="0.3">
      <c r="V137" s="75">
        <v>45946.625</v>
      </c>
      <c r="W137" s="54">
        <v>80.510000000000005</v>
      </c>
      <c r="Z137" s="75">
        <v>45946.625</v>
      </c>
      <c r="AA137" s="54">
        <v>112.42</v>
      </c>
    </row>
  </sheetData>
  <mergeCells count="6">
    <mergeCell ref="Q12:S12"/>
    <mergeCell ref="B12:D12"/>
    <mergeCell ref="E12:G12"/>
    <mergeCell ref="H12:J12"/>
    <mergeCell ref="K12:M12"/>
    <mergeCell ref="N12:P12"/>
  </mergeCells>
  <conditionalFormatting sqref="T13:T39">
    <cfRule type="cellIs" dxfId="6" priority="1" operator="lessThan">
      <formula>0</formula>
    </cfRule>
  </conditionalFormatting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EA3848-A484-4C66-B70D-DE0974E6095A}">
  <dimension ref="A1:AG137"/>
  <sheetViews>
    <sheetView topLeftCell="A11" zoomScale="80" zoomScaleNormal="80" workbookViewId="0">
      <selection activeCell="A30" sqref="A30:A37"/>
    </sheetView>
  </sheetViews>
  <sheetFormatPr defaultColWidth="8.88671875" defaultRowHeight="14.4" x14ac:dyDescent="0.3"/>
  <cols>
    <col min="1" max="1" width="15" style="54" bestFit="1" customWidth="1"/>
    <col min="2" max="3" width="13.6640625" style="54" bestFit="1" customWidth="1"/>
    <col min="4" max="4" width="12.5546875" style="54" bestFit="1" customWidth="1"/>
    <col min="5" max="7" width="13.6640625" style="54" bestFit="1" customWidth="1"/>
    <col min="8" max="8" width="7.33203125" style="54" bestFit="1" customWidth="1"/>
    <col min="9" max="9" width="14.33203125" style="54" bestFit="1" customWidth="1"/>
    <col min="10" max="10" width="10.44140625" style="54" bestFit="1" customWidth="1"/>
    <col min="11" max="11" width="8" style="54" bestFit="1" customWidth="1"/>
    <col min="12" max="12" width="10.6640625" style="54" bestFit="1" customWidth="1"/>
    <col min="13" max="13" width="8.6640625" style="54" bestFit="1" customWidth="1"/>
    <col min="14" max="14" width="6.109375" style="54" bestFit="1" customWidth="1"/>
    <col min="15" max="15" width="10.6640625" style="54" bestFit="1" customWidth="1"/>
    <col min="16" max="16" width="11.44140625" style="54" bestFit="1" customWidth="1"/>
    <col min="17" max="17" width="7.33203125" style="54" bestFit="1" customWidth="1"/>
    <col min="18" max="18" width="10.6640625" style="54" bestFit="1" customWidth="1"/>
    <col min="19" max="19" width="10.33203125" style="54" bestFit="1" customWidth="1"/>
    <col min="20" max="20" width="11.21875" style="54" bestFit="1" customWidth="1"/>
    <col min="21" max="21" width="9.109375"/>
    <col min="22" max="22" width="11.88671875" style="75" hidden="1" customWidth="1"/>
    <col min="23" max="23" width="8" style="54" hidden="1" customWidth="1"/>
    <col min="24" max="24" width="11.88671875" style="75" hidden="1" customWidth="1"/>
    <col min="25" max="25" width="13.6640625" style="54" hidden="1" customWidth="1"/>
    <col min="26" max="26" width="11.88671875" style="75" hidden="1" customWidth="1"/>
    <col min="27" max="27" width="13.6640625" style="54" hidden="1" customWidth="1"/>
    <col min="28" max="28" width="11.88671875" style="75" hidden="1" customWidth="1"/>
    <col min="29" max="29" width="13.6640625" style="54" hidden="1" customWidth="1"/>
    <col min="30" max="30" width="11.88671875" style="75" hidden="1" customWidth="1"/>
    <col min="31" max="31" width="6.88671875" style="54" hidden="1" customWidth="1"/>
    <col min="32" max="32" width="11.88671875" style="75" hidden="1" customWidth="1"/>
    <col min="33" max="33" width="13.6640625" style="54" hidden="1" customWidth="1"/>
    <col min="34" max="16384" width="8.88671875" style="54"/>
  </cols>
  <sheetData>
    <row r="1" spans="1:33" ht="15" thickBot="1" x14ac:dyDescent="0.35">
      <c r="A1" s="1"/>
      <c r="B1" s="1"/>
      <c r="C1" s="1"/>
      <c r="D1" s="1"/>
      <c r="E1" s="1"/>
      <c r="F1" s="1"/>
      <c r="G1" s="1"/>
      <c r="I1" s="119" t="s">
        <v>100</v>
      </c>
      <c r="J1" s="120">
        <v>0.625</v>
      </c>
      <c r="K1" s="53"/>
      <c r="L1" s="1"/>
      <c r="P1" s="1"/>
      <c r="Q1" s="53"/>
      <c r="R1" s="1"/>
      <c r="S1" s="53"/>
      <c r="T1" s="1"/>
      <c r="V1" s="53"/>
      <c r="W1" s="1"/>
      <c r="X1" s="53"/>
      <c r="Y1" s="1"/>
      <c r="Z1" s="53"/>
      <c r="AA1" s="1"/>
      <c r="AB1" s="53"/>
      <c r="AC1" s="1"/>
      <c r="AD1" s="53"/>
      <c r="AE1" s="1"/>
      <c r="AF1" s="53"/>
    </row>
    <row r="2" spans="1:33" ht="15" thickBot="1" x14ac:dyDescent="0.35">
      <c r="A2" s="30"/>
      <c r="B2" s="40" t="s">
        <v>0</v>
      </c>
      <c r="C2" s="44" t="s">
        <v>1</v>
      </c>
      <c r="D2" s="71" t="s">
        <v>1</v>
      </c>
      <c r="E2" s="77" t="s">
        <v>1</v>
      </c>
      <c r="F2" s="71" t="s">
        <v>1</v>
      </c>
      <c r="G2" s="72" t="s">
        <v>0</v>
      </c>
      <c r="I2" s="53"/>
      <c r="J2" s="1"/>
      <c r="K2" s="53"/>
      <c r="L2" s="1"/>
      <c r="P2" s="1"/>
      <c r="Q2" s="53"/>
      <c r="R2" s="1"/>
      <c r="S2" s="53"/>
      <c r="T2" s="1"/>
      <c r="V2" s="102" t="s">
        <v>0</v>
      </c>
      <c r="W2" s="1"/>
      <c r="X2" s="103" t="s">
        <v>1</v>
      </c>
      <c r="Y2" s="2"/>
      <c r="Z2" s="104" t="s">
        <v>1</v>
      </c>
      <c r="AA2" s="1"/>
      <c r="AB2" s="105" t="s">
        <v>0</v>
      </c>
      <c r="AD2" s="106" t="s">
        <v>1</v>
      </c>
      <c r="AF2" s="101" t="s">
        <v>0</v>
      </c>
    </row>
    <row r="3" spans="1:33" x14ac:dyDescent="0.3">
      <c r="A3" s="15" t="s">
        <v>32</v>
      </c>
      <c r="B3" s="64" t="s">
        <v>67</v>
      </c>
      <c r="C3" s="73" t="s">
        <v>66</v>
      </c>
      <c r="D3" s="73" t="s">
        <v>68</v>
      </c>
      <c r="E3" s="73" t="s">
        <v>69</v>
      </c>
      <c r="F3" s="73" t="s">
        <v>74</v>
      </c>
      <c r="G3" s="65" t="s">
        <v>76</v>
      </c>
      <c r="I3" s="94" t="s">
        <v>80</v>
      </c>
      <c r="J3" s="86" t="s">
        <v>67</v>
      </c>
      <c r="K3" s="87" t="s">
        <v>74</v>
      </c>
      <c r="L3" s="46"/>
      <c r="Q3" s="52"/>
      <c r="S3" s="52"/>
      <c r="V3" s="52" cm="1">
        <f t="array" ref="V3:W137">_xll.BDH(B4, "LAST_PRICE", "01/01/2025 15:00:00", "01/01/2035 16:00:00", "BarSize=60", "BarType=T", "RecurDaily=True", "TZ=New_York")</f>
        <v>45751.625</v>
      </c>
      <c r="W3" s="1">
        <v>108.78</v>
      </c>
      <c r="X3" s="118" cm="1">
        <f t="array" ref="X3:Y19">_xll.BDH(C4, "LAST_PRICE", "01/01/2025 15:00:00", "01/01/2035 16:00:00", "BarSize=60", "BarType=T", "RecurDaily=True", "TZ=New_York")</f>
        <v>45924.625</v>
      </c>
      <c r="Y3" s="46">
        <v>99.59375</v>
      </c>
      <c r="Z3" s="52" cm="1">
        <f t="array" ref="Z3:AA54">_xll.BDH(D4, "LAST_PRICE", "01/01/2025 15:00:00", "01/01/2035 16:00:00", "BarSize=60", "BarType=T", "RecurDaily=True", "TZ=New_York")</f>
        <v>45875.625</v>
      </c>
      <c r="AA3" s="1">
        <v>100.140625</v>
      </c>
      <c r="AB3" s="52" cm="1">
        <f t="array" ref="AB3:AC53">_xll.BDH(E4, "LAST_PRICE", "01/01/2025 15:00:00", "01/01/2035 16:00:00", "BarSize=60", "BarType=T", "RecurDaily=True", "TZ=New_York")</f>
        <v>45876.625</v>
      </c>
      <c r="AC3" s="54">
        <v>98.9375</v>
      </c>
      <c r="AD3" s="52" cm="1">
        <f t="array" ref="AD3:AE136">_xll.BDH(F4, "LAST_PRICE", "01/01/2025 15:00:00", "01/01/2035 16:00:00", "BarSize=60", "BarType=T", "RecurDaily=True", "TZ=New_York")</f>
        <v>45751.625</v>
      </c>
      <c r="AE3" s="54">
        <v>81.790000000000006</v>
      </c>
      <c r="AF3" s="52" cm="1">
        <f t="array" ref="AF3:AG18">_xll.BDH(G4, "LAST_PRICE", "01/01/2025 15:00:00", "01/01/2035 16:00:00", "BarSize=60", "BarType=T", "RecurDaily=True", "TZ=New_York")</f>
        <v>45925.625</v>
      </c>
      <c r="AG3" s="54">
        <v>99.5625</v>
      </c>
    </row>
    <row r="4" spans="1:33" ht="32.25" customHeight="1" thickBot="1" x14ac:dyDescent="0.35">
      <c r="A4" s="15" t="s">
        <v>33</v>
      </c>
      <c r="B4" s="66" t="s">
        <v>70</v>
      </c>
      <c r="C4" s="41" t="s">
        <v>78</v>
      </c>
      <c r="D4" s="41" t="s">
        <v>72</v>
      </c>
      <c r="E4" s="41" t="s">
        <v>71</v>
      </c>
      <c r="F4" s="41" t="s">
        <v>75</v>
      </c>
      <c r="G4" s="42" t="s">
        <v>77</v>
      </c>
      <c r="I4" s="88"/>
      <c r="J4" s="89">
        <f>B5/B14</f>
        <v>322202.69478617457</v>
      </c>
      <c r="K4" s="90">
        <f>F5/N14</f>
        <v>596551.92984549305</v>
      </c>
      <c r="L4" s="1"/>
      <c r="Q4" s="75"/>
      <c r="S4" s="53"/>
      <c r="V4" s="75">
        <v>45754.625</v>
      </c>
      <c r="W4" s="58">
        <v>106.66</v>
      </c>
      <c r="X4" s="75">
        <v>45925.625</v>
      </c>
      <c r="Y4" s="58">
        <v>99.3828125</v>
      </c>
      <c r="Z4" s="75">
        <v>45876.625</v>
      </c>
      <c r="AA4" s="54">
        <v>100.0625</v>
      </c>
      <c r="AB4" s="75">
        <v>45877.625</v>
      </c>
      <c r="AC4" s="54">
        <v>98.4375</v>
      </c>
      <c r="AD4" s="75">
        <v>45754.625</v>
      </c>
      <c r="AE4" s="58">
        <v>80.599999999999994</v>
      </c>
      <c r="AF4" s="75">
        <v>45926.625</v>
      </c>
      <c r="AG4" s="54">
        <v>99.5</v>
      </c>
    </row>
    <row r="5" spans="1:33" ht="15" thickBot="1" x14ac:dyDescent="0.35">
      <c r="A5" s="15" t="s">
        <v>8</v>
      </c>
      <c r="B5" s="67">
        <f>35.75*10^6</f>
        <v>35750000</v>
      </c>
      <c r="C5" s="7">
        <f>16.75*10^6</f>
        <v>16750000</v>
      </c>
      <c r="D5" s="7">
        <f>7.5*10^6</f>
        <v>7500000</v>
      </c>
      <c r="E5" s="7">
        <f>10.5*10^6</f>
        <v>10500000</v>
      </c>
      <c r="F5" s="7">
        <f>50*10^6</f>
        <v>50000000</v>
      </c>
      <c r="G5" s="8">
        <f>50.75*10^6</f>
        <v>50750000</v>
      </c>
      <c r="I5" s="75"/>
      <c r="L5" s="1"/>
      <c r="Q5" s="75"/>
      <c r="S5" s="53"/>
      <c r="V5" s="75">
        <v>45755.625</v>
      </c>
      <c r="W5" s="58">
        <v>105.31</v>
      </c>
      <c r="X5" s="75">
        <v>45926.625</v>
      </c>
      <c r="Y5" s="58">
        <v>99.3671875</v>
      </c>
      <c r="Z5" s="75">
        <v>45877.625</v>
      </c>
      <c r="AA5" s="54">
        <v>99.734375</v>
      </c>
      <c r="AB5" s="75">
        <v>45880.625</v>
      </c>
      <c r="AC5" s="54">
        <v>98.53125</v>
      </c>
      <c r="AD5" s="75">
        <v>45755.625</v>
      </c>
      <c r="AE5" s="58">
        <v>79.91</v>
      </c>
      <c r="AF5" s="75">
        <v>45929.625</v>
      </c>
      <c r="AG5" s="54">
        <v>99.703125</v>
      </c>
    </row>
    <row r="6" spans="1:33" x14ac:dyDescent="0.3">
      <c r="A6" s="15" t="s">
        <v>10</v>
      </c>
      <c r="B6" s="69">
        <v>0</v>
      </c>
      <c r="C6" s="10">
        <f>(3+5/8)*0.01</f>
        <v>3.6249999999999998E-2</v>
      </c>
      <c r="D6" s="74">
        <v>4.2500000000000003E-2</v>
      </c>
      <c r="E6" s="74">
        <v>4.7500000000000001E-2</v>
      </c>
      <c r="F6" s="74">
        <v>0</v>
      </c>
      <c r="G6" s="10">
        <f>(3+5/8)*0.01</f>
        <v>3.6249999999999998E-2</v>
      </c>
      <c r="I6" s="95" t="s">
        <v>79</v>
      </c>
      <c r="J6" s="73" t="s">
        <v>67</v>
      </c>
      <c r="K6" s="91" t="s">
        <v>74</v>
      </c>
      <c r="L6" s="1"/>
      <c r="Q6" s="75"/>
      <c r="S6" s="53"/>
      <c r="V6" s="75">
        <v>45756.625</v>
      </c>
      <c r="W6" s="58">
        <v>107.07</v>
      </c>
      <c r="X6" s="75">
        <v>45929.625</v>
      </c>
      <c r="Y6" s="58">
        <v>99.484375</v>
      </c>
      <c r="Z6" s="75">
        <v>45880.625</v>
      </c>
      <c r="AA6" s="54">
        <v>99.8125</v>
      </c>
      <c r="AB6" s="75">
        <v>45881.625</v>
      </c>
      <c r="AC6" s="54">
        <v>98</v>
      </c>
      <c r="AD6" s="75">
        <v>45756.625</v>
      </c>
      <c r="AE6" s="58">
        <v>80.680000000000007</v>
      </c>
      <c r="AF6" s="75">
        <v>45930.625</v>
      </c>
      <c r="AG6" s="54">
        <v>99.6875</v>
      </c>
    </row>
    <row r="7" spans="1:33" ht="15" thickBot="1" x14ac:dyDescent="0.35">
      <c r="A7" s="15" t="s">
        <v>12</v>
      </c>
      <c r="B7" s="69">
        <v>4.2299999999999997E-2</v>
      </c>
      <c r="C7" s="74">
        <v>4.2299999999999997E-2</v>
      </c>
      <c r="D7" s="74">
        <v>4.2299999999999997E-2</v>
      </c>
      <c r="E7" s="74">
        <v>4.2299999999999997E-2</v>
      </c>
      <c r="F7" s="74">
        <v>4.2299999999999997E-2</v>
      </c>
      <c r="G7" s="10">
        <v>4.2299999999999997E-2</v>
      </c>
      <c r="I7" s="79"/>
      <c r="J7" s="21">
        <v>0.41</v>
      </c>
      <c r="K7" s="92">
        <v>0.32600000000000001</v>
      </c>
      <c r="L7" s="1"/>
      <c r="P7" s="1"/>
      <c r="Q7" s="53"/>
      <c r="R7" s="1"/>
      <c r="S7" s="53"/>
      <c r="T7" s="1"/>
      <c r="V7" s="75">
        <v>45757.625</v>
      </c>
      <c r="W7" s="58">
        <v>105.25</v>
      </c>
      <c r="X7" s="75">
        <v>45930.625</v>
      </c>
      <c r="Y7" s="58">
        <v>99.5</v>
      </c>
      <c r="Z7" s="75">
        <v>45881.625</v>
      </c>
      <c r="AA7" s="54">
        <v>99.6875</v>
      </c>
      <c r="AB7" s="75">
        <v>45882.625</v>
      </c>
      <c r="AC7" s="54">
        <v>98.796875</v>
      </c>
      <c r="AD7" s="75">
        <v>45757.625</v>
      </c>
      <c r="AE7" s="58">
        <v>79.83</v>
      </c>
      <c r="AF7" s="75">
        <v>45931.625</v>
      </c>
      <c r="AG7" s="54">
        <v>100</v>
      </c>
    </row>
    <row r="8" spans="1:33" ht="15" thickBot="1" x14ac:dyDescent="0.35">
      <c r="A8" s="15" t="s">
        <v>14</v>
      </c>
      <c r="B8" s="4" t="s">
        <v>23</v>
      </c>
      <c r="C8" s="1" t="s">
        <v>23</v>
      </c>
      <c r="D8" s="1" t="s">
        <v>23</v>
      </c>
      <c r="E8" s="1" t="s">
        <v>23</v>
      </c>
      <c r="F8" s="1" t="s">
        <v>23</v>
      </c>
      <c r="G8" s="5" t="s">
        <v>23</v>
      </c>
      <c r="I8" s="75"/>
      <c r="L8" s="1"/>
      <c r="P8" s="1"/>
      <c r="Q8" s="53"/>
      <c r="R8" s="1"/>
      <c r="S8" s="53"/>
      <c r="T8" s="1"/>
      <c r="V8" s="75">
        <v>45758.625</v>
      </c>
      <c r="W8" s="58">
        <v>105.23</v>
      </c>
      <c r="X8" s="75">
        <v>45931.625</v>
      </c>
      <c r="Y8" s="58">
        <v>99.7578125</v>
      </c>
      <c r="Z8" s="75">
        <v>45882.625</v>
      </c>
      <c r="AA8" s="54">
        <v>100.125</v>
      </c>
      <c r="AB8" s="75">
        <v>45883.625</v>
      </c>
      <c r="AC8" s="54">
        <v>98.03125</v>
      </c>
      <c r="AD8" s="75">
        <v>45758.625</v>
      </c>
      <c r="AE8" s="58">
        <v>79.56</v>
      </c>
      <c r="AF8" s="75">
        <v>45932.625</v>
      </c>
      <c r="AG8" s="54">
        <v>100.078125</v>
      </c>
    </row>
    <row r="9" spans="1:33" ht="15" thickBot="1" x14ac:dyDescent="0.35">
      <c r="A9" s="15" t="s">
        <v>15</v>
      </c>
      <c r="B9" s="4" t="s">
        <v>23</v>
      </c>
      <c r="C9" s="1" t="s">
        <v>23</v>
      </c>
      <c r="D9" s="1"/>
      <c r="E9" s="1"/>
      <c r="F9" s="1"/>
      <c r="G9" s="5" t="s">
        <v>23</v>
      </c>
      <c r="I9" s="96" t="s">
        <v>81</v>
      </c>
      <c r="J9" s="93">
        <f>J4*J7-K4*K7</f>
        <v>-62372.824267299176</v>
      </c>
      <c r="L9" s="1"/>
      <c r="P9" s="1"/>
      <c r="Q9" s="53"/>
      <c r="R9" s="1"/>
      <c r="S9" s="53"/>
      <c r="T9" s="1"/>
      <c r="V9" s="75">
        <v>45761.625</v>
      </c>
      <c r="W9" s="58">
        <v>105.89</v>
      </c>
      <c r="X9" s="75">
        <v>45932.625</v>
      </c>
      <c r="Y9" s="58">
        <v>99.78125</v>
      </c>
      <c r="Z9" s="75">
        <v>45883.625</v>
      </c>
      <c r="AA9" s="54">
        <v>99.703125</v>
      </c>
      <c r="AB9" s="75">
        <v>45884.625</v>
      </c>
      <c r="AC9" s="54">
        <v>97.375</v>
      </c>
      <c r="AD9" s="75">
        <v>45761.625</v>
      </c>
      <c r="AE9" s="58">
        <v>80.06</v>
      </c>
      <c r="AF9" s="75">
        <v>45933.625</v>
      </c>
      <c r="AG9" s="54">
        <v>99.828125</v>
      </c>
    </row>
    <row r="10" spans="1:33" ht="15" thickBot="1" x14ac:dyDescent="0.35">
      <c r="A10" s="16" t="s">
        <v>28</v>
      </c>
      <c r="B10" s="11" cm="1">
        <f t="array" ref="B10">_xll.BDP(B4,"px_last")</f>
        <v>112.42</v>
      </c>
      <c r="C10" s="21" cm="1">
        <f t="array" ref="C10">_xll.BDP(C4,"px_last")</f>
        <v>100.2578125</v>
      </c>
      <c r="D10" s="21" cm="1">
        <f t="array" ref="D10">_xll.BDP(D4,"px_last")</f>
        <v>102.078125</v>
      </c>
      <c r="E10" s="21" cm="1">
        <f t="array" ref="E10">_xll.BDP(E4,"px_last")</f>
        <v>102.4375</v>
      </c>
      <c r="F10" s="21" cm="1">
        <f t="array" ref="F10">_xll.BDP(F4,"px_last")</f>
        <v>84.59</v>
      </c>
      <c r="G10" s="22" cm="1">
        <f t="array" ref="G10">_xll.BDP(G4,"px_last")</f>
        <v>100.703125</v>
      </c>
      <c r="H10" s="1"/>
      <c r="I10" s="53"/>
      <c r="J10" s="1"/>
      <c r="K10" s="53"/>
      <c r="L10" s="1"/>
      <c r="M10" s="53"/>
      <c r="N10" s="1"/>
      <c r="O10" s="53"/>
      <c r="P10" s="1"/>
      <c r="Q10" s="53"/>
      <c r="R10" s="1"/>
      <c r="S10" s="53"/>
      <c r="T10" s="1"/>
      <c r="V10" s="75">
        <v>45762.625</v>
      </c>
      <c r="W10" s="58">
        <v>106.45</v>
      </c>
      <c r="X10" s="75">
        <v>45933.625</v>
      </c>
      <c r="Y10" s="58">
        <v>99.59375</v>
      </c>
      <c r="Z10" s="75">
        <v>45884.625</v>
      </c>
      <c r="AA10" s="54">
        <v>99.4375</v>
      </c>
      <c r="AB10" s="75">
        <v>45887.625</v>
      </c>
      <c r="AC10" s="54">
        <v>97.078125</v>
      </c>
      <c r="AD10" s="75">
        <v>45762.625</v>
      </c>
      <c r="AE10" s="58">
        <v>80.42</v>
      </c>
      <c r="AF10" s="75">
        <v>45936.625</v>
      </c>
      <c r="AG10" s="54">
        <v>99.59375</v>
      </c>
    </row>
    <row r="11" spans="1:33" ht="15" thickBot="1" x14ac:dyDescent="0.35">
      <c r="C11" s="1"/>
      <c r="D11" s="1"/>
      <c r="E11" s="1"/>
      <c r="F11" s="1"/>
      <c r="G11" s="1"/>
      <c r="H11" s="1"/>
      <c r="I11" s="53"/>
      <c r="J11" s="1"/>
      <c r="K11" s="53"/>
      <c r="L11" s="1"/>
      <c r="M11" s="53"/>
      <c r="N11" s="1"/>
      <c r="O11" s="53"/>
      <c r="P11" s="1"/>
      <c r="Q11" s="53"/>
      <c r="R11" s="1"/>
      <c r="S11" s="53"/>
      <c r="T11" s="1"/>
      <c r="V11" s="75">
        <v>45763.625</v>
      </c>
      <c r="W11" s="58">
        <v>106.9</v>
      </c>
      <c r="X11" s="75">
        <v>45936.625</v>
      </c>
      <c r="Y11" s="58">
        <v>99.4609375</v>
      </c>
      <c r="Z11" s="75">
        <v>45887.625</v>
      </c>
      <c r="AA11" s="54">
        <v>99.3125</v>
      </c>
      <c r="AB11" s="75">
        <v>45888.625</v>
      </c>
      <c r="AC11" s="54">
        <v>97.640625</v>
      </c>
      <c r="AD11" s="75">
        <v>45763.625</v>
      </c>
      <c r="AE11" s="58">
        <v>80.72</v>
      </c>
      <c r="AF11" s="75">
        <v>45937.625</v>
      </c>
      <c r="AG11" s="54">
        <v>99.8125</v>
      </c>
    </row>
    <row r="12" spans="1:33" ht="15" thickBot="1" x14ac:dyDescent="0.35">
      <c r="A12" s="39" t="s">
        <v>22</v>
      </c>
      <c r="B12" s="135" t="s">
        <v>0</v>
      </c>
      <c r="C12" s="136"/>
      <c r="D12" s="136"/>
      <c r="E12" s="141" t="s">
        <v>1</v>
      </c>
      <c r="F12" s="142"/>
      <c r="G12" s="143"/>
      <c r="H12" s="138" t="s">
        <v>1</v>
      </c>
      <c r="I12" s="149"/>
      <c r="J12" s="140"/>
      <c r="K12" s="150" t="s">
        <v>1</v>
      </c>
      <c r="L12" s="151"/>
      <c r="M12" s="152"/>
      <c r="N12" s="138" t="s">
        <v>1</v>
      </c>
      <c r="O12" s="149"/>
      <c r="P12" s="140"/>
      <c r="Q12" s="147" t="s">
        <v>0</v>
      </c>
      <c r="R12" s="145"/>
      <c r="S12" s="148"/>
      <c r="T12" s="39" t="s">
        <v>16</v>
      </c>
      <c r="V12" s="75">
        <v>45764.625</v>
      </c>
      <c r="W12" s="54">
        <v>106.75</v>
      </c>
      <c r="X12" s="75">
        <v>45937.625</v>
      </c>
      <c r="Y12" s="54">
        <v>99.6171875</v>
      </c>
      <c r="Z12" s="75">
        <v>45888.625</v>
      </c>
      <c r="AA12" s="54">
        <v>99.59375</v>
      </c>
      <c r="AB12" s="75">
        <v>45889.625</v>
      </c>
      <c r="AC12" s="54">
        <v>97.796875</v>
      </c>
      <c r="AD12" s="75">
        <v>45764.625</v>
      </c>
      <c r="AE12" s="54">
        <v>80.739999999999995</v>
      </c>
      <c r="AF12" s="75">
        <v>45938.625</v>
      </c>
      <c r="AG12" s="54">
        <v>99.78125</v>
      </c>
    </row>
    <row r="13" spans="1:33" ht="15" thickBot="1" x14ac:dyDescent="0.35">
      <c r="A13" s="16"/>
      <c r="B13" s="11" t="s">
        <v>17</v>
      </c>
      <c r="C13" s="21" t="s">
        <v>21</v>
      </c>
      <c r="D13" s="21" t="s">
        <v>20</v>
      </c>
      <c r="E13" s="11" t="s">
        <v>17</v>
      </c>
      <c r="F13" s="21" t="s">
        <v>21</v>
      </c>
      <c r="G13" s="22" t="s">
        <v>20</v>
      </c>
      <c r="H13" s="11" t="s">
        <v>17</v>
      </c>
      <c r="I13" s="78" t="s">
        <v>21</v>
      </c>
      <c r="J13" s="22" t="s">
        <v>20</v>
      </c>
      <c r="K13" s="79" t="s">
        <v>17</v>
      </c>
      <c r="L13" s="21" t="s">
        <v>21</v>
      </c>
      <c r="M13" s="80" t="s">
        <v>20</v>
      </c>
      <c r="N13" s="11" t="s">
        <v>17</v>
      </c>
      <c r="O13" s="78" t="s">
        <v>21</v>
      </c>
      <c r="P13" s="22" t="s">
        <v>20</v>
      </c>
      <c r="Q13" s="79" t="s">
        <v>17</v>
      </c>
      <c r="R13" s="21" t="s">
        <v>21</v>
      </c>
      <c r="S13" s="80" t="s">
        <v>20</v>
      </c>
      <c r="T13" s="99"/>
      <c r="V13" s="75">
        <v>45768.625</v>
      </c>
      <c r="W13" s="54">
        <v>105.6</v>
      </c>
      <c r="X13" s="75">
        <v>45938.625</v>
      </c>
      <c r="Y13" s="54">
        <v>99.5625</v>
      </c>
      <c r="Z13" s="75">
        <v>45889.625</v>
      </c>
      <c r="AA13" s="54">
        <v>99.71875</v>
      </c>
      <c r="AB13" s="75">
        <v>45890.625</v>
      </c>
      <c r="AC13" s="54">
        <v>97.328125</v>
      </c>
      <c r="AD13" s="75">
        <v>45768.625</v>
      </c>
      <c r="AE13" s="54">
        <v>80.209999999999994</v>
      </c>
      <c r="AF13" s="75">
        <v>45939.625</v>
      </c>
      <c r="AG13" s="54">
        <v>99.71875</v>
      </c>
    </row>
    <row r="14" spans="1:33" x14ac:dyDescent="0.3">
      <c r="A14" s="36">
        <v>45925</v>
      </c>
      <c r="B14" s="45">
        <v>110.955</v>
      </c>
      <c r="C14" s="46"/>
      <c r="D14" s="46"/>
      <c r="E14" s="107">
        <f>99+12/32+3/8*1/32</f>
        <v>99.38671875</v>
      </c>
      <c r="F14" s="108"/>
      <c r="G14" s="109"/>
      <c r="H14" s="45">
        <f>100+18/32+3/4*1/32</f>
        <v>100.5859375</v>
      </c>
      <c r="I14" s="46"/>
      <c r="J14" s="47"/>
      <c r="K14" s="45">
        <f>99+24/32</f>
        <v>99.75</v>
      </c>
      <c r="L14" s="46"/>
      <c r="M14" s="47"/>
      <c r="N14" s="45">
        <v>83.814999999999998</v>
      </c>
      <c r="O14" s="46"/>
      <c r="P14" s="47"/>
      <c r="Q14" s="45">
        <f>99+18/32+3/4*1/32</f>
        <v>99.5859375</v>
      </c>
      <c r="R14" s="46"/>
      <c r="S14" s="47"/>
      <c r="T14" s="82">
        <v>0</v>
      </c>
      <c r="V14" s="75">
        <v>45769.625</v>
      </c>
      <c r="W14" s="54">
        <v>105.86</v>
      </c>
      <c r="X14" s="75">
        <v>45939.625</v>
      </c>
      <c r="Y14" s="54">
        <v>99.5</v>
      </c>
      <c r="Z14" s="75">
        <v>45890.625</v>
      </c>
      <c r="AA14" s="54">
        <v>99.390625</v>
      </c>
      <c r="AB14" s="75">
        <v>45891.625</v>
      </c>
      <c r="AC14" s="54">
        <v>97.953125</v>
      </c>
      <c r="AD14" s="75">
        <v>45769.625</v>
      </c>
      <c r="AE14" s="54">
        <v>80.33</v>
      </c>
      <c r="AF14" s="75">
        <v>45940.625</v>
      </c>
      <c r="AG14" s="54">
        <v>100.25</v>
      </c>
    </row>
    <row r="15" spans="1:33" x14ac:dyDescent="0.3">
      <c r="A15" s="36">
        <v>45926</v>
      </c>
      <c r="B15" s="45">
        <f>VLOOKUP($A15+$J$1, V$3:W$509, 2)</f>
        <v>111.21</v>
      </c>
      <c r="C15" s="46">
        <f t="shared" ref="C15" si="0">(B15/$B$14-1)*$B$5</f>
        <v>82161.687170472404</v>
      </c>
      <c r="D15" s="46">
        <f t="shared" ref="D15" si="1">-1*(A15-$A$14)/360*$B$7*$B$5</f>
        <v>-4200.625</v>
      </c>
      <c r="E15" s="45">
        <f>VLOOKUP($A15+$J$1, X$3:Y$509, 2)</f>
        <v>99.3671875</v>
      </c>
      <c r="F15" s="46">
        <f t="shared" ref="F15" si="2">(E15-$E$14)/100*$C$5</f>
        <v>-3271.484375</v>
      </c>
      <c r="G15" s="47">
        <f t="shared" ref="G15" si="3">(A15-$A$14)/360*$C$6*$C$5-(A15-$A$14)/360*$C$7*$C$5*$E$14/100</f>
        <v>-269.4229139539932</v>
      </c>
      <c r="H15" s="45">
        <f>VLOOKUP($A15+$J$1, Z$3:AA$509, 2)</f>
        <v>100.5625</v>
      </c>
      <c r="I15" s="46">
        <f>(H15-$H$14)/100*$D$5</f>
        <v>-1757.8125</v>
      </c>
      <c r="J15" s="47">
        <f t="shared" ref="J15" si="4">(A15-$A$14)/360*$D$6*$D$5-(A15-$A$14)/360*$D$7*$D$5*$H$14/100</f>
        <v>-0.99690755208325754</v>
      </c>
      <c r="K15" s="45">
        <f>VLOOKUP($A15+$J$1, AB$3:AC$509, 2)</f>
        <v>99.90625</v>
      </c>
      <c r="L15" s="46">
        <f t="shared" ref="L15:L27" si="5">(K15-$K$14)/100*$E$5</f>
        <v>16406.25</v>
      </c>
      <c r="M15" s="47">
        <f t="shared" ref="M15" si="6">(A15-$A$14)/360*$E$6*$E$5-(A15-$A$14)/360*$E$7*$E$5*$K$14/100</f>
        <v>154.75104166666665</v>
      </c>
      <c r="N15" s="45">
        <f>VLOOKUP($A15+$J$1, AD$3:AE$509, 2)</f>
        <v>83.93</v>
      </c>
      <c r="O15" s="46">
        <f t="shared" ref="O15" si="7">(N15/$N$14-1)*$F$5</f>
        <v>68603.471932238142</v>
      </c>
      <c r="P15" s="47">
        <f t="shared" ref="P15" si="8">-1*(A15-$A$14)/360*$F$7*$F$5</f>
        <v>-5875</v>
      </c>
      <c r="Q15" s="45">
        <f>VLOOKUP($A15+$J$1, AF$3:AG$509, 2)</f>
        <v>99.5</v>
      </c>
      <c r="R15" s="46">
        <f t="shared" ref="R15" si="9">(Q15-$Q$14)/100*$G$5</f>
        <v>-43613.28125</v>
      </c>
      <c r="S15" s="47">
        <f>(A15-$A$14)/360*$G$6*$G$5-(A15-$A$14)/360*$G$7*$G$5*$Q$14/100</f>
        <v>-828.19087999131898</v>
      </c>
      <c r="T15" s="82">
        <f>C15+D15-F15-G15-I15-J15-L15-M15-O15-P15+R15+S15</f>
        <v>-40470.166236917648</v>
      </c>
      <c r="V15" s="75">
        <v>45770.625</v>
      </c>
      <c r="W15" s="54">
        <v>106.33</v>
      </c>
      <c r="X15" s="75">
        <v>45940.625</v>
      </c>
      <c r="Y15" s="54">
        <v>99.890625</v>
      </c>
      <c r="Z15" s="75">
        <v>45891.625</v>
      </c>
      <c r="AA15" s="54">
        <v>99.953125</v>
      </c>
      <c r="AB15" s="75">
        <v>45894.625</v>
      </c>
      <c r="AC15" s="54">
        <v>97.71875</v>
      </c>
      <c r="AD15" s="75">
        <v>45770.625</v>
      </c>
      <c r="AE15" s="54">
        <v>80.5</v>
      </c>
      <c r="AF15" s="75">
        <v>45943.625</v>
      </c>
      <c r="AG15" s="54">
        <v>100.40625</v>
      </c>
    </row>
    <row r="16" spans="1:33" x14ac:dyDescent="0.3">
      <c r="A16" s="36">
        <v>45929</v>
      </c>
      <c r="B16" s="45">
        <f t="shared" ref="B16:B28" si="10">VLOOKUP($A16+$J$1, V$3:W$509, 2)</f>
        <v>111.58</v>
      </c>
      <c r="C16" s="46">
        <f t="shared" ref="C16:C27" si="11">(B16/$B$14-1)*$B$5</f>
        <v>201376.68424135796</v>
      </c>
      <c r="D16" s="46">
        <f t="shared" ref="D16:D27" si="12">-1*(A16-$A$14)/360*$B$7*$B$5</f>
        <v>-16802.5</v>
      </c>
      <c r="E16" s="45">
        <f t="shared" ref="E16:E28" si="13">VLOOKUP($A16+$J$1, X$3:Y$509, 2)</f>
        <v>99.484375</v>
      </c>
      <c r="F16" s="46">
        <f t="shared" ref="F16:F27" si="14">(E16-$E$14)/100*$C$5</f>
        <v>16357.421875</v>
      </c>
      <c r="G16" s="47">
        <f t="shared" ref="G16:G27" si="15">(A16-$A$14)/360*$C$6*$C$5-(A16-$A$14)/360*$C$7*$C$5*$E$14/100</f>
        <v>-1077.6916558159728</v>
      </c>
      <c r="H16" s="45">
        <f t="shared" ref="H16:H28" si="16">VLOOKUP($A16+$J$1, Z$3:AA$509, 2)</f>
        <v>100.875</v>
      </c>
      <c r="I16" s="46">
        <f t="shared" ref="I16:I27" si="17">(H16-$H$14)/100*$D$5</f>
        <v>21679.6875</v>
      </c>
      <c r="J16" s="47">
        <f t="shared" ref="J16:J27" si="18">(A16-$A$14)/360*$D$6*$D$5-(A16-$A$14)/360*$D$7*$D$5*$H$14/100</f>
        <v>-3.9876302083330302</v>
      </c>
      <c r="K16" s="45">
        <f t="shared" ref="K16:K28" si="19">VLOOKUP($A16+$J$1, AB$3:AC$509, 2)</f>
        <v>100.65625</v>
      </c>
      <c r="L16" s="46">
        <f t="shared" si="5"/>
        <v>95156.25</v>
      </c>
      <c r="M16" s="47">
        <f t="shared" ref="M16:M27" si="20">(A16-$A$14)/360*$E$6*$E$5-(A16-$A$14)/360*$E$7*$E$5*$K$14/100</f>
        <v>619.00416666666661</v>
      </c>
      <c r="N16" s="45">
        <f t="shared" ref="N16:N28" si="21">VLOOKUP($A16+$J$1, AD$3:AE$509, 2)</f>
        <v>84.11</v>
      </c>
      <c r="O16" s="46">
        <f t="shared" ref="O16:O27" si="22">(N16/$N$14-1)*$F$5</f>
        <v>175982.81930442105</v>
      </c>
      <c r="P16" s="47">
        <f t="shared" ref="P16:P27" si="23">-1*(A16-$A$14)/360*$F$7*$F$5</f>
        <v>-23500</v>
      </c>
      <c r="Q16" s="45">
        <f t="shared" ref="Q16:Q28" si="24">VLOOKUP($A16+$J$1, AF$3:AG$509, 2)</f>
        <v>99.703125</v>
      </c>
      <c r="R16" s="46">
        <f t="shared" ref="R16:R27" si="25">(Q16-$Q$14)/100*$G$5</f>
        <v>59472.65625</v>
      </c>
      <c r="S16" s="47">
        <f t="shared" ref="S16:S27" si="26">(A16-$A$14)/360*$G$6*$G$5-(A16-$A$14)/360*$G$7*$G$5*$Q$14/100</f>
        <v>-3312.7635199652759</v>
      </c>
      <c r="T16" s="82">
        <f t="shared" ref="T16:T17" si="27">C16+D16-F16-G16-I16-J16-L16-M16-O16-P16+R16+S16</f>
        <v>-44479.4265886707</v>
      </c>
      <c r="V16" s="75">
        <v>45771.625</v>
      </c>
      <c r="W16" s="54">
        <v>107.38</v>
      </c>
      <c r="X16" s="75">
        <v>45943.625</v>
      </c>
      <c r="Y16" s="54">
        <v>100</v>
      </c>
      <c r="Z16" s="75">
        <v>45894.625</v>
      </c>
      <c r="AA16" s="54">
        <v>99.765625</v>
      </c>
      <c r="AB16" s="75">
        <v>45895.625</v>
      </c>
      <c r="AC16" s="54">
        <v>97.59375</v>
      </c>
      <c r="AD16" s="75">
        <v>45771.625</v>
      </c>
      <c r="AE16" s="54">
        <v>81.14</v>
      </c>
      <c r="AF16" s="75">
        <v>45944.625</v>
      </c>
      <c r="AG16" s="54">
        <v>100.53125</v>
      </c>
    </row>
    <row r="17" spans="1:33" x14ac:dyDescent="0.3">
      <c r="A17" s="36">
        <v>45930</v>
      </c>
      <c r="B17" s="45">
        <f t="shared" si="10"/>
        <v>111.47</v>
      </c>
      <c r="C17" s="46">
        <f t="shared" si="11"/>
        <v>165934.38781487718</v>
      </c>
      <c r="D17" s="46">
        <f t="shared" si="12"/>
        <v>-21003.124999999996</v>
      </c>
      <c r="E17" s="45">
        <f t="shared" si="13"/>
        <v>99.5</v>
      </c>
      <c r="F17" s="46">
        <f t="shared" si="14"/>
        <v>18974.609375</v>
      </c>
      <c r="G17" s="47">
        <f t="shared" si="15"/>
        <v>-1347.1145697699631</v>
      </c>
      <c r="H17" s="45">
        <f t="shared" si="16"/>
        <v>100.828125</v>
      </c>
      <c r="I17" s="46">
        <f t="shared" si="17"/>
        <v>18164.0625</v>
      </c>
      <c r="J17" s="47">
        <f t="shared" si="18"/>
        <v>-4.9845377604160603</v>
      </c>
      <c r="K17" s="45">
        <f t="shared" si="19"/>
        <v>100.390625</v>
      </c>
      <c r="L17" s="46">
        <f t="shared" si="5"/>
        <v>67265.625</v>
      </c>
      <c r="M17" s="47">
        <f t="shared" si="20"/>
        <v>773.75520833333485</v>
      </c>
      <c r="N17" s="45">
        <f t="shared" si="21"/>
        <v>84.11</v>
      </c>
      <c r="O17" s="46">
        <f t="shared" si="22"/>
        <v>175982.81930442105</v>
      </c>
      <c r="P17" s="47">
        <f t="shared" si="23"/>
        <v>-29374.999999999996</v>
      </c>
      <c r="Q17" s="45">
        <f t="shared" si="24"/>
        <v>99.6875</v>
      </c>
      <c r="R17" s="46">
        <f t="shared" si="25"/>
        <v>51542.96875</v>
      </c>
      <c r="S17" s="47">
        <f t="shared" si="26"/>
        <v>-4140.954399956594</v>
      </c>
      <c r="T17" s="82">
        <f t="shared" si="27"/>
        <v>-58100.495115303405</v>
      </c>
      <c r="V17" s="75">
        <v>45772.625</v>
      </c>
      <c r="W17" s="54">
        <v>107.99</v>
      </c>
      <c r="X17" s="75">
        <v>45944.625</v>
      </c>
      <c r="Y17" s="54">
        <v>100.125</v>
      </c>
      <c r="Z17" s="75">
        <v>45895.625</v>
      </c>
      <c r="AA17" s="54">
        <v>99.984375</v>
      </c>
      <c r="AB17" s="75">
        <v>45896.625</v>
      </c>
      <c r="AC17" s="54">
        <v>97.453125</v>
      </c>
      <c r="AD17" s="75">
        <v>45772.625</v>
      </c>
      <c r="AE17" s="54">
        <v>81.489999999999995</v>
      </c>
      <c r="AF17" s="75">
        <v>45945.625</v>
      </c>
      <c r="AG17" s="54">
        <v>100.40625</v>
      </c>
    </row>
    <row r="18" spans="1:33" x14ac:dyDescent="0.3">
      <c r="A18" s="36">
        <v>45931</v>
      </c>
      <c r="B18" s="45">
        <f t="shared" si="10"/>
        <v>111.51</v>
      </c>
      <c r="C18" s="46">
        <f t="shared" si="11"/>
        <v>178822.49560632836</v>
      </c>
      <c r="D18" s="46">
        <f t="shared" si="12"/>
        <v>-25203.749999999996</v>
      </c>
      <c r="E18" s="45">
        <f t="shared" si="13"/>
        <v>99.7578125</v>
      </c>
      <c r="F18" s="46">
        <f t="shared" si="14"/>
        <v>62158.203125</v>
      </c>
      <c r="G18" s="47">
        <f t="shared" si="15"/>
        <v>-1616.537483723956</v>
      </c>
      <c r="H18" s="45">
        <f t="shared" si="16"/>
        <v>101.171875</v>
      </c>
      <c r="I18" s="46">
        <f t="shared" si="17"/>
        <v>43945.3125</v>
      </c>
      <c r="J18" s="47">
        <f t="shared" si="18"/>
        <v>-5.9814453124990905</v>
      </c>
      <c r="K18" s="45">
        <f t="shared" si="19"/>
        <v>100.578125</v>
      </c>
      <c r="L18" s="46">
        <f t="shared" si="5"/>
        <v>86953.125</v>
      </c>
      <c r="M18" s="47">
        <f t="shared" si="20"/>
        <v>928.50625000000127</v>
      </c>
      <c r="N18" s="45">
        <f t="shared" si="21"/>
        <v>84.07</v>
      </c>
      <c r="O18" s="46">
        <f t="shared" si="22"/>
        <v>152120.74211059522</v>
      </c>
      <c r="P18" s="47">
        <f t="shared" si="23"/>
        <v>-35249.999999999993</v>
      </c>
      <c r="Q18" s="45">
        <f t="shared" si="24"/>
        <v>100</v>
      </c>
      <c r="R18" s="46">
        <f t="shared" si="25"/>
        <v>210136.71875</v>
      </c>
      <c r="S18" s="47">
        <f t="shared" si="26"/>
        <v>-4969.1452799479157</v>
      </c>
      <c r="T18" s="82">
        <f t="shared" ref="T18:T28" si="28">C18+D18-F18-G18-I18-J18-L18-M18-O18-P18+R18+S18+$J$9</f>
        <v>-12819.87524747751</v>
      </c>
      <c r="V18" s="75">
        <v>45775.625</v>
      </c>
      <c r="W18" s="54">
        <v>108.24</v>
      </c>
      <c r="X18" s="75">
        <v>45945.625</v>
      </c>
      <c r="Y18" s="54">
        <v>100.015625</v>
      </c>
      <c r="Z18" s="75">
        <v>45896.625</v>
      </c>
      <c r="AA18" s="54">
        <v>100.125</v>
      </c>
      <c r="AB18" s="75">
        <v>45897.625</v>
      </c>
      <c r="AC18" s="54">
        <v>98.078125</v>
      </c>
      <c r="AD18" s="75">
        <v>45775.625</v>
      </c>
      <c r="AE18" s="54">
        <v>81.680000000000007</v>
      </c>
      <c r="AF18" s="75">
        <v>45946.625</v>
      </c>
      <c r="AG18" s="54">
        <v>100.84375</v>
      </c>
    </row>
    <row r="19" spans="1:33" x14ac:dyDescent="0.3">
      <c r="A19" s="36">
        <v>45932</v>
      </c>
      <c r="B19" s="45">
        <f t="shared" si="10"/>
        <v>111.69</v>
      </c>
      <c r="C19" s="46">
        <f t="shared" si="11"/>
        <v>236818.98066783874</v>
      </c>
      <c r="D19" s="46">
        <f t="shared" si="12"/>
        <v>-29404.375</v>
      </c>
      <c r="E19" s="45">
        <f t="shared" si="13"/>
        <v>99.78125</v>
      </c>
      <c r="F19" s="46">
        <f t="shared" si="14"/>
        <v>66083.984375</v>
      </c>
      <c r="G19" s="47">
        <f t="shared" si="15"/>
        <v>-1885.9603976779508</v>
      </c>
      <c r="H19" s="45">
        <f t="shared" si="16"/>
        <v>101.3125</v>
      </c>
      <c r="I19" s="46">
        <f t="shared" si="17"/>
        <v>54492.1875</v>
      </c>
      <c r="J19" s="47">
        <f t="shared" si="18"/>
        <v>-6.9783528645830302</v>
      </c>
      <c r="K19" s="45">
        <f t="shared" si="19"/>
        <v>100.875</v>
      </c>
      <c r="L19" s="46">
        <f t="shared" si="5"/>
        <v>118125</v>
      </c>
      <c r="M19" s="47">
        <f t="shared" si="20"/>
        <v>1083.2572916666686</v>
      </c>
      <c r="N19" s="45">
        <f t="shared" si="21"/>
        <v>84.16</v>
      </c>
      <c r="O19" s="46">
        <f t="shared" si="22"/>
        <v>205810.41579669225</v>
      </c>
      <c r="P19" s="47">
        <f t="shared" si="23"/>
        <v>-41125</v>
      </c>
      <c r="Q19" s="45">
        <f t="shared" si="24"/>
        <v>100.078125</v>
      </c>
      <c r="R19" s="46">
        <f t="shared" si="25"/>
        <v>249785.15625</v>
      </c>
      <c r="S19" s="47">
        <f t="shared" si="26"/>
        <v>-5797.3361599392374</v>
      </c>
      <c r="T19" s="82">
        <f t="shared" si="28"/>
        <v>-13547.304722216068</v>
      </c>
      <c r="V19" s="75">
        <v>45776.625</v>
      </c>
      <c r="W19" s="54">
        <v>108.49</v>
      </c>
      <c r="X19" s="75">
        <v>45946.625</v>
      </c>
      <c r="Y19" s="54">
        <v>100.359375</v>
      </c>
      <c r="Z19" s="75">
        <v>45897.625</v>
      </c>
      <c r="AA19" s="54">
        <v>100.375</v>
      </c>
      <c r="AB19" s="75">
        <v>45898.625</v>
      </c>
      <c r="AC19" s="54">
        <v>97.34375</v>
      </c>
      <c r="AD19" s="75">
        <v>45776.625</v>
      </c>
      <c r="AE19" s="54">
        <v>81.83</v>
      </c>
    </row>
    <row r="20" spans="1:33" x14ac:dyDescent="0.3">
      <c r="A20" s="36">
        <v>45933</v>
      </c>
      <c r="B20" s="45">
        <f t="shared" si="10"/>
        <v>111.55</v>
      </c>
      <c r="C20" s="46">
        <f t="shared" si="11"/>
        <v>191710.60339777157</v>
      </c>
      <c r="D20" s="46">
        <f t="shared" si="12"/>
        <v>-33605</v>
      </c>
      <c r="E20" s="45">
        <f t="shared" si="13"/>
        <v>99.59375</v>
      </c>
      <c r="F20" s="46">
        <f t="shared" si="14"/>
        <v>34677.734375</v>
      </c>
      <c r="G20" s="47">
        <f t="shared" si="15"/>
        <v>-2155.3833116319456</v>
      </c>
      <c r="H20" s="45">
        <f t="shared" si="16"/>
        <v>101.046875</v>
      </c>
      <c r="I20" s="46">
        <f t="shared" si="17"/>
        <v>34570.3125</v>
      </c>
      <c r="J20" s="47">
        <f t="shared" si="18"/>
        <v>-7.9752604166660603</v>
      </c>
      <c r="K20" s="45">
        <f t="shared" si="19"/>
        <v>100.609375</v>
      </c>
      <c r="L20" s="46">
        <f t="shared" si="5"/>
        <v>90234.375000000015</v>
      </c>
      <c r="M20" s="47">
        <f t="shared" si="20"/>
        <v>1238.0083333333332</v>
      </c>
      <c r="N20" s="45">
        <f t="shared" si="21"/>
        <v>84.06</v>
      </c>
      <c r="O20" s="46">
        <f t="shared" si="22"/>
        <v>146155.22281214988</v>
      </c>
      <c r="P20" s="47">
        <f t="shared" si="23"/>
        <v>-47000</v>
      </c>
      <c r="Q20" s="45">
        <f t="shared" si="24"/>
        <v>99.828125</v>
      </c>
      <c r="R20" s="46">
        <f t="shared" si="25"/>
        <v>122910.15625</v>
      </c>
      <c r="S20" s="47">
        <f t="shared" si="26"/>
        <v>-6625.5270399305518</v>
      </c>
      <c r="T20" s="82">
        <f t="shared" si="28"/>
        <v>-45694.886107892766</v>
      </c>
      <c r="V20" s="75">
        <v>45777.625</v>
      </c>
      <c r="W20" s="54">
        <v>108</v>
      </c>
      <c r="Z20" s="75">
        <v>45898.625</v>
      </c>
      <c r="AA20" s="54">
        <v>100.21875</v>
      </c>
      <c r="AB20" s="75">
        <v>45901.625</v>
      </c>
      <c r="AC20" s="54">
        <v>97.234375</v>
      </c>
      <c r="AD20" s="75">
        <v>45777.625</v>
      </c>
      <c r="AE20" s="54">
        <v>81.78</v>
      </c>
    </row>
    <row r="21" spans="1:33" x14ac:dyDescent="0.3">
      <c r="A21" s="36">
        <v>45936</v>
      </c>
      <c r="B21" s="45">
        <f t="shared" si="10"/>
        <v>111.19</v>
      </c>
      <c r="C21" s="46">
        <f t="shared" si="11"/>
        <v>75717.633274750784</v>
      </c>
      <c r="D21" s="46">
        <f t="shared" si="12"/>
        <v>-46206.874999999993</v>
      </c>
      <c r="E21" s="45">
        <f t="shared" si="13"/>
        <v>99.4609375</v>
      </c>
      <c r="F21" s="46">
        <f t="shared" si="14"/>
        <v>12431.640625</v>
      </c>
      <c r="G21" s="47">
        <f t="shared" si="15"/>
        <v>-2963.6520534939227</v>
      </c>
      <c r="H21" s="45">
        <f t="shared" si="16"/>
        <v>100.6875</v>
      </c>
      <c r="I21" s="46">
        <f t="shared" si="17"/>
        <v>7617.1875</v>
      </c>
      <c r="J21" s="47">
        <f t="shared" si="18"/>
        <v>-10.96598307291606</v>
      </c>
      <c r="K21" s="45">
        <f t="shared" si="19"/>
        <v>99.859375</v>
      </c>
      <c r="L21" s="46">
        <f t="shared" si="5"/>
        <v>11484.375000000002</v>
      </c>
      <c r="M21" s="47">
        <f t="shared" si="20"/>
        <v>1702.2614583333343</v>
      </c>
      <c r="N21" s="45">
        <f t="shared" si="21"/>
        <v>83.89</v>
      </c>
      <c r="O21" s="46">
        <f t="shared" si="22"/>
        <v>44741.394738412324</v>
      </c>
      <c r="P21" s="47">
        <f t="shared" si="23"/>
        <v>-64624.999999999993</v>
      </c>
      <c r="Q21" s="45">
        <f t="shared" si="24"/>
        <v>99.59375</v>
      </c>
      <c r="R21" s="46">
        <f t="shared" si="25"/>
        <v>3964.84375</v>
      </c>
      <c r="S21" s="47">
        <f t="shared" si="26"/>
        <v>-9110.0996799045024</v>
      </c>
      <c r="T21" s="82">
        <f t="shared" si="28"/>
        <v>-48384.563207631712</v>
      </c>
      <c r="V21" s="75">
        <v>45778.625</v>
      </c>
      <c r="W21" s="54">
        <v>107.17</v>
      </c>
      <c r="Z21" s="75">
        <v>45901.625</v>
      </c>
      <c r="AA21" s="54">
        <v>100.171875</v>
      </c>
      <c r="AB21" s="75">
        <v>45902.625</v>
      </c>
      <c r="AC21" s="54">
        <v>96.65625</v>
      </c>
      <c r="AD21" s="75">
        <v>45778.625</v>
      </c>
      <c r="AE21" s="54">
        <v>81.17</v>
      </c>
    </row>
    <row r="22" spans="1:33" x14ac:dyDescent="0.3">
      <c r="A22" s="36">
        <v>45937</v>
      </c>
      <c r="B22" s="45">
        <f t="shared" si="10"/>
        <v>111.4</v>
      </c>
      <c r="C22" s="46">
        <f t="shared" si="11"/>
        <v>143380.19917984758</v>
      </c>
      <c r="D22" s="46">
        <f t="shared" si="12"/>
        <v>-50407.499999999993</v>
      </c>
      <c r="E22" s="45">
        <f t="shared" si="13"/>
        <v>99.6171875</v>
      </c>
      <c r="F22" s="46">
        <f t="shared" si="14"/>
        <v>38603.515625</v>
      </c>
      <c r="G22" s="47">
        <f t="shared" si="15"/>
        <v>-3233.0749674479121</v>
      </c>
      <c r="H22" s="45">
        <f t="shared" si="16"/>
        <v>100.96875</v>
      </c>
      <c r="I22" s="46">
        <f t="shared" si="17"/>
        <v>28710.9375</v>
      </c>
      <c r="J22" s="47">
        <f t="shared" si="18"/>
        <v>-11.962890624998181</v>
      </c>
      <c r="K22" s="45">
        <f t="shared" si="19"/>
        <v>100.390625</v>
      </c>
      <c r="L22" s="46">
        <f t="shared" si="5"/>
        <v>67265.625</v>
      </c>
      <c r="M22" s="47">
        <f t="shared" si="20"/>
        <v>1857.0125000000025</v>
      </c>
      <c r="N22" s="45">
        <f t="shared" si="21"/>
        <v>84</v>
      </c>
      <c r="O22" s="46">
        <f t="shared" si="22"/>
        <v>110362.10702142224</v>
      </c>
      <c r="P22" s="47">
        <f t="shared" si="23"/>
        <v>-70499.999999999985</v>
      </c>
      <c r="Q22" s="45">
        <f t="shared" si="24"/>
        <v>99.8125</v>
      </c>
      <c r="R22" s="46">
        <f t="shared" si="25"/>
        <v>114980.46874999999</v>
      </c>
      <c r="S22" s="47">
        <f t="shared" si="26"/>
        <v>-9938.2905598958314</v>
      </c>
      <c r="T22" s="82">
        <f t="shared" si="28"/>
        <v>-37412.106685696781</v>
      </c>
      <c r="V22" s="75">
        <v>45779.625</v>
      </c>
      <c r="W22" s="54">
        <v>106.91</v>
      </c>
      <c r="Z22" s="75">
        <v>45902.625</v>
      </c>
      <c r="AA22" s="54">
        <v>99.859375</v>
      </c>
      <c r="AB22" s="75">
        <v>45903.625</v>
      </c>
      <c r="AC22" s="54">
        <v>97.671875</v>
      </c>
      <c r="AD22" s="75">
        <v>45779.625</v>
      </c>
      <c r="AE22" s="54">
        <v>80.954999999999998</v>
      </c>
    </row>
    <row r="23" spans="1:33" x14ac:dyDescent="0.3">
      <c r="A23" s="36">
        <v>45938</v>
      </c>
      <c r="B23" s="45">
        <f t="shared" si="10"/>
        <v>111.26</v>
      </c>
      <c r="C23" s="46">
        <f t="shared" si="11"/>
        <v>98271.821909788341</v>
      </c>
      <c r="D23" s="46">
        <f t="shared" si="12"/>
        <v>-54608.124999999993</v>
      </c>
      <c r="E23" s="45">
        <f t="shared" si="13"/>
        <v>99.5625</v>
      </c>
      <c r="F23" s="46">
        <f t="shared" si="14"/>
        <v>29443.359375</v>
      </c>
      <c r="G23" s="47">
        <f t="shared" si="15"/>
        <v>-3502.497881401905</v>
      </c>
      <c r="H23" s="45">
        <f t="shared" si="16"/>
        <v>100.953125</v>
      </c>
      <c r="I23" s="46">
        <f t="shared" si="17"/>
        <v>27539.0625</v>
      </c>
      <c r="J23" s="47">
        <f t="shared" si="18"/>
        <v>-12.959798177082121</v>
      </c>
      <c r="K23" s="45">
        <f t="shared" si="19"/>
        <v>100.4375</v>
      </c>
      <c r="L23" s="46">
        <f t="shared" si="5"/>
        <v>72187.5</v>
      </c>
      <c r="M23" s="47">
        <f t="shared" si="20"/>
        <v>2011.7635416666672</v>
      </c>
      <c r="N23" s="45">
        <f t="shared" si="21"/>
        <v>83.91</v>
      </c>
      <c r="O23" s="46">
        <f t="shared" si="22"/>
        <v>56672.433335325237</v>
      </c>
      <c r="P23" s="47">
        <f t="shared" si="23"/>
        <v>-76374.999999999985</v>
      </c>
      <c r="Q23" s="45">
        <f t="shared" si="24"/>
        <v>99.78125</v>
      </c>
      <c r="R23" s="46">
        <f t="shared" si="25"/>
        <v>99121.09375</v>
      </c>
      <c r="S23" s="47">
        <f t="shared" si="26"/>
        <v>-10766.481439887139</v>
      </c>
      <c r="T23" s="82">
        <f t="shared" si="28"/>
        <v>-38318.176119810916</v>
      </c>
      <c r="V23" s="75">
        <v>45782.625</v>
      </c>
      <c r="W23" s="54">
        <v>106.76</v>
      </c>
      <c r="Z23" s="75">
        <v>45903.625</v>
      </c>
      <c r="AA23" s="54">
        <v>100.234375</v>
      </c>
      <c r="AB23" s="75">
        <v>45904.625</v>
      </c>
      <c r="AC23" s="54">
        <v>98.296875</v>
      </c>
      <c r="AD23" s="75">
        <v>45782.625</v>
      </c>
      <c r="AE23" s="54">
        <v>80.91</v>
      </c>
    </row>
    <row r="24" spans="1:33" x14ac:dyDescent="0.3">
      <c r="A24" s="36">
        <v>45939</v>
      </c>
      <c r="B24" s="45">
        <f t="shared" si="10"/>
        <v>111.04</v>
      </c>
      <c r="C24" s="46">
        <f t="shared" si="11"/>
        <v>27387.229056826778</v>
      </c>
      <c r="D24" s="46">
        <f t="shared" si="12"/>
        <v>-58808.75</v>
      </c>
      <c r="E24" s="45">
        <f t="shared" si="13"/>
        <v>99.5</v>
      </c>
      <c r="F24" s="46">
        <f t="shared" si="14"/>
        <v>18974.609375</v>
      </c>
      <c r="G24" s="47">
        <f t="shared" si="15"/>
        <v>-3771.9207953559016</v>
      </c>
      <c r="H24" s="45">
        <f t="shared" si="16"/>
        <v>100.875</v>
      </c>
      <c r="I24" s="46">
        <f t="shared" si="17"/>
        <v>21679.6875</v>
      </c>
      <c r="J24" s="47">
        <f t="shared" si="18"/>
        <v>-13.95670572916606</v>
      </c>
      <c r="K24" s="45">
        <f t="shared" si="19"/>
        <v>100.390625</v>
      </c>
      <c r="L24" s="46">
        <f t="shared" si="5"/>
        <v>67265.625</v>
      </c>
      <c r="M24" s="47">
        <f t="shared" si="20"/>
        <v>2166.5145833333372</v>
      </c>
      <c r="N24" s="45">
        <f t="shared" si="21"/>
        <v>83.78</v>
      </c>
      <c r="O24" s="46">
        <f t="shared" si="22"/>
        <v>-20879.317544592046</v>
      </c>
      <c r="P24" s="47">
        <f t="shared" si="23"/>
        <v>-82250</v>
      </c>
      <c r="Q24" s="45">
        <f t="shared" si="24"/>
        <v>99.71875</v>
      </c>
      <c r="R24" s="46">
        <f t="shared" si="25"/>
        <v>67402.34375</v>
      </c>
      <c r="S24" s="47">
        <f t="shared" si="26"/>
        <v>-11594.672319878475</v>
      </c>
      <c r="T24" s="82">
        <f t="shared" si="28"/>
        <v>-41157.915193007095</v>
      </c>
      <c r="V24" s="75">
        <v>45783.625</v>
      </c>
      <c r="W24" s="54">
        <v>106.97</v>
      </c>
      <c r="Z24" s="75">
        <v>45904.625</v>
      </c>
      <c r="AA24" s="54">
        <v>100.71875</v>
      </c>
      <c r="AB24" s="75">
        <v>45905.625</v>
      </c>
      <c r="AC24" s="54">
        <v>99.6875</v>
      </c>
      <c r="AD24" s="75">
        <v>45783.625</v>
      </c>
      <c r="AE24" s="54">
        <v>81.040000000000006</v>
      </c>
    </row>
    <row r="25" spans="1:33" x14ac:dyDescent="0.3">
      <c r="A25" s="36">
        <v>45940</v>
      </c>
      <c r="B25" s="45">
        <f t="shared" si="10"/>
        <v>111.36</v>
      </c>
      <c r="C25" s="46">
        <f t="shared" si="11"/>
        <v>130492.09138840434</v>
      </c>
      <c r="D25" s="46">
        <f t="shared" si="12"/>
        <v>-63009.374999999993</v>
      </c>
      <c r="E25" s="45">
        <f t="shared" si="13"/>
        <v>99.890625</v>
      </c>
      <c r="F25" s="46">
        <f t="shared" si="14"/>
        <v>84404.296875</v>
      </c>
      <c r="G25" s="47">
        <f t="shared" si="15"/>
        <v>-4041.3437093098946</v>
      </c>
      <c r="H25" s="45">
        <f t="shared" si="16"/>
        <v>101.578125</v>
      </c>
      <c r="I25" s="46">
        <f t="shared" si="17"/>
        <v>74414.0625</v>
      </c>
      <c r="J25" s="47">
        <f t="shared" si="18"/>
        <v>-14.953613281246362</v>
      </c>
      <c r="K25" s="45">
        <f t="shared" si="19"/>
        <v>101.875</v>
      </c>
      <c r="L25" s="46">
        <f t="shared" si="5"/>
        <v>223125.00000000003</v>
      </c>
      <c r="M25" s="47">
        <f t="shared" si="20"/>
        <v>2321.265625</v>
      </c>
      <c r="N25" s="45">
        <f t="shared" si="21"/>
        <v>83.94</v>
      </c>
      <c r="O25" s="46">
        <f t="shared" si="22"/>
        <v>74568.991230683503</v>
      </c>
      <c r="P25" s="47">
        <f t="shared" si="23"/>
        <v>-88124.999999999985</v>
      </c>
      <c r="Q25" s="45">
        <f t="shared" si="24"/>
        <v>100.25</v>
      </c>
      <c r="R25" s="46">
        <f t="shared" si="25"/>
        <v>337011.71875</v>
      </c>
      <c r="S25" s="47">
        <f t="shared" si="26"/>
        <v>-12422.863199869797</v>
      </c>
      <c r="T25" s="82">
        <f t="shared" si="28"/>
        <v>-36953.571236857053</v>
      </c>
      <c r="V25" s="75">
        <v>45784.625</v>
      </c>
      <c r="W25" s="54">
        <v>107.19</v>
      </c>
      <c r="Z25" s="75">
        <v>45905.625</v>
      </c>
      <c r="AA25" s="54">
        <v>101.3125</v>
      </c>
      <c r="AB25" s="75">
        <v>45908.625</v>
      </c>
      <c r="AC25" s="54">
        <v>101</v>
      </c>
      <c r="AD25" s="75">
        <v>45784.625</v>
      </c>
      <c r="AE25" s="54">
        <v>81.209999999999994</v>
      </c>
    </row>
    <row r="26" spans="1:33" x14ac:dyDescent="0.3">
      <c r="A26" s="36">
        <v>45943</v>
      </c>
      <c r="B26" s="45">
        <f t="shared" si="10"/>
        <v>111.73</v>
      </c>
      <c r="C26" s="46">
        <f t="shared" si="11"/>
        <v>249707.08845928989</v>
      </c>
      <c r="D26" s="46">
        <f t="shared" si="12"/>
        <v>-75611.25</v>
      </c>
      <c r="E26" s="45">
        <f t="shared" si="13"/>
        <v>100</v>
      </c>
      <c r="F26" s="46">
        <f t="shared" si="14"/>
        <v>102724.609375</v>
      </c>
      <c r="G26" s="47">
        <f t="shared" si="15"/>
        <v>-4849.6124511718772</v>
      </c>
      <c r="H26" s="45">
        <f t="shared" si="16"/>
        <v>101.75</v>
      </c>
      <c r="I26" s="46">
        <f t="shared" si="17"/>
        <v>87304.6875</v>
      </c>
      <c r="J26" s="47">
        <f t="shared" si="18"/>
        <v>-17.9443359375</v>
      </c>
      <c r="K26" s="45">
        <f t="shared" si="19"/>
        <v>102.109375</v>
      </c>
      <c r="L26" s="46">
        <f t="shared" si="5"/>
        <v>247734.375</v>
      </c>
      <c r="M26" s="47">
        <f t="shared" si="20"/>
        <v>2785.5187500000029</v>
      </c>
      <c r="N26" s="45">
        <f t="shared" si="21"/>
        <v>84.18</v>
      </c>
      <c r="O26" s="46">
        <f t="shared" si="22"/>
        <v>217741.45439360515</v>
      </c>
      <c r="P26" s="47">
        <f t="shared" si="23"/>
        <v>-105750</v>
      </c>
      <c r="Q26" s="45">
        <f t="shared" si="24"/>
        <v>100.40625</v>
      </c>
      <c r="R26" s="46">
        <f t="shared" si="25"/>
        <v>416308.59375</v>
      </c>
      <c r="S26" s="47">
        <f t="shared" si="26"/>
        <v>-14907.435839843747</v>
      </c>
      <c r="T26" s="82">
        <f t="shared" si="28"/>
        <v>-34548.916129348756</v>
      </c>
      <c r="V26" s="75">
        <v>45785.625</v>
      </c>
      <c r="W26" s="54">
        <v>106.65</v>
      </c>
      <c r="Z26" s="75">
        <v>45908.625</v>
      </c>
      <c r="AA26" s="54">
        <v>101.6875</v>
      </c>
      <c r="AB26" s="75">
        <v>45909.625</v>
      </c>
      <c r="AC26" s="54">
        <v>100.4375</v>
      </c>
      <c r="AD26" s="75">
        <v>45785.625</v>
      </c>
      <c r="AE26" s="54">
        <v>80.88</v>
      </c>
    </row>
    <row r="27" spans="1:33" x14ac:dyDescent="0.3">
      <c r="A27" s="36">
        <v>45944</v>
      </c>
      <c r="B27" s="45">
        <f t="shared" si="10"/>
        <v>112.1</v>
      </c>
      <c r="C27" s="46">
        <f t="shared" si="11"/>
        <v>368922.0855301675</v>
      </c>
      <c r="D27" s="46">
        <f t="shared" si="12"/>
        <v>-79811.874999999985</v>
      </c>
      <c r="E27" s="45">
        <f t="shared" si="13"/>
        <v>100.125</v>
      </c>
      <c r="F27" s="46">
        <f t="shared" si="14"/>
        <v>123662.109375</v>
      </c>
      <c r="G27" s="47">
        <f t="shared" si="15"/>
        <v>-5119.0353651258592</v>
      </c>
      <c r="H27" s="45">
        <f t="shared" si="16"/>
        <v>101.859375</v>
      </c>
      <c r="I27" s="46">
        <f t="shared" si="17"/>
        <v>95507.8125</v>
      </c>
      <c r="J27" s="47">
        <f t="shared" si="18"/>
        <v>-18.941243489578483</v>
      </c>
      <c r="K27" s="45">
        <f t="shared" si="19"/>
        <v>102.140625</v>
      </c>
      <c r="L27" s="46">
        <f t="shared" si="5"/>
        <v>251015.625</v>
      </c>
      <c r="M27" s="47">
        <f t="shared" si="20"/>
        <v>2940.269791666673</v>
      </c>
      <c r="N27" s="45">
        <f t="shared" si="21"/>
        <v>84.33</v>
      </c>
      <c r="O27" s="46">
        <f t="shared" si="22"/>
        <v>307224.24387042981</v>
      </c>
      <c r="P27" s="47">
        <f t="shared" si="23"/>
        <v>-111624.99999999999</v>
      </c>
      <c r="Q27" s="45">
        <f t="shared" si="24"/>
        <v>100.53125</v>
      </c>
      <c r="R27" s="46">
        <f t="shared" si="25"/>
        <v>479746.09375</v>
      </c>
      <c r="S27" s="47">
        <f t="shared" si="26"/>
        <v>-15735.626719835054</v>
      </c>
      <c r="T27" s="82">
        <f t="shared" si="28"/>
        <v>27160.769364552238</v>
      </c>
      <c r="V27" s="75">
        <v>45786.625</v>
      </c>
      <c r="W27" s="54">
        <v>106.61</v>
      </c>
      <c r="Z27" s="75">
        <v>45909.625</v>
      </c>
      <c r="AA27" s="54">
        <v>101.390625</v>
      </c>
      <c r="AB27" s="75">
        <v>45910.625</v>
      </c>
      <c r="AC27" s="54">
        <v>100.953125</v>
      </c>
      <c r="AD27" s="75">
        <v>45786.625</v>
      </c>
      <c r="AE27" s="54">
        <v>80.87</v>
      </c>
    </row>
    <row r="28" spans="1:33" x14ac:dyDescent="0.3">
      <c r="A28" s="36">
        <v>45945</v>
      </c>
      <c r="B28" s="45">
        <f t="shared" si="10"/>
        <v>112.1</v>
      </c>
      <c r="C28" s="46">
        <f t="shared" ref="C28" si="29">(B28/$B$14-1)*$B$5</f>
        <v>368922.0855301675</v>
      </c>
      <c r="D28" s="46">
        <f t="shared" ref="D28" si="30">-1*(A28-$A$14)/360*$B$7*$B$5</f>
        <v>-84012.499999999985</v>
      </c>
      <c r="E28" s="45">
        <f t="shared" si="13"/>
        <v>100.015625</v>
      </c>
      <c r="F28" s="46">
        <f t="shared" ref="F28" si="31">(E28-$E$14)/100*$C$5</f>
        <v>105341.796875</v>
      </c>
      <c r="G28" s="47">
        <f t="shared" ref="G28" si="32">(A28-$A$14)/360*$C$6*$C$5-(A28-$A$14)/360*$C$7*$C$5*$E$14/100</f>
        <v>-5388.4582790798522</v>
      </c>
      <c r="H28" s="45">
        <f t="shared" si="16"/>
        <v>101.734375</v>
      </c>
      <c r="I28" s="46">
        <f t="shared" ref="I28" si="33">(H28-$H$14)/100*$D$5</f>
        <v>86132.8125</v>
      </c>
      <c r="J28" s="47">
        <f t="shared" ref="J28" si="34">(A28-$A$14)/360*$D$6*$D$5-(A28-$A$14)/360*$D$7*$D$5*$H$14/100</f>
        <v>-19.938151041664241</v>
      </c>
      <c r="K28" s="45">
        <f t="shared" si="19"/>
        <v>101.921875</v>
      </c>
      <c r="L28" s="46">
        <f t="shared" ref="L28" si="35">(K28-$K$14)/100*$E$5</f>
        <v>228046.87499999997</v>
      </c>
      <c r="M28" s="47">
        <f t="shared" ref="M28" si="36">(A28-$A$14)/360*$E$6*$E$5-(A28-$A$14)/360*$E$7*$E$5*$K$14/100</f>
        <v>3095.0208333333394</v>
      </c>
      <c r="N28" s="45">
        <f t="shared" si="21"/>
        <v>84.38</v>
      </c>
      <c r="O28" s="46">
        <f t="shared" ref="O28" si="37">(N28/$N$14-1)*$F$5</f>
        <v>337051.84036270098</v>
      </c>
      <c r="P28" s="47">
        <f t="shared" ref="P28" si="38">-1*(A28-$A$14)/360*$F$7*$F$5</f>
        <v>-117499.99999999999</v>
      </c>
      <c r="Q28" s="45">
        <f t="shared" si="24"/>
        <v>100.40625</v>
      </c>
      <c r="R28" s="46">
        <f t="shared" ref="R28" si="39">(Q28-$Q$14)/100*$G$5</f>
        <v>416308.59375</v>
      </c>
      <c r="S28" s="47">
        <f t="shared" ref="S28" si="40">(A28-$A$14)/360*$G$6*$G$5-(A28-$A$14)/360*$G$7*$G$5*$Q$14/100</f>
        <v>-16563.817599826376</v>
      </c>
      <c r="T28" s="82">
        <f t="shared" si="28"/>
        <v>-14478.411727870844</v>
      </c>
      <c r="V28" s="75">
        <v>45789.625</v>
      </c>
      <c r="W28" s="54">
        <v>106.59</v>
      </c>
      <c r="Z28" s="75">
        <v>45910.625</v>
      </c>
      <c r="AA28" s="54">
        <v>101.6875</v>
      </c>
      <c r="AB28" s="75">
        <v>45911.625</v>
      </c>
      <c r="AC28" s="54">
        <v>101.640625</v>
      </c>
      <c r="AD28" s="75">
        <v>45789.625</v>
      </c>
      <c r="AE28" s="54">
        <v>80.790000000000006</v>
      </c>
    </row>
    <row r="29" spans="1:33" x14ac:dyDescent="0.3">
      <c r="A29" s="36">
        <v>45946</v>
      </c>
      <c r="B29" s="45">
        <f t="shared" ref="B29" si="41">VLOOKUP($A29+$J$1, V$3:W$509, 2)</f>
        <v>112.42</v>
      </c>
      <c r="C29" s="46">
        <f t="shared" ref="C29:C30" si="42">(B29/$B$14-1)*$B$5</f>
        <v>472026.94786174508</v>
      </c>
      <c r="D29" s="46">
        <f t="shared" ref="D29:D30" si="43">-1*(A29-$A$14)/360*$B$7*$B$5</f>
        <v>-88213.125</v>
      </c>
      <c r="E29" s="45">
        <f t="shared" ref="E29" si="44">VLOOKUP($A29+$J$1, X$3:Y$509, 2)</f>
        <v>100.359375</v>
      </c>
      <c r="F29" s="46">
        <f t="shared" ref="F29:F30" si="45">(E29-$E$14)/100*$C$5</f>
        <v>162919.921875</v>
      </c>
      <c r="G29" s="47">
        <f t="shared" ref="G29:G30" si="46">(A29-$A$14)/360*$C$6*$C$5-(A29-$A$14)/360*$C$7*$C$5*$E$14/100</f>
        <v>-5657.8811930338488</v>
      </c>
      <c r="H29" s="45">
        <f t="shared" ref="H29" si="47">VLOOKUP($A29+$J$1, Z$3:AA$509, 2)</f>
        <v>102.234375</v>
      </c>
      <c r="I29" s="46">
        <f t="shared" ref="I29:I30" si="48">(H29-$H$14)/100*$D$5</f>
        <v>123632.81249999999</v>
      </c>
      <c r="J29" s="47">
        <f t="shared" ref="J29:J30" si="49">(A29-$A$14)/360*$D$6*$D$5-(A29-$A$14)/360*$D$7*$D$5*$H$14/100</f>
        <v>-20.93505859375</v>
      </c>
      <c r="K29" s="45">
        <f t="shared" ref="K29" si="50">VLOOKUP($A29+$J$1, AB$3:AC$509, 2)</f>
        <v>102.671875</v>
      </c>
      <c r="L29" s="46">
        <f t="shared" ref="L29:L30" si="51">(K29-$K$14)/100*$E$5</f>
        <v>306796.875</v>
      </c>
      <c r="M29" s="47">
        <f t="shared" ref="M29:M30" si="52">(A29-$A$14)/360*$E$6*$E$5-(A29-$A$14)/360*$E$7*$E$5*$K$14/100</f>
        <v>3249.7718749999985</v>
      </c>
      <c r="N29" s="45">
        <f t="shared" ref="N29" si="53">VLOOKUP($A29+$J$1, AD$3:AE$509, 2)</f>
        <v>84.594999999999999</v>
      </c>
      <c r="O29" s="46">
        <f t="shared" ref="O29:O30" si="54">(N29/$N$14-1)*$F$5</f>
        <v>465310.50527948147</v>
      </c>
      <c r="P29" s="47">
        <f t="shared" ref="P29:P30" si="55">-1*(A29-$A$14)/360*$F$7*$F$5</f>
        <v>-123375</v>
      </c>
      <c r="Q29" s="45">
        <f t="shared" ref="Q29" si="56">VLOOKUP($A29+$J$1, AF$3:AG$509, 2)</f>
        <v>100.84375</v>
      </c>
      <c r="R29" s="46">
        <f t="shared" ref="R29:R30" si="57">(Q29-$Q$14)/100*$G$5</f>
        <v>638339.84375</v>
      </c>
      <c r="S29" s="47">
        <f t="shared" ref="S29:S30" si="58">(A29-$A$14)/360*$G$6*$G$5-(A29-$A$14)/360*$G$7*$G$5*$Q$14/100</f>
        <v>-17392.008479817698</v>
      </c>
      <c r="T29" s="82">
        <f t="shared" ref="T29:T30" si="59">C29+D29-F29-G29-I29-J29-L29-M29-O29-P29+R29+S29+$J$9</f>
        <v>9532.7635867743957</v>
      </c>
      <c r="V29" s="75">
        <v>45790.625</v>
      </c>
      <c r="W29" s="54">
        <v>106.68</v>
      </c>
      <c r="Z29" s="75">
        <v>45911.625</v>
      </c>
      <c r="AA29" s="54">
        <v>101.890625</v>
      </c>
      <c r="AB29" s="75">
        <v>45912.625</v>
      </c>
      <c r="AC29" s="54">
        <v>101.171875</v>
      </c>
      <c r="AD29" s="75">
        <v>45790.625</v>
      </c>
      <c r="AE29" s="54">
        <v>80.88</v>
      </c>
    </row>
    <row r="30" spans="1:33" x14ac:dyDescent="0.3">
      <c r="A30" s="131">
        <v>45947</v>
      </c>
      <c r="B30" s="45">
        <f>B10</f>
        <v>112.42</v>
      </c>
      <c r="C30" s="46">
        <f t="shared" si="42"/>
        <v>472026.94786174508</v>
      </c>
      <c r="D30" s="46">
        <f t="shared" si="43"/>
        <v>-92413.749999999985</v>
      </c>
      <c r="E30" s="45">
        <f>C10</f>
        <v>100.2578125</v>
      </c>
      <c r="F30" s="46">
        <f t="shared" si="45"/>
        <v>145908.203125</v>
      </c>
      <c r="G30" s="47">
        <f t="shared" si="46"/>
        <v>-5927.3041069878454</v>
      </c>
      <c r="H30" s="45">
        <f>D10</f>
        <v>102.078125</v>
      </c>
      <c r="I30" s="46">
        <f t="shared" si="48"/>
        <v>111914.0625</v>
      </c>
      <c r="J30" s="47">
        <f t="shared" si="49"/>
        <v>-21.931966145832121</v>
      </c>
      <c r="K30" s="45">
        <f>E10</f>
        <v>102.4375</v>
      </c>
      <c r="L30" s="46">
        <f t="shared" si="51"/>
        <v>282187.5</v>
      </c>
      <c r="M30" s="47">
        <f t="shared" si="52"/>
        <v>3404.5229166666686</v>
      </c>
      <c r="N30" s="45">
        <f>F10</f>
        <v>84.59</v>
      </c>
      <c r="O30" s="46">
        <f t="shared" si="54"/>
        <v>462327.74563026434</v>
      </c>
      <c r="P30" s="47">
        <f t="shared" si="55"/>
        <v>-129249.99999999999</v>
      </c>
      <c r="Q30" s="45">
        <f>G10</f>
        <v>100.703125</v>
      </c>
      <c r="R30" s="46">
        <f t="shared" si="57"/>
        <v>566972.65625</v>
      </c>
      <c r="S30" s="47">
        <f t="shared" si="58"/>
        <v>-18220.199359809005</v>
      </c>
      <c r="T30" s="82">
        <f t="shared" si="59"/>
        <v>-4549.9676141604868</v>
      </c>
      <c r="V30" s="75">
        <v>45791.625</v>
      </c>
      <c r="W30" s="54">
        <v>106.18</v>
      </c>
      <c r="Z30" s="75">
        <v>45912.625</v>
      </c>
      <c r="AA30" s="54">
        <v>101.546875</v>
      </c>
      <c r="AB30" s="75">
        <v>45915.625</v>
      </c>
      <c r="AC30" s="54">
        <v>101.4375</v>
      </c>
      <c r="AD30" s="75">
        <v>45791.625</v>
      </c>
      <c r="AE30" s="54">
        <v>80.58</v>
      </c>
    </row>
    <row r="31" spans="1:33" x14ac:dyDescent="0.3">
      <c r="A31" s="131">
        <v>45950</v>
      </c>
      <c r="B31" s="45"/>
      <c r="C31" s="46"/>
      <c r="D31" s="46"/>
      <c r="E31" s="45"/>
      <c r="F31" s="46"/>
      <c r="G31" s="47"/>
      <c r="H31" s="45"/>
      <c r="I31" s="46"/>
      <c r="J31" s="47"/>
      <c r="K31" s="45"/>
      <c r="L31" s="46"/>
      <c r="M31" s="47"/>
      <c r="N31" s="45"/>
      <c r="O31" s="46"/>
      <c r="P31" s="47"/>
      <c r="Q31" s="45"/>
      <c r="R31" s="46"/>
      <c r="S31" s="47"/>
      <c r="T31" s="82"/>
      <c r="V31" s="75">
        <v>45792.625</v>
      </c>
      <c r="W31" s="54">
        <v>106.9</v>
      </c>
      <c r="Z31" s="75">
        <v>45915.625</v>
      </c>
      <c r="AA31" s="54">
        <v>101.71875</v>
      </c>
      <c r="AB31" s="75">
        <v>45916.625</v>
      </c>
      <c r="AC31" s="54">
        <v>101.578125</v>
      </c>
      <c r="AD31" s="75">
        <v>45792.625</v>
      </c>
      <c r="AE31" s="54">
        <v>81.099999999999994</v>
      </c>
    </row>
    <row r="32" spans="1:33" x14ac:dyDescent="0.3">
      <c r="A32" s="131">
        <v>45951</v>
      </c>
      <c r="B32" s="45"/>
      <c r="C32" s="46"/>
      <c r="D32" s="46"/>
      <c r="E32" s="45"/>
      <c r="F32" s="46"/>
      <c r="G32" s="47"/>
      <c r="H32" s="45"/>
      <c r="I32" s="46"/>
      <c r="J32" s="47"/>
      <c r="K32" s="45"/>
      <c r="L32" s="46"/>
      <c r="M32" s="47"/>
      <c r="N32" s="45"/>
      <c r="O32" s="46"/>
      <c r="P32" s="47"/>
      <c r="Q32" s="45"/>
      <c r="R32" s="46"/>
      <c r="S32" s="47"/>
      <c r="T32" s="82"/>
      <c r="V32" s="75">
        <v>45793.625</v>
      </c>
      <c r="W32" s="54">
        <v>107.1</v>
      </c>
      <c r="Z32" s="75">
        <v>45916.625</v>
      </c>
      <c r="AA32" s="54">
        <v>101.765625</v>
      </c>
      <c r="AB32" s="75">
        <v>45917.625</v>
      </c>
      <c r="AC32" s="54">
        <v>101.375</v>
      </c>
      <c r="AD32" s="75">
        <v>45793.625</v>
      </c>
      <c r="AE32" s="54">
        <v>81.19</v>
      </c>
    </row>
    <row r="33" spans="1:31" x14ac:dyDescent="0.3">
      <c r="A33" s="131">
        <v>45952</v>
      </c>
      <c r="B33" s="45"/>
      <c r="C33" s="46"/>
      <c r="D33" s="46"/>
      <c r="E33" s="45"/>
      <c r="F33" s="46"/>
      <c r="G33" s="47"/>
      <c r="H33" s="45"/>
      <c r="I33" s="46"/>
      <c r="J33" s="47"/>
      <c r="K33" s="45"/>
      <c r="L33" s="46"/>
      <c r="M33" s="47"/>
      <c r="N33" s="45"/>
      <c r="O33" s="46"/>
      <c r="P33" s="47"/>
      <c r="Q33" s="45"/>
      <c r="R33" s="46"/>
      <c r="S33" s="47"/>
      <c r="T33" s="82"/>
      <c r="V33" s="75">
        <v>45796.625</v>
      </c>
      <c r="W33" s="54">
        <v>107.11</v>
      </c>
      <c r="Z33" s="75">
        <v>45917.625</v>
      </c>
      <c r="AA33" s="54">
        <v>101.5</v>
      </c>
      <c r="AB33" s="75">
        <v>45918.625</v>
      </c>
      <c r="AC33" s="54">
        <v>100.328125</v>
      </c>
      <c r="AD33" s="75">
        <v>45796.625</v>
      </c>
      <c r="AE33" s="54">
        <v>81.239999999999995</v>
      </c>
    </row>
    <row r="34" spans="1:31" x14ac:dyDescent="0.3">
      <c r="A34" s="131">
        <v>45953</v>
      </c>
      <c r="B34" s="45"/>
      <c r="C34" s="46"/>
      <c r="D34" s="46"/>
      <c r="E34" s="45"/>
      <c r="F34" s="46"/>
      <c r="G34" s="47"/>
      <c r="H34" s="45"/>
      <c r="I34" s="46"/>
      <c r="J34" s="47"/>
      <c r="K34" s="45"/>
      <c r="L34" s="46"/>
      <c r="M34" s="47"/>
      <c r="N34" s="45"/>
      <c r="O34" s="46"/>
      <c r="P34" s="47"/>
      <c r="Q34" s="45"/>
      <c r="R34" s="46"/>
      <c r="S34" s="47"/>
      <c r="T34" s="82"/>
      <c r="V34" s="75">
        <v>45797.625</v>
      </c>
      <c r="W34" s="54">
        <v>106.86</v>
      </c>
      <c r="Z34" s="75">
        <v>45918.625</v>
      </c>
      <c r="AA34" s="54">
        <v>101.09375</v>
      </c>
      <c r="AB34" s="75">
        <v>45919.625</v>
      </c>
      <c r="AC34" s="54">
        <v>100.125</v>
      </c>
      <c r="AD34" s="75">
        <v>45797.625</v>
      </c>
      <c r="AE34" s="54">
        <v>81.16</v>
      </c>
    </row>
    <row r="35" spans="1:31" x14ac:dyDescent="0.3">
      <c r="A35" s="131">
        <v>45954</v>
      </c>
      <c r="B35" s="45"/>
      <c r="C35" s="46"/>
      <c r="D35" s="46"/>
      <c r="E35" s="45"/>
      <c r="F35" s="46"/>
      <c r="G35" s="47"/>
      <c r="H35" s="45"/>
      <c r="I35" s="46"/>
      <c r="J35" s="47"/>
      <c r="K35" s="45"/>
      <c r="L35" s="46"/>
      <c r="M35" s="47"/>
      <c r="N35" s="45"/>
      <c r="O35" s="46"/>
      <c r="P35" s="47"/>
      <c r="Q35" s="45"/>
      <c r="R35" s="46"/>
      <c r="S35" s="47"/>
      <c r="T35" s="82"/>
      <c r="V35" s="75">
        <v>45798.625</v>
      </c>
      <c r="W35" s="54">
        <v>105.66</v>
      </c>
      <c r="Z35" s="75">
        <v>45919.625</v>
      </c>
      <c r="AA35" s="54">
        <v>101.015625</v>
      </c>
      <c r="AB35" s="75">
        <v>45922.625</v>
      </c>
      <c r="AC35" s="54">
        <v>99.734375</v>
      </c>
      <c r="AD35" s="75">
        <v>45798.625</v>
      </c>
      <c r="AE35" s="54">
        <v>80.52</v>
      </c>
    </row>
    <row r="36" spans="1:31" x14ac:dyDescent="0.3">
      <c r="A36" s="131">
        <v>45955</v>
      </c>
      <c r="B36" s="45"/>
      <c r="C36" s="46"/>
      <c r="D36" s="46"/>
      <c r="E36" s="45"/>
      <c r="F36" s="46"/>
      <c r="G36" s="47"/>
      <c r="H36" s="45"/>
      <c r="I36" s="46"/>
      <c r="J36" s="47"/>
      <c r="K36" s="45"/>
      <c r="L36" s="46"/>
      <c r="M36" s="47"/>
      <c r="N36" s="45"/>
      <c r="O36" s="46"/>
      <c r="P36" s="47"/>
      <c r="Q36" s="45"/>
      <c r="R36" s="46"/>
      <c r="S36" s="47"/>
      <c r="T36" s="82"/>
      <c r="V36" s="75">
        <v>45799.625</v>
      </c>
      <c r="W36" s="54">
        <v>106.2</v>
      </c>
      <c r="Z36" s="75">
        <v>45922.625</v>
      </c>
      <c r="AA36" s="54">
        <v>100.8125</v>
      </c>
      <c r="AB36" s="75">
        <v>45923.625</v>
      </c>
      <c r="AC36" s="54">
        <v>100.421875</v>
      </c>
      <c r="AD36" s="75">
        <v>45799.625</v>
      </c>
      <c r="AE36" s="54">
        <v>80.81</v>
      </c>
    </row>
    <row r="37" spans="1:31" x14ac:dyDescent="0.3">
      <c r="A37" s="131">
        <v>45956</v>
      </c>
      <c r="B37" s="45"/>
      <c r="C37" s="46"/>
      <c r="D37" s="46"/>
      <c r="E37" s="45"/>
      <c r="F37" s="46"/>
      <c r="G37" s="47"/>
      <c r="H37" s="45"/>
      <c r="I37" s="46"/>
      <c r="J37" s="47"/>
      <c r="K37" s="45"/>
      <c r="L37" s="46"/>
      <c r="M37" s="47"/>
      <c r="N37" s="45"/>
      <c r="O37" s="46"/>
      <c r="P37" s="47"/>
      <c r="Q37" s="45"/>
      <c r="R37" s="46"/>
      <c r="S37" s="47"/>
      <c r="T37" s="82"/>
      <c r="V37" s="75">
        <v>45800.625</v>
      </c>
      <c r="W37" s="54">
        <v>106.28</v>
      </c>
      <c r="Z37" s="75">
        <v>45923.625</v>
      </c>
      <c r="AA37" s="54">
        <v>101.140625</v>
      </c>
      <c r="AB37" s="75">
        <v>45924.625</v>
      </c>
      <c r="AC37" s="54">
        <v>100.015625</v>
      </c>
      <c r="AD37" s="75">
        <v>45800.625</v>
      </c>
      <c r="AE37" s="54">
        <v>80.915000000000006</v>
      </c>
    </row>
    <row r="38" spans="1:31" x14ac:dyDescent="0.3">
      <c r="A38" s="36"/>
      <c r="B38" s="45"/>
      <c r="C38" s="46"/>
      <c r="D38" s="46"/>
      <c r="E38" s="45"/>
      <c r="F38" s="46"/>
      <c r="G38" s="47"/>
      <c r="H38" s="45"/>
      <c r="I38" s="46"/>
      <c r="J38" s="47"/>
      <c r="K38" s="45"/>
      <c r="L38" s="46"/>
      <c r="M38" s="47"/>
      <c r="N38" s="45"/>
      <c r="O38" s="46"/>
      <c r="P38" s="47"/>
      <c r="Q38" s="45"/>
      <c r="R38" s="46"/>
      <c r="S38" s="47"/>
      <c r="T38" s="82"/>
      <c r="V38" s="75">
        <v>45804.625</v>
      </c>
      <c r="W38" s="54">
        <v>107.24</v>
      </c>
      <c r="Z38" s="75">
        <v>45924.625</v>
      </c>
      <c r="AA38" s="54">
        <v>100.859375</v>
      </c>
      <c r="AB38" s="75">
        <v>45925.625</v>
      </c>
      <c r="AC38" s="54">
        <v>100.03125</v>
      </c>
      <c r="AD38" s="75">
        <v>45804.625</v>
      </c>
      <c r="AE38" s="54">
        <v>81.37</v>
      </c>
    </row>
    <row r="39" spans="1:31" x14ac:dyDescent="0.3">
      <c r="A39" s="36"/>
      <c r="B39" s="45"/>
      <c r="C39" s="46"/>
      <c r="D39" s="46"/>
      <c r="E39" s="45"/>
      <c r="F39" s="46"/>
      <c r="G39" s="47"/>
      <c r="H39" s="45"/>
      <c r="I39" s="46"/>
      <c r="J39" s="47"/>
      <c r="K39" s="45"/>
      <c r="L39" s="46"/>
      <c r="M39" s="47"/>
      <c r="N39" s="45"/>
      <c r="O39" s="46"/>
      <c r="P39" s="47"/>
      <c r="Q39" s="45"/>
      <c r="R39" s="46"/>
      <c r="S39" s="47"/>
      <c r="T39" s="82"/>
      <c r="V39" s="75">
        <v>45805.625</v>
      </c>
      <c r="W39" s="54">
        <v>106.98</v>
      </c>
      <c r="Z39" s="75">
        <v>45925.625</v>
      </c>
      <c r="AA39" s="54">
        <v>100.640625</v>
      </c>
      <c r="AB39" s="75">
        <v>45926.625</v>
      </c>
      <c r="AC39" s="54">
        <v>99.90625</v>
      </c>
      <c r="AD39" s="75">
        <v>45805.625</v>
      </c>
      <c r="AE39" s="54">
        <v>81.209999999999994</v>
      </c>
    </row>
    <row r="40" spans="1:31" x14ac:dyDescent="0.3">
      <c r="A40" s="36"/>
      <c r="B40" s="45"/>
      <c r="C40" s="46"/>
      <c r="D40" s="46"/>
      <c r="E40" s="45"/>
      <c r="F40" s="46"/>
      <c r="G40" s="47"/>
      <c r="H40" s="45"/>
      <c r="I40" s="46"/>
      <c r="J40" s="47"/>
      <c r="K40" s="45"/>
      <c r="L40" s="46"/>
      <c r="M40" s="47"/>
      <c r="N40" s="45"/>
      <c r="O40" s="46"/>
      <c r="P40" s="47"/>
      <c r="Q40" s="45"/>
      <c r="R40" s="46"/>
      <c r="S40" s="47"/>
      <c r="T40" s="82"/>
      <c r="V40" s="75">
        <v>45806.625</v>
      </c>
      <c r="W40" s="54">
        <v>107.46</v>
      </c>
      <c r="Z40" s="75">
        <v>45926.625</v>
      </c>
      <c r="AA40" s="54">
        <v>100.5625</v>
      </c>
      <c r="AB40" s="75">
        <v>45929.625</v>
      </c>
      <c r="AC40" s="54">
        <v>100.65625</v>
      </c>
      <c r="AD40" s="75">
        <v>45806.625</v>
      </c>
      <c r="AE40" s="54">
        <v>81.489999999999995</v>
      </c>
    </row>
    <row r="41" spans="1:31" x14ac:dyDescent="0.3">
      <c r="A41" s="36"/>
      <c r="B41" s="45"/>
      <c r="C41" s="31"/>
      <c r="D41" s="31"/>
      <c r="E41" s="4"/>
      <c r="F41" s="31"/>
      <c r="G41" s="32"/>
      <c r="H41" s="4"/>
      <c r="I41" s="31"/>
      <c r="J41" s="32"/>
      <c r="K41" s="4"/>
      <c r="L41" s="31"/>
      <c r="M41" s="32"/>
      <c r="N41" s="4"/>
      <c r="O41" s="31"/>
      <c r="P41" s="32"/>
      <c r="Q41" s="4"/>
      <c r="R41" s="31"/>
      <c r="S41" s="32"/>
      <c r="T41" s="82"/>
      <c r="V41" s="75">
        <v>45807.625</v>
      </c>
      <c r="W41" s="54">
        <v>107.77</v>
      </c>
      <c r="Z41" s="75">
        <v>45929.625</v>
      </c>
      <c r="AA41" s="54">
        <v>100.875</v>
      </c>
      <c r="AB41" s="75">
        <v>45930.625</v>
      </c>
      <c r="AC41" s="54">
        <v>100.390625</v>
      </c>
      <c r="AD41" s="75">
        <v>45807.625</v>
      </c>
      <c r="AE41" s="54">
        <v>81.72</v>
      </c>
    </row>
    <row r="42" spans="1:31" x14ac:dyDescent="0.3">
      <c r="A42" s="36"/>
      <c r="B42" s="45"/>
      <c r="C42" s="31"/>
      <c r="D42" s="31"/>
      <c r="E42" s="4"/>
      <c r="F42" s="31"/>
      <c r="G42" s="32"/>
      <c r="H42" s="4"/>
      <c r="I42" s="31"/>
      <c r="J42" s="32"/>
      <c r="K42" s="4"/>
      <c r="L42" s="31"/>
      <c r="M42" s="32"/>
      <c r="N42" s="4"/>
      <c r="O42" s="31"/>
      <c r="P42" s="32"/>
      <c r="Q42" s="4"/>
      <c r="R42" s="31"/>
      <c r="S42" s="32"/>
      <c r="T42" s="38"/>
      <c r="V42" s="75">
        <v>45810.625</v>
      </c>
      <c r="W42" s="54">
        <v>107.07</v>
      </c>
      <c r="Z42" s="75">
        <v>45930.625</v>
      </c>
      <c r="AA42" s="54">
        <v>100.828125</v>
      </c>
      <c r="AB42" s="75">
        <v>45931.625</v>
      </c>
      <c r="AC42" s="54">
        <v>100.578125</v>
      </c>
      <c r="AD42" s="75">
        <v>45810.625</v>
      </c>
      <c r="AE42" s="54">
        <v>81.25</v>
      </c>
    </row>
    <row r="43" spans="1:31" x14ac:dyDescent="0.3">
      <c r="A43" s="36"/>
      <c r="B43" s="45"/>
      <c r="C43" s="31"/>
      <c r="D43" s="31"/>
      <c r="E43" s="4"/>
      <c r="F43" s="31"/>
      <c r="G43" s="32"/>
      <c r="H43" s="4"/>
      <c r="I43" s="31"/>
      <c r="J43" s="32"/>
      <c r="K43" s="4"/>
      <c r="L43" s="31"/>
      <c r="M43" s="32"/>
      <c r="N43" s="4"/>
      <c r="O43" s="31"/>
      <c r="P43" s="32"/>
      <c r="Q43" s="4"/>
      <c r="R43" s="31"/>
      <c r="S43" s="32"/>
      <c r="T43" s="38"/>
      <c r="V43" s="75">
        <v>45811.625</v>
      </c>
      <c r="W43" s="54">
        <v>107.12</v>
      </c>
      <c r="Z43" s="75">
        <v>45931.625</v>
      </c>
      <c r="AA43" s="54">
        <v>101.171875</v>
      </c>
      <c r="AB43" s="75">
        <v>45932.625</v>
      </c>
      <c r="AC43" s="54">
        <v>100.875</v>
      </c>
      <c r="AD43" s="75">
        <v>45811.625</v>
      </c>
      <c r="AE43" s="54">
        <v>81.27</v>
      </c>
    </row>
    <row r="44" spans="1:31" x14ac:dyDescent="0.3">
      <c r="A44" s="36"/>
      <c r="B44" s="45"/>
      <c r="C44" s="31"/>
      <c r="D44" s="31"/>
      <c r="E44" s="4"/>
      <c r="F44" s="31"/>
      <c r="G44" s="32"/>
      <c r="H44" s="4"/>
      <c r="I44" s="31"/>
      <c r="J44" s="32"/>
      <c r="K44" s="4"/>
      <c r="L44" s="31"/>
      <c r="M44" s="32"/>
      <c r="N44" s="4"/>
      <c r="O44" s="31"/>
      <c r="P44" s="32"/>
      <c r="Q44" s="4"/>
      <c r="R44" s="31"/>
      <c r="S44" s="32"/>
      <c r="T44" s="38"/>
      <c r="V44" s="75">
        <v>45812.625</v>
      </c>
      <c r="W44" s="54">
        <v>107.9</v>
      </c>
      <c r="Z44" s="75">
        <v>45932.625</v>
      </c>
      <c r="AA44" s="54">
        <v>101.3125</v>
      </c>
      <c r="AB44" s="75">
        <v>45933.625</v>
      </c>
      <c r="AC44" s="54">
        <v>100.609375</v>
      </c>
      <c r="AD44" s="75">
        <v>45812.625</v>
      </c>
      <c r="AE44" s="54">
        <v>81.72</v>
      </c>
    </row>
    <row r="45" spans="1:31" x14ac:dyDescent="0.3">
      <c r="A45" s="36"/>
      <c r="B45" s="45"/>
      <c r="C45" s="31"/>
      <c r="D45" s="31"/>
      <c r="E45" s="4"/>
      <c r="F45" s="31"/>
      <c r="G45" s="32"/>
      <c r="H45" s="4"/>
      <c r="I45" s="31"/>
      <c r="J45" s="32"/>
      <c r="K45" s="4"/>
      <c r="L45" s="31"/>
      <c r="M45" s="32"/>
      <c r="N45" s="4"/>
      <c r="O45" s="31"/>
      <c r="P45" s="32"/>
      <c r="Q45" s="4"/>
      <c r="R45" s="31"/>
      <c r="S45" s="32"/>
      <c r="T45" s="38"/>
      <c r="V45" s="75">
        <v>45813.625</v>
      </c>
      <c r="W45" s="54">
        <v>107.57</v>
      </c>
      <c r="Z45" s="75">
        <v>45933.625</v>
      </c>
      <c r="AA45" s="54">
        <v>101.046875</v>
      </c>
      <c r="AB45" s="75">
        <v>45936.625</v>
      </c>
      <c r="AC45" s="54">
        <v>99.859375</v>
      </c>
      <c r="AD45" s="75">
        <v>45813.625</v>
      </c>
      <c r="AE45" s="54">
        <v>81.405000000000001</v>
      </c>
    </row>
    <row r="46" spans="1:31" x14ac:dyDescent="0.3">
      <c r="A46" s="36"/>
      <c r="B46" s="45"/>
      <c r="C46" s="31"/>
      <c r="D46" s="31"/>
      <c r="E46" s="4"/>
      <c r="F46" s="31"/>
      <c r="G46" s="32"/>
      <c r="H46" s="4"/>
      <c r="I46" s="31"/>
      <c r="J46" s="32"/>
      <c r="K46" s="4"/>
      <c r="L46" s="31"/>
      <c r="M46" s="32"/>
      <c r="N46" s="4"/>
      <c r="O46" s="31"/>
      <c r="P46" s="32"/>
      <c r="Q46" s="4"/>
      <c r="R46" s="31"/>
      <c r="S46" s="32"/>
      <c r="T46" s="38"/>
      <c r="V46" s="75">
        <v>45814.625</v>
      </c>
      <c r="W46" s="54">
        <v>106.92</v>
      </c>
      <c r="Z46" s="75">
        <v>45936.625</v>
      </c>
      <c r="AA46" s="54">
        <v>100.6875</v>
      </c>
      <c r="AB46" s="75">
        <v>45937.625</v>
      </c>
      <c r="AC46" s="54">
        <v>100.390625</v>
      </c>
      <c r="AD46" s="75">
        <v>45814.625</v>
      </c>
      <c r="AE46" s="54">
        <v>81.03</v>
      </c>
    </row>
    <row r="47" spans="1:31" x14ac:dyDescent="0.3">
      <c r="A47" s="36"/>
      <c r="B47" s="45"/>
      <c r="C47" s="31"/>
      <c r="D47" s="31"/>
      <c r="E47" s="4"/>
      <c r="F47" s="31"/>
      <c r="G47" s="32"/>
      <c r="H47" s="4"/>
      <c r="I47" s="31"/>
      <c r="J47" s="32"/>
      <c r="K47" s="4"/>
      <c r="L47" s="31"/>
      <c r="M47" s="32"/>
      <c r="N47" s="4"/>
      <c r="O47" s="31"/>
      <c r="P47" s="32"/>
      <c r="Q47" s="4"/>
      <c r="R47" s="31"/>
      <c r="S47" s="32"/>
      <c r="T47" s="38"/>
      <c r="V47" s="75">
        <v>45817.625</v>
      </c>
      <c r="W47" s="54">
        <v>107.24</v>
      </c>
      <c r="Z47" s="75">
        <v>45937.625</v>
      </c>
      <c r="AA47" s="54">
        <v>100.96875</v>
      </c>
      <c r="AB47" s="75">
        <v>45938.625</v>
      </c>
      <c r="AC47" s="54">
        <v>100.4375</v>
      </c>
      <c r="AD47" s="75">
        <v>45817.625</v>
      </c>
      <c r="AE47" s="54">
        <v>81.209999999999994</v>
      </c>
    </row>
    <row r="48" spans="1:31" x14ac:dyDescent="0.3">
      <c r="A48" s="15"/>
      <c r="B48" s="45"/>
      <c r="C48" s="31"/>
      <c r="D48" s="31"/>
      <c r="E48" s="4"/>
      <c r="F48" s="31"/>
      <c r="G48" s="32"/>
      <c r="H48" s="4"/>
      <c r="I48" s="31"/>
      <c r="J48" s="32"/>
      <c r="K48" s="4"/>
      <c r="L48" s="31"/>
      <c r="M48" s="32"/>
      <c r="N48" s="4"/>
      <c r="O48" s="31"/>
      <c r="P48" s="32"/>
      <c r="Q48" s="4"/>
      <c r="R48" s="31"/>
      <c r="S48" s="32"/>
      <c r="T48" s="38"/>
      <c r="V48" s="75">
        <v>45818.625</v>
      </c>
      <c r="W48" s="54">
        <v>107.5</v>
      </c>
      <c r="Z48" s="75">
        <v>45938.625</v>
      </c>
      <c r="AA48" s="54">
        <v>100.953125</v>
      </c>
      <c r="AB48" s="75">
        <v>45939.625</v>
      </c>
      <c r="AC48" s="54">
        <v>100.390625</v>
      </c>
      <c r="AD48" s="75">
        <v>45818.625</v>
      </c>
      <c r="AE48" s="54">
        <v>81.33</v>
      </c>
    </row>
    <row r="49" spans="1:31" x14ac:dyDescent="0.3">
      <c r="A49" s="15"/>
      <c r="B49" s="45"/>
      <c r="C49" s="31"/>
      <c r="D49" s="31"/>
      <c r="E49" s="4"/>
      <c r="F49" s="31"/>
      <c r="G49" s="32"/>
      <c r="H49" s="4"/>
      <c r="I49" s="31"/>
      <c r="J49" s="32"/>
      <c r="K49" s="4"/>
      <c r="L49" s="31"/>
      <c r="M49" s="32"/>
      <c r="N49" s="4"/>
      <c r="O49" s="31"/>
      <c r="P49" s="32"/>
      <c r="Q49" s="4"/>
      <c r="R49" s="31"/>
      <c r="S49" s="32"/>
      <c r="T49" s="38"/>
      <c r="V49" s="75">
        <v>45819.625</v>
      </c>
      <c r="W49" s="54">
        <v>107.84</v>
      </c>
      <c r="Z49" s="75">
        <v>45939.625</v>
      </c>
      <c r="AA49" s="54">
        <v>100.875</v>
      </c>
      <c r="AB49" s="75">
        <v>45940.625</v>
      </c>
      <c r="AC49" s="54">
        <v>101.875</v>
      </c>
      <c r="AD49" s="75">
        <v>45819.625</v>
      </c>
      <c r="AE49" s="54">
        <v>81.62</v>
      </c>
    </row>
    <row r="50" spans="1:31" ht="15" thickBot="1" x14ac:dyDescent="0.35">
      <c r="A50" s="16"/>
      <c r="B50" s="48"/>
      <c r="C50" s="49"/>
      <c r="D50" s="49"/>
      <c r="E50" s="11"/>
      <c r="F50" s="49"/>
      <c r="G50" s="50"/>
      <c r="H50" s="11"/>
      <c r="I50" s="49"/>
      <c r="J50" s="50"/>
      <c r="K50" s="11"/>
      <c r="L50" s="49"/>
      <c r="M50" s="50"/>
      <c r="N50" s="11"/>
      <c r="O50" s="49"/>
      <c r="P50" s="50"/>
      <c r="Q50" s="11"/>
      <c r="R50" s="49"/>
      <c r="S50" s="50"/>
      <c r="T50" s="51"/>
      <c r="V50" s="75">
        <v>45820.625</v>
      </c>
      <c r="W50" s="54">
        <v>108.44</v>
      </c>
      <c r="Z50" s="75">
        <v>45940.625</v>
      </c>
      <c r="AA50" s="54">
        <v>101.578125</v>
      </c>
      <c r="AB50" s="75">
        <v>45943.625</v>
      </c>
      <c r="AC50" s="54">
        <v>102.109375</v>
      </c>
      <c r="AD50" s="75">
        <v>45820.625</v>
      </c>
      <c r="AE50" s="54">
        <v>81.91</v>
      </c>
    </row>
    <row r="51" spans="1:31" x14ac:dyDescent="0.3">
      <c r="B51" s="58"/>
      <c r="C51" s="58"/>
      <c r="D51" s="58"/>
      <c r="E51" s="58"/>
      <c r="F51" s="58"/>
      <c r="H51" s="57"/>
      <c r="I51" s="57"/>
      <c r="K51" s="58"/>
      <c r="L51" s="58"/>
      <c r="N51" s="57"/>
      <c r="O51" s="57"/>
      <c r="R51" s="57"/>
      <c r="S51" s="57"/>
      <c r="T51" s="57"/>
      <c r="V51" s="75">
        <v>45821.625</v>
      </c>
      <c r="W51" s="54">
        <v>107.79</v>
      </c>
      <c r="Z51" s="75">
        <v>45943.625</v>
      </c>
      <c r="AA51" s="54">
        <v>101.75</v>
      </c>
      <c r="AB51" s="75">
        <v>45944.625</v>
      </c>
      <c r="AC51" s="54">
        <v>102.140625</v>
      </c>
      <c r="AD51" s="75">
        <v>45821.625</v>
      </c>
      <c r="AE51" s="54">
        <v>81.56</v>
      </c>
    </row>
    <row r="52" spans="1:31" x14ac:dyDescent="0.3">
      <c r="R52" s="57"/>
      <c r="S52" s="57"/>
      <c r="T52" s="57"/>
      <c r="V52" s="75">
        <v>45824.625</v>
      </c>
      <c r="W52" s="54">
        <v>107.6</v>
      </c>
      <c r="Z52" s="75">
        <v>45944.625</v>
      </c>
      <c r="AA52" s="54">
        <v>101.859375</v>
      </c>
      <c r="AB52" s="75">
        <v>45945.625</v>
      </c>
      <c r="AC52" s="54">
        <v>101.921875</v>
      </c>
      <c r="AD52" s="75">
        <v>45824.625</v>
      </c>
      <c r="AE52" s="54">
        <v>81.52</v>
      </c>
    </row>
    <row r="53" spans="1:31" x14ac:dyDescent="0.3">
      <c r="R53" s="57"/>
      <c r="S53" s="57"/>
      <c r="T53" s="57"/>
      <c r="V53" s="75">
        <v>45825.625</v>
      </c>
      <c r="W53" s="54">
        <v>107.97</v>
      </c>
      <c r="Z53" s="75">
        <v>45945.625</v>
      </c>
      <c r="AA53" s="54">
        <v>101.734375</v>
      </c>
      <c r="AB53" s="75">
        <v>45946.625</v>
      </c>
      <c r="AC53" s="54">
        <v>102.671875</v>
      </c>
      <c r="AD53" s="75">
        <v>45825.625</v>
      </c>
      <c r="AE53" s="54">
        <v>81.709999999999994</v>
      </c>
    </row>
    <row r="54" spans="1:31" x14ac:dyDescent="0.3">
      <c r="R54" s="57"/>
      <c r="S54" s="57"/>
      <c r="T54" s="57"/>
      <c r="V54" s="75">
        <v>45826.625</v>
      </c>
      <c r="W54" s="54">
        <v>108.05</v>
      </c>
      <c r="Z54" s="75">
        <v>45946.625</v>
      </c>
      <c r="AA54" s="54">
        <v>102.234375</v>
      </c>
      <c r="AD54" s="75">
        <v>45826.625</v>
      </c>
      <c r="AE54" s="54">
        <v>81.77</v>
      </c>
    </row>
    <row r="55" spans="1:31" x14ac:dyDescent="0.3">
      <c r="V55" s="75">
        <v>45828.625</v>
      </c>
      <c r="W55" s="54">
        <v>108.15</v>
      </c>
      <c r="AD55" s="75">
        <v>45828.625</v>
      </c>
      <c r="AE55" s="54">
        <v>81.89</v>
      </c>
    </row>
    <row r="56" spans="1:31" x14ac:dyDescent="0.3">
      <c r="V56" s="75">
        <v>45831.625</v>
      </c>
      <c r="W56" s="54">
        <v>108.41</v>
      </c>
      <c r="AD56" s="75">
        <v>45831.625</v>
      </c>
      <c r="AE56" s="54">
        <v>82.12</v>
      </c>
    </row>
    <row r="57" spans="1:31" x14ac:dyDescent="0.3">
      <c r="V57" s="75">
        <v>45832.625</v>
      </c>
      <c r="W57" s="54">
        <v>108.92</v>
      </c>
      <c r="AD57" s="75">
        <v>45832.625</v>
      </c>
      <c r="AE57" s="54">
        <v>82.45</v>
      </c>
    </row>
    <row r="58" spans="1:31" x14ac:dyDescent="0.3">
      <c r="V58" s="75">
        <v>45833.625</v>
      </c>
      <c r="W58" s="54">
        <v>108.79</v>
      </c>
      <c r="AD58" s="75">
        <v>45833.625</v>
      </c>
      <c r="AE58" s="54">
        <v>82.41</v>
      </c>
    </row>
    <row r="59" spans="1:31" x14ac:dyDescent="0.3">
      <c r="V59" s="75">
        <v>45834.625</v>
      </c>
      <c r="W59" s="54">
        <v>109.19</v>
      </c>
      <c r="AD59" s="75">
        <v>45834.625</v>
      </c>
      <c r="AE59" s="54">
        <v>82.67</v>
      </c>
    </row>
    <row r="60" spans="1:31" x14ac:dyDescent="0.3">
      <c r="V60" s="75">
        <v>45835.625</v>
      </c>
      <c r="W60" s="54">
        <v>109.01</v>
      </c>
      <c r="AD60" s="75">
        <v>45835.625</v>
      </c>
      <c r="AE60" s="54">
        <v>82.59</v>
      </c>
    </row>
    <row r="61" spans="1:31" x14ac:dyDescent="0.3">
      <c r="V61" s="75">
        <v>45838.625</v>
      </c>
      <c r="W61" s="54">
        <v>109.61</v>
      </c>
      <c r="AD61" s="75">
        <v>45838.625</v>
      </c>
      <c r="AE61" s="54">
        <v>82.92</v>
      </c>
    </row>
    <row r="62" spans="1:31" x14ac:dyDescent="0.3">
      <c r="V62" s="75">
        <v>45839.625</v>
      </c>
      <c r="W62" s="54">
        <v>109.34</v>
      </c>
      <c r="AD62" s="75">
        <v>45839.625</v>
      </c>
      <c r="AE62" s="54">
        <v>82.59</v>
      </c>
    </row>
    <row r="63" spans="1:31" x14ac:dyDescent="0.3">
      <c r="V63" s="75">
        <v>45840.625</v>
      </c>
      <c r="W63" s="54">
        <v>109.32</v>
      </c>
      <c r="AD63" s="75">
        <v>45840.625</v>
      </c>
      <c r="AE63" s="54">
        <v>82.58</v>
      </c>
    </row>
    <row r="64" spans="1:31" x14ac:dyDescent="0.3">
      <c r="V64" s="75">
        <v>45841.625</v>
      </c>
      <c r="W64" s="54">
        <v>109.06</v>
      </c>
      <c r="AD64" s="75">
        <v>45845.625</v>
      </c>
      <c r="AE64" s="54">
        <v>82.18</v>
      </c>
    </row>
    <row r="65" spans="22:31" x14ac:dyDescent="0.3">
      <c r="V65" s="75">
        <v>45845.625</v>
      </c>
      <c r="W65" s="54">
        <v>108.41</v>
      </c>
      <c r="AD65" s="75">
        <v>45846.625</v>
      </c>
      <c r="AE65" s="54">
        <v>81.96</v>
      </c>
    </row>
    <row r="66" spans="22:31" x14ac:dyDescent="0.3">
      <c r="V66" s="75">
        <v>45846.625</v>
      </c>
      <c r="W66" s="54">
        <v>108.1</v>
      </c>
      <c r="AD66" s="75">
        <v>45847.625</v>
      </c>
      <c r="AE66" s="54">
        <v>82.31</v>
      </c>
    </row>
    <row r="67" spans="22:31" x14ac:dyDescent="0.3">
      <c r="V67" s="75">
        <v>45847.625</v>
      </c>
      <c r="W67" s="54">
        <v>108.71</v>
      </c>
      <c r="AD67" s="75">
        <v>45848.625</v>
      </c>
      <c r="AE67" s="54">
        <v>82.31</v>
      </c>
    </row>
    <row r="68" spans="22:31" x14ac:dyDescent="0.3">
      <c r="V68" s="75">
        <v>45848.625</v>
      </c>
      <c r="W68" s="54">
        <v>108.74</v>
      </c>
      <c r="AD68" s="75">
        <v>45849.625</v>
      </c>
      <c r="AE68" s="54">
        <v>82.02</v>
      </c>
    </row>
    <row r="69" spans="22:31" x14ac:dyDescent="0.3">
      <c r="V69" s="75">
        <v>45849.625</v>
      </c>
      <c r="W69" s="54">
        <v>108.08</v>
      </c>
      <c r="AD69" s="75">
        <v>45852.625</v>
      </c>
      <c r="AE69" s="54">
        <v>82</v>
      </c>
    </row>
    <row r="70" spans="22:31" x14ac:dyDescent="0.3">
      <c r="V70" s="75">
        <v>45852.625</v>
      </c>
      <c r="W70" s="54">
        <v>108.05</v>
      </c>
      <c r="AD70" s="75">
        <v>45853.625</v>
      </c>
      <c r="AE70" s="54">
        <v>81.75</v>
      </c>
    </row>
    <row r="71" spans="22:31" x14ac:dyDescent="0.3">
      <c r="V71" s="75">
        <v>45853.625</v>
      </c>
      <c r="W71" s="54">
        <v>107.66</v>
      </c>
      <c r="AD71" s="75">
        <v>45854.625</v>
      </c>
      <c r="AE71" s="54">
        <v>81.97</v>
      </c>
    </row>
    <row r="72" spans="22:31" x14ac:dyDescent="0.3">
      <c r="V72" s="75">
        <v>45854.625</v>
      </c>
      <c r="W72" s="54">
        <v>107.83</v>
      </c>
      <c r="AD72" s="75">
        <v>45855.625</v>
      </c>
      <c r="AE72" s="54">
        <v>82.06</v>
      </c>
    </row>
    <row r="73" spans="22:31" x14ac:dyDescent="0.3">
      <c r="V73" s="75">
        <v>45855.625</v>
      </c>
      <c r="W73" s="54">
        <v>108.09</v>
      </c>
      <c r="AD73" s="75">
        <v>45856.625</v>
      </c>
      <c r="AE73" s="54">
        <v>82.25</v>
      </c>
    </row>
    <row r="74" spans="22:31" x14ac:dyDescent="0.3">
      <c r="V74" s="75">
        <v>45856.625</v>
      </c>
      <c r="W74" s="54">
        <v>108.29</v>
      </c>
      <c r="AD74" s="75">
        <v>45859.625</v>
      </c>
      <c r="AE74" s="54">
        <v>82.49</v>
      </c>
    </row>
    <row r="75" spans="22:31" x14ac:dyDescent="0.3">
      <c r="V75" s="75">
        <v>45859.625</v>
      </c>
      <c r="W75" s="54">
        <v>108.71</v>
      </c>
      <c r="AD75" s="75">
        <v>45860.625</v>
      </c>
      <c r="AE75" s="54">
        <v>82.64</v>
      </c>
    </row>
    <row r="76" spans="22:31" x14ac:dyDescent="0.3">
      <c r="V76" s="75">
        <v>45860.625</v>
      </c>
      <c r="W76" s="54">
        <v>108.97</v>
      </c>
      <c r="AD76" s="75">
        <v>45861.625</v>
      </c>
      <c r="AE76" s="54">
        <v>82.53</v>
      </c>
    </row>
    <row r="77" spans="22:31" x14ac:dyDescent="0.3">
      <c r="V77" s="75">
        <v>45861.625</v>
      </c>
      <c r="W77" s="54">
        <v>108.8</v>
      </c>
      <c r="AD77" s="75">
        <v>45862.625</v>
      </c>
      <c r="AE77" s="54">
        <v>82.43</v>
      </c>
    </row>
    <row r="78" spans="22:31" x14ac:dyDescent="0.3">
      <c r="V78" s="75">
        <v>45862.625</v>
      </c>
      <c r="W78" s="54">
        <v>108.64</v>
      </c>
      <c r="AD78" s="75">
        <v>45863.625</v>
      </c>
      <c r="AE78" s="54">
        <v>82.63</v>
      </c>
    </row>
    <row r="79" spans="22:31" x14ac:dyDescent="0.3">
      <c r="V79" s="75">
        <v>45863.625</v>
      </c>
      <c r="W79" s="54">
        <v>108.99</v>
      </c>
      <c r="AD79" s="75">
        <v>45866.625</v>
      </c>
      <c r="AE79" s="54">
        <v>82.525000000000006</v>
      </c>
    </row>
    <row r="80" spans="22:31" x14ac:dyDescent="0.3">
      <c r="V80" s="75">
        <v>45866.625</v>
      </c>
      <c r="W80" s="54">
        <v>108.77</v>
      </c>
      <c r="AD80" s="75">
        <v>45867.625</v>
      </c>
      <c r="AE80" s="54">
        <v>82.81</v>
      </c>
    </row>
    <row r="81" spans="22:31" x14ac:dyDescent="0.3">
      <c r="V81" s="75">
        <v>45867.625</v>
      </c>
      <c r="W81" s="54">
        <v>109.49</v>
      </c>
      <c r="AD81" s="75">
        <v>45868.625</v>
      </c>
      <c r="AE81" s="54">
        <v>82.67</v>
      </c>
    </row>
    <row r="82" spans="22:31" x14ac:dyDescent="0.3">
      <c r="V82" s="75">
        <v>45868.625</v>
      </c>
      <c r="W82" s="54">
        <v>109.08</v>
      </c>
      <c r="AD82" s="75">
        <v>45869.625</v>
      </c>
      <c r="AE82" s="54">
        <v>82.68</v>
      </c>
    </row>
    <row r="83" spans="22:31" x14ac:dyDescent="0.3">
      <c r="V83" s="75">
        <v>45869.625</v>
      </c>
      <c r="W83" s="54">
        <v>109.11</v>
      </c>
      <c r="AD83" s="75">
        <v>45870.625</v>
      </c>
      <c r="AE83" s="54">
        <v>83.04</v>
      </c>
    </row>
    <row r="84" spans="22:31" x14ac:dyDescent="0.3">
      <c r="V84" s="75">
        <v>45870.625</v>
      </c>
      <c r="W84" s="54">
        <v>109.63</v>
      </c>
      <c r="AD84" s="75">
        <v>45873.625</v>
      </c>
      <c r="AE84" s="54">
        <v>83.17</v>
      </c>
    </row>
    <row r="85" spans="22:31" x14ac:dyDescent="0.3">
      <c r="V85" s="75">
        <v>45873.625</v>
      </c>
      <c r="W85" s="54">
        <v>109.82</v>
      </c>
      <c r="AD85" s="75">
        <v>45874.625</v>
      </c>
      <c r="AE85" s="54">
        <v>83.12</v>
      </c>
    </row>
    <row r="86" spans="22:31" x14ac:dyDescent="0.3">
      <c r="V86" s="75">
        <v>45874.625</v>
      </c>
      <c r="W86" s="54">
        <v>109.9</v>
      </c>
      <c r="AD86" s="75">
        <v>45875.625</v>
      </c>
      <c r="AE86" s="54">
        <v>83.16</v>
      </c>
    </row>
    <row r="87" spans="22:31" x14ac:dyDescent="0.3">
      <c r="V87" s="75">
        <v>45875.625</v>
      </c>
      <c r="W87" s="54">
        <v>109.87</v>
      </c>
      <c r="AD87" s="75">
        <v>45876.625</v>
      </c>
      <c r="AE87" s="54">
        <v>83.09</v>
      </c>
    </row>
    <row r="88" spans="22:31" x14ac:dyDescent="0.3">
      <c r="V88" s="75">
        <v>45876.625</v>
      </c>
      <c r="W88" s="54">
        <v>109.76</v>
      </c>
      <c r="AD88" s="75">
        <v>45877.625</v>
      </c>
      <c r="AE88" s="54">
        <v>82.88</v>
      </c>
    </row>
    <row r="89" spans="22:31" x14ac:dyDescent="0.3">
      <c r="V89" s="75">
        <v>45877.625</v>
      </c>
      <c r="W89" s="54">
        <v>109.41</v>
      </c>
      <c r="AD89" s="75">
        <v>45880.625</v>
      </c>
      <c r="AE89" s="54">
        <v>82.93</v>
      </c>
    </row>
    <row r="90" spans="22:31" x14ac:dyDescent="0.3">
      <c r="V90" s="75">
        <v>45880.625</v>
      </c>
      <c r="W90" s="54">
        <v>109.58499999999999</v>
      </c>
      <c r="AD90" s="75">
        <v>45881.625</v>
      </c>
      <c r="AE90" s="54">
        <v>83.02</v>
      </c>
    </row>
    <row r="91" spans="22:31" x14ac:dyDescent="0.3">
      <c r="V91" s="75">
        <v>45881.625</v>
      </c>
      <c r="W91" s="54">
        <v>109.68</v>
      </c>
      <c r="AD91" s="75">
        <v>45882.625</v>
      </c>
      <c r="AE91" s="54">
        <v>83.34</v>
      </c>
    </row>
    <row r="92" spans="22:31" x14ac:dyDescent="0.3">
      <c r="V92" s="75">
        <v>45882.625</v>
      </c>
      <c r="W92" s="54">
        <v>110.26</v>
      </c>
      <c r="AD92" s="75">
        <v>45883.625</v>
      </c>
      <c r="AE92" s="54">
        <v>83.12</v>
      </c>
    </row>
    <row r="93" spans="22:31" x14ac:dyDescent="0.3">
      <c r="V93" s="75">
        <v>45883.625</v>
      </c>
      <c r="W93" s="54">
        <v>109.88</v>
      </c>
      <c r="AD93" s="75">
        <v>45884.625</v>
      </c>
      <c r="AE93" s="54">
        <v>83.06</v>
      </c>
    </row>
    <row r="94" spans="22:31" x14ac:dyDescent="0.3">
      <c r="V94" s="75">
        <v>45884.625</v>
      </c>
      <c r="W94" s="54">
        <v>109.74</v>
      </c>
      <c r="AD94" s="75">
        <v>45887.625</v>
      </c>
      <c r="AE94" s="54">
        <v>82.96</v>
      </c>
    </row>
    <row r="95" spans="22:31" x14ac:dyDescent="0.3">
      <c r="V95" s="75">
        <v>45887.625</v>
      </c>
      <c r="W95" s="54">
        <v>109.54</v>
      </c>
      <c r="AD95" s="75">
        <v>45888.625</v>
      </c>
      <c r="AE95" s="54">
        <v>83.08</v>
      </c>
    </row>
    <row r="96" spans="22:31" x14ac:dyDescent="0.3">
      <c r="V96" s="75">
        <v>45888.625</v>
      </c>
      <c r="W96" s="54">
        <v>109.71</v>
      </c>
      <c r="AD96" s="75">
        <v>45889.625</v>
      </c>
      <c r="AE96" s="54">
        <v>83.11</v>
      </c>
    </row>
    <row r="97" spans="22:31" x14ac:dyDescent="0.3">
      <c r="V97" s="75">
        <v>45889.625</v>
      </c>
      <c r="W97" s="54">
        <v>109.76</v>
      </c>
      <c r="AD97" s="75">
        <v>45890.625</v>
      </c>
      <c r="AE97" s="54">
        <v>82.86</v>
      </c>
    </row>
    <row r="98" spans="22:31" x14ac:dyDescent="0.3">
      <c r="V98" s="75">
        <v>45890.625</v>
      </c>
      <c r="W98" s="54">
        <v>109.34</v>
      </c>
      <c r="AD98" s="75">
        <v>45891.625</v>
      </c>
      <c r="AE98" s="54">
        <v>83.38</v>
      </c>
    </row>
    <row r="99" spans="22:31" x14ac:dyDescent="0.3">
      <c r="V99" s="75">
        <v>45891.625</v>
      </c>
      <c r="W99" s="54">
        <v>110.2</v>
      </c>
      <c r="AD99" s="75">
        <v>45894.625</v>
      </c>
      <c r="AE99" s="54">
        <v>83.23</v>
      </c>
    </row>
    <row r="100" spans="22:31" x14ac:dyDescent="0.3">
      <c r="V100" s="75">
        <v>45894.625</v>
      </c>
      <c r="W100" s="54">
        <v>109.91</v>
      </c>
      <c r="AD100" s="75">
        <v>45895.625</v>
      </c>
      <c r="AE100" s="54">
        <v>83.36</v>
      </c>
    </row>
    <row r="101" spans="22:31" x14ac:dyDescent="0.3">
      <c r="V101" s="75">
        <v>45895.625</v>
      </c>
      <c r="W101" s="54">
        <v>109.99</v>
      </c>
      <c r="AD101" s="75">
        <v>45896.625</v>
      </c>
      <c r="AE101" s="54">
        <v>83.46</v>
      </c>
    </row>
    <row r="102" spans="22:31" x14ac:dyDescent="0.3">
      <c r="V102" s="75">
        <v>45896.625</v>
      </c>
      <c r="W102" s="54">
        <v>110.03</v>
      </c>
      <c r="AD102" s="75">
        <v>45897.625</v>
      </c>
      <c r="AE102" s="54">
        <v>83.53</v>
      </c>
    </row>
    <row r="103" spans="22:31" x14ac:dyDescent="0.3">
      <c r="V103" s="75">
        <v>45897.625</v>
      </c>
      <c r="W103" s="54">
        <v>110.2</v>
      </c>
      <c r="AD103" s="75">
        <v>45898.625</v>
      </c>
      <c r="AE103" s="54">
        <v>83.42</v>
      </c>
    </row>
    <row r="104" spans="22:31" x14ac:dyDescent="0.3">
      <c r="V104" s="75">
        <v>45898.625</v>
      </c>
      <c r="W104" s="54">
        <v>109.83</v>
      </c>
      <c r="AD104" s="75">
        <v>45902.625</v>
      </c>
      <c r="AE104" s="54">
        <v>82.9</v>
      </c>
    </row>
    <row r="105" spans="22:31" x14ac:dyDescent="0.3">
      <c r="V105" s="75">
        <v>45902.625</v>
      </c>
      <c r="W105" s="54">
        <v>109.05</v>
      </c>
      <c r="AD105" s="75">
        <v>45903.625</v>
      </c>
      <c r="AE105" s="54">
        <v>83.2</v>
      </c>
    </row>
    <row r="106" spans="22:31" x14ac:dyDescent="0.3">
      <c r="V106" s="75">
        <v>45903.625</v>
      </c>
      <c r="W106" s="54">
        <v>109.7</v>
      </c>
      <c r="AD106" s="75">
        <v>45904.625</v>
      </c>
      <c r="AE106" s="54">
        <v>83.66</v>
      </c>
    </row>
    <row r="107" spans="22:31" x14ac:dyDescent="0.3">
      <c r="V107" s="75">
        <v>45904.625</v>
      </c>
      <c r="W107" s="54">
        <v>110.45</v>
      </c>
      <c r="AD107" s="75">
        <v>45905.625</v>
      </c>
      <c r="AE107" s="54">
        <v>83.99</v>
      </c>
    </row>
    <row r="108" spans="22:31" x14ac:dyDescent="0.3">
      <c r="V108" s="75">
        <v>45905.625</v>
      </c>
      <c r="W108" s="54">
        <v>111.17</v>
      </c>
      <c r="AD108" s="75">
        <v>45908.625</v>
      </c>
      <c r="AE108" s="54">
        <v>84.15</v>
      </c>
    </row>
    <row r="109" spans="22:31" x14ac:dyDescent="0.3">
      <c r="V109" s="75">
        <v>45908.625</v>
      </c>
      <c r="W109" s="54">
        <v>111.56</v>
      </c>
      <c r="AD109" s="75">
        <v>45909.625</v>
      </c>
      <c r="AE109" s="54">
        <v>84.04</v>
      </c>
    </row>
    <row r="110" spans="22:31" x14ac:dyDescent="0.3">
      <c r="V110" s="75">
        <v>45909.625</v>
      </c>
      <c r="W110" s="54">
        <v>111.36</v>
      </c>
      <c r="AD110" s="75">
        <v>45910.625</v>
      </c>
      <c r="AE110" s="54">
        <v>84.24</v>
      </c>
    </row>
    <row r="111" spans="22:31" x14ac:dyDescent="0.3">
      <c r="V111" s="75">
        <v>45910.625</v>
      </c>
      <c r="W111" s="54">
        <v>111.69</v>
      </c>
      <c r="AD111" s="75">
        <v>45911.625</v>
      </c>
      <c r="AE111" s="54">
        <v>84.49</v>
      </c>
    </row>
    <row r="112" spans="22:31" x14ac:dyDescent="0.3">
      <c r="V112" s="75">
        <v>45911.625</v>
      </c>
      <c r="W112" s="54">
        <v>112.21</v>
      </c>
      <c r="AD112" s="75">
        <v>45912.625</v>
      </c>
      <c r="AE112" s="54">
        <v>84.34</v>
      </c>
    </row>
    <row r="113" spans="22:31" x14ac:dyDescent="0.3">
      <c r="V113" s="75">
        <v>45912.625</v>
      </c>
      <c r="W113" s="54">
        <v>112.01</v>
      </c>
      <c r="AD113" s="75">
        <v>45915.625</v>
      </c>
      <c r="AE113" s="54">
        <v>84.54</v>
      </c>
    </row>
    <row r="114" spans="22:31" x14ac:dyDescent="0.3">
      <c r="V114" s="75">
        <v>45915.625</v>
      </c>
      <c r="W114" s="54">
        <v>112.36</v>
      </c>
      <c r="AD114" s="75">
        <v>45916.625</v>
      </c>
      <c r="AE114" s="54">
        <v>84.53</v>
      </c>
    </row>
    <row r="115" spans="22:31" x14ac:dyDescent="0.3">
      <c r="V115" s="75">
        <v>45916.625</v>
      </c>
      <c r="W115" s="54">
        <v>112.26</v>
      </c>
      <c r="AD115" s="75">
        <v>45917.625</v>
      </c>
      <c r="AE115" s="54">
        <v>84.37</v>
      </c>
    </row>
    <row r="116" spans="22:31" x14ac:dyDescent="0.3">
      <c r="V116" s="75">
        <v>45917.625</v>
      </c>
      <c r="W116" s="54">
        <v>112.06</v>
      </c>
      <c r="AD116" s="75">
        <v>45918.625</v>
      </c>
      <c r="AE116" s="54">
        <v>84.295000000000002</v>
      </c>
    </row>
    <row r="117" spans="22:31" x14ac:dyDescent="0.3">
      <c r="V117" s="75">
        <v>45918.625</v>
      </c>
      <c r="W117" s="54">
        <v>111.83</v>
      </c>
      <c r="AD117" s="75">
        <v>45919.625</v>
      </c>
      <c r="AE117" s="54">
        <v>84.29</v>
      </c>
    </row>
    <row r="118" spans="22:31" x14ac:dyDescent="0.3">
      <c r="V118" s="75">
        <v>45919.625</v>
      </c>
      <c r="W118" s="54">
        <v>111.74</v>
      </c>
      <c r="AD118" s="75">
        <v>45922.625</v>
      </c>
      <c r="AE118" s="54">
        <v>84.154300000000006</v>
      </c>
    </row>
    <row r="119" spans="22:31" x14ac:dyDescent="0.3">
      <c r="V119" s="75">
        <v>45922.625</v>
      </c>
      <c r="W119" s="54">
        <v>111.48</v>
      </c>
      <c r="AD119" s="75">
        <v>45923.625</v>
      </c>
      <c r="AE119" s="54">
        <v>84.29</v>
      </c>
    </row>
    <row r="120" spans="22:31" x14ac:dyDescent="0.3">
      <c r="V120" s="75">
        <v>45923.625</v>
      </c>
      <c r="W120" s="54">
        <v>111.71</v>
      </c>
      <c r="AD120" s="75">
        <v>45924.625</v>
      </c>
      <c r="AE120" s="54">
        <v>84.05</v>
      </c>
    </row>
    <row r="121" spans="22:31" x14ac:dyDescent="0.3">
      <c r="V121" s="75">
        <v>45924.625</v>
      </c>
      <c r="W121" s="54">
        <v>111.26</v>
      </c>
      <c r="AD121" s="75">
        <v>45925.625</v>
      </c>
      <c r="AE121" s="54">
        <v>83.87</v>
      </c>
    </row>
    <row r="122" spans="22:31" x14ac:dyDescent="0.3">
      <c r="V122" s="75">
        <v>45925.625</v>
      </c>
      <c r="W122" s="54">
        <v>111.06</v>
      </c>
      <c r="AD122" s="75">
        <v>45926.625</v>
      </c>
      <c r="AE122" s="54">
        <v>83.93</v>
      </c>
    </row>
    <row r="123" spans="22:31" x14ac:dyDescent="0.3">
      <c r="V123" s="75">
        <v>45926.625</v>
      </c>
      <c r="W123" s="54">
        <v>111.21</v>
      </c>
      <c r="AD123" s="75">
        <v>45929.625</v>
      </c>
      <c r="AE123" s="54">
        <v>84.11</v>
      </c>
    </row>
    <row r="124" spans="22:31" x14ac:dyDescent="0.3">
      <c r="V124" s="75">
        <v>45929.625</v>
      </c>
      <c r="W124" s="54">
        <v>111.58</v>
      </c>
      <c r="AD124" s="75">
        <v>45930.625</v>
      </c>
      <c r="AE124" s="54">
        <v>84.11</v>
      </c>
    </row>
    <row r="125" spans="22:31" x14ac:dyDescent="0.3">
      <c r="V125" s="75">
        <v>45930.625</v>
      </c>
      <c r="W125" s="54">
        <v>111.47</v>
      </c>
      <c r="AD125" s="75">
        <v>45931.625</v>
      </c>
      <c r="AE125" s="54">
        <v>84.07</v>
      </c>
    </row>
    <row r="126" spans="22:31" x14ac:dyDescent="0.3">
      <c r="V126" s="75">
        <v>45931.625</v>
      </c>
      <c r="W126" s="54">
        <v>111.51</v>
      </c>
      <c r="AD126" s="75">
        <v>45932.625</v>
      </c>
      <c r="AE126" s="54">
        <v>84.16</v>
      </c>
    </row>
    <row r="127" spans="22:31" x14ac:dyDescent="0.3">
      <c r="V127" s="75">
        <v>45932.625</v>
      </c>
      <c r="W127" s="54">
        <v>111.69</v>
      </c>
      <c r="AD127" s="75">
        <v>45933.625</v>
      </c>
      <c r="AE127" s="54">
        <v>84.06</v>
      </c>
    </row>
    <row r="128" spans="22:31" x14ac:dyDescent="0.3">
      <c r="V128" s="75">
        <v>45933.625</v>
      </c>
      <c r="W128" s="54">
        <v>111.55</v>
      </c>
      <c r="AD128" s="75">
        <v>45936.625</v>
      </c>
      <c r="AE128" s="54">
        <v>83.89</v>
      </c>
    </row>
    <row r="129" spans="22:31" x14ac:dyDescent="0.3">
      <c r="V129" s="75">
        <v>45936.625</v>
      </c>
      <c r="W129" s="54">
        <v>111.19</v>
      </c>
      <c r="AD129" s="75">
        <v>45937.625</v>
      </c>
      <c r="AE129" s="54">
        <v>84</v>
      </c>
    </row>
    <row r="130" spans="22:31" x14ac:dyDescent="0.3">
      <c r="V130" s="75">
        <v>45937.625</v>
      </c>
      <c r="W130" s="54">
        <v>111.4</v>
      </c>
      <c r="AD130" s="75">
        <v>45938.625</v>
      </c>
      <c r="AE130" s="54">
        <v>83.91</v>
      </c>
    </row>
    <row r="131" spans="22:31" x14ac:dyDescent="0.3">
      <c r="V131" s="75">
        <v>45938.625</v>
      </c>
      <c r="W131" s="54">
        <v>111.26</v>
      </c>
      <c r="AD131" s="75">
        <v>45939.625</v>
      </c>
      <c r="AE131" s="54">
        <v>83.78</v>
      </c>
    </row>
    <row r="132" spans="22:31" x14ac:dyDescent="0.3">
      <c r="V132" s="75">
        <v>45939.625</v>
      </c>
      <c r="W132" s="54">
        <v>111.04</v>
      </c>
      <c r="AD132" s="75">
        <v>45940.625</v>
      </c>
      <c r="AE132" s="54">
        <v>83.94</v>
      </c>
    </row>
    <row r="133" spans="22:31" x14ac:dyDescent="0.3">
      <c r="V133" s="75">
        <v>45940.625</v>
      </c>
      <c r="W133" s="54">
        <v>111.36</v>
      </c>
      <c r="AD133" s="75">
        <v>45943.625</v>
      </c>
      <c r="AE133" s="54">
        <v>84.18</v>
      </c>
    </row>
    <row r="134" spans="22:31" x14ac:dyDescent="0.3">
      <c r="V134" s="75">
        <v>45943.625</v>
      </c>
      <c r="W134" s="54">
        <v>111.73</v>
      </c>
      <c r="AD134" s="75">
        <v>45944.625</v>
      </c>
      <c r="AE134" s="54">
        <v>84.33</v>
      </c>
    </row>
    <row r="135" spans="22:31" x14ac:dyDescent="0.3">
      <c r="V135" s="75">
        <v>45944.625</v>
      </c>
      <c r="W135" s="54">
        <v>112.1</v>
      </c>
      <c r="AD135" s="75">
        <v>45945.625</v>
      </c>
      <c r="AE135" s="54">
        <v>84.38</v>
      </c>
    </row>
    <row r="136" spans="22:31" x14ac:dyDescent="0.3">
      <c r="V136" s="75">
        <v>45945.625</v>
      </c>
      <c r="W136" s="54">
        <v>112.1</v>
      </c>
      <c r="AD136" s="75">
        <v>45946.625</v>
      </c>
      <c r="AE136" s="54">
        <v>84.594999999999999</v>
      </c>
    </row>
    <row r="137" spans="22:31" x14ac:dyDescent="0.3">
      <c r="V137" s="75">
        <v>45946.625</v>
      </c>
      <c r="W137" s="54">
        <v>112.42</v>
      </c>
    </row>
  </sheetData>
  <mergeCells count="6">
    <mergeCell ref="Q12:S12"/>
    <mergeCell ref="B12:D12"/>
    <mergeCell ref="E12:G12"/>
    <mergeCell ref="H12:J12"/>
    <mergeCell ref="K12:M12"/>
    <mergeCell ref="N12:P12"/>
  </mergeCells>
  <conditionalFormatting sqref="T13:T41">
    <cfRule type="cellIs" dxfId="5" priority="1" operator="lessThan">
      <formula>0</formula>
    </cfRule>
  </conditionalFormatting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DD8202-966E-4DE3-BC9C-2E09D48BDD9D}">
  <dimension ref="A1:R115"/>
  <sheetViews>
    <sheetView topLeftCell="A3" zoomScale="80" zoomScaleNormal="80" workbookViewId="0">
      <selection activeCell="B21" sqref="B21"/>
    </sheetView>
  </sheetViews>
  <sheetFormatPr defaultColWidth="9.109375" defaultRowHeight="14.4" x14ac:dyDescent="0.3"/>
  <cols>
    <col min="1" max="1" width="15.44140625" style="134" bestFit="1" customWidth="1"/>
    <col min="2" max="2" width="21.33203125" style="3" bestFit="1" customWidth="1"/>
    <col min="3" max="3" width="19.109375" style="3" bestFit="1" customWidth="1"/>
    <col min="4" max="4" width="15" style="60" bestFit="1" customWidth="1"/>
    <col min="5" max="5" width="10.5546875" style="3" bestFit="1" customWidth="1"/>
    <col min="6" max="6" width="24.6640625" style="3" bestFit="1" customWidth="1"/>
    <col min="7" max="7" width="13.109375" style="3" bestFit="1" customWidth="1"/>
    <col min="8" max="8" width="10.33203125" style="3" bestFit="1" customWidth="1"/>
    <col min="9" max="9" width="24.6640625" style="3" bestFit="1" customWidth="1"/>
    <col min="10" max="10" width="13.109375" style="3" bestFit="1" customWidth="1"/>
    <col min="11" max="11" width="10.44140625" style="3" bestFit="1" customWidth="1"/>
    <col min="12" max="12" width="12" style="85" bestFit="1" customWidth="1"/>
    <col min="13" max="13" width="10.6640625" style="3" hidden="1" customWidth="1"/>
    <col min="14" max="14" width="9.109375" style="3" hidden="1" customWidth="1"/>
    <col min="15" max="17" width="10.5546875" style="3" hidden="1" customWidth="1"/>
    <col min="18" max="18" width="9.109375" style="3" hidden="1" customWidth="1"/>
    <col min="19" max="19" width="9.109375" style="3" customWidth="1"/>
    <col min="20" max="16384" width="9.109375" style="3"/>
  </cols>
  <sheetData>
    <row r="1" spans="1:18" ht="15" thickBot="1" x14ac:dyDescent="0.35">
      <c r="A1" s="1"/>
      <c r="B1" s="1"/>
      <c r="C1" s="1"/>
      <c r="D1" s="31"/>
      <c r="E1" s="1"/>
      <c r="F1" s="1"/>
      <c r="G1" s="1"/>
      <c r="H1" s="1"/>
      <c r="I1" s="1"/>
      <c r="J1" s="1"/>
      <c r="K1" s="1"/>
      <c r="L1" s="1"/>
      <c r="M1" s="52">
        <f ca="1">TODAY()-150</f>
        <v>45797</v>
      </c>
    </row>
    <row r="2" spans="1:18" ht="15" thickBot="1" x14ac:dyDescent="0.35">
      <c r="A2" s="14"/>
      <c r="B2" s="27" t="s">
        <v>0</v>
      </c>
      <c r="C2" s="28" t="s">
        <v>1</v>
      </c>
      <c r="D2" s="111" t="s">
        <v>0</v>
      </c>
      <c r="E2" s="1"/>
      <c r="H2" s="1"/>
      <c r="L2" s="3"/>
      <c r="M2" s="52" cm="1">
        <f t="array" aca="1" ref="M2:N109" ca="1">_xll.BDH(B4, "px_last",M1,"")</f>
        <v>45797</v>
      </c>
      <c r="N2" s="3">
        <f ca="1"/>
        <v>59.835000000000001</v>
      </c>
      <c r="O2" s="52" cm="1">
        <f t="array" aca="1" ref="O2:P105" ca="1">_xll.BDH(C4, "px_last",M1,"")</f>
        <v>45797</v>
      </c>
      <c r="P2" s="3">
        <f ca="1"/>
        <v>100.066</v>
      </c>
      <c r="Q2" s="52" cm="1">
        <f t="array" aca="1" ref="Q2:R54" ca="1">_xll.BDH(D4, "px_last",M1,"")</f>
        <v>45875</v>
      </c>
      <c r="R2" s="3">
        <f ca="1"/>
        <v>100.0703125</v>
      </c>
    </row>
    <row r="3" spans="1:18" x14ac:dyDescent="0.3">
      <c r="A3" s="14" t="s">
        <v>32</v>
      </c>
      <c r="B3" s="15" t="s">
        <v>82</v>
      </c>
      <c r="C3" s="5" t="s">
        <v>84</v>
      </c>
      <c r="D3" s="14" t="s">
        <v>68</v>
      </c>
      <c r="L3" s="3"/>
      <c r="M3" s="52">
        <f ca="1"/>
        <v>45798</v>
      </c>
      <c r="N3" s="3">
        <f ca="1"/>
        <v>60.844000000000001</v>
      </c>
      <c r="O3" s="52">
        <f ca="1"/>
        <v>45798</v>
      </c>
      <c r="P3" s="3">
        <f ca="1"/>
        <v>99.025999999999996</v>
      </c>
      <c r="Q3" s="52">
        <f ca="1"/>
        <v>45876</v>
      </c>
      <c r="R3" s="3">
        <f ca="1"/>
        <v>99.9921875</v>
      </c>
    </row>
    <row r="4" spans="1:18" ht="30" customHeight="1" x14ac:dyDescent="0.3">
      <c r="A4" s="15" t="s">
        <v>33</v>
      </c>
      <c r="B4" s="17" t="s">
        <v>83</v>
      </c>
      <c r="C4" s="6" t="s">
        <v>85</v>
      </c>
      <c r="D4" s="17" t="s">
        <v>72</v>
      </c>
      <c r="L4" s="3"/>
      <c r="M4" s="52">
        <f ca="1"/>
        <v>45799</v>
      </c>
      <c r="N4" s="3">
        <f ca="1"/>
        <v>64.116</v>
      </c>
      <c r="O4" s="52">
        <f ca="1"/>
        <v>45799</v>
      </c>
      <c r="P4" s="3">
        <f ca="1"/>
        <v>99.465000000000003</v>
      </c>
      <c r="Q4" s="52">
        <f ca="1"/>
        <v>45877</v>
      </c>
      <c r="R4" s="3">
        <f ca="1"/>
        <v>99.7265625</v>
      </c>
    </row>
    <row r="5" spans="1:18" x14ac:dyDescent="0.3">
      <c r="A5" s="15" t="s">
        <v>8</v>
      </c>
      <c r="B5" s="18">
        <f>24.5*10^6</f>
        <v>24500000</v>
      </c>
      <c r="C5" s="8">
        <f>10*10^6</f>
        <v>10000000</v>
      </c>
      <c r="D5" s="18">
        <f>9.67*10^6</f>
        <v>9670000</v>
      </c>
      <c r="L5" s="3"/>
      <c r="M5" s="52">
        <f ca="1"/>
        <v>45800</v>
      </c>
      <c r="N5" s="3">
        <f ca="1"/>
        <v>65.477999999999994</v>
      </c>
      <c r="O5" s="52">
        <f ca="1"/>
        <v>45800</v>
      </c>
      <c r="P5" s="3">
        <f ca="1"/>
        <v>99.475999999999999</v>
      </c>
      <c r="Q5" s="52">
        <f ca="1"/>
        <v>45880</v>
      </c>
      <c r="R5" s="3">
        <f ca="1"/>
        <v>99.703125</v>
      </c>
    </row>
    <row r="6" spans="1:18" x14ac:dyDescent="0.3">
      <c r="A6" s="15" t="s">
        <v>10</v>
      </c>
      <c r="B6" s="19">
        <v>0.01</v>
      </c>
      <c r="C6" s="10">
        <v>5.4640000000000001E-2</v>
      </c>
      <c r="D6" s="112">
        <v>4.2500000000000003E-2</v>
      </c>
      <c r="L6" s="3"/>
      <c r="M6" s="52">
        <f ca="1"/>
        <v>45803</v>
      </c>
      <c r="N6" s="3">
        <f ca="1"/>
        <v>65.347999999999999</v>
      </c>
      <c r="O6" s="52">
        <f ca="1"/>
        <v>45804</v>
      </c>
      <c r="P6" s="3">
        <f ca="1"/>
        <v>100.30800000000001</v>
      </c>
      <c r="Q6" s="52">
        <f ca="1"/>
        <v>45881</v>
      </c>
      <c r="R6" s="3">
        <f ca="1"/>
        <v>99.671875</v>
      </c>
    </row>
    <row r="7" spans="1:18" x14ac:dyDescent="0.3">
      <c r="A7" s="15" t="s">
        <v>12</v>
      </c>
      <c r="B7" s="19">
        <v>0</v>
      </c>
      <c r="C7" s="10">
        <v>4.1000000000000002E-2</v>
      </c>
      <c r="D7" s="112">
        <v>4.1000000000000002E-2</v>
      </c>
      <c r="E7" s="1"/>
      <c r="H7" s="1"/>
      <c r="L7" s="3"/>
      <c r="M7" s="52">
        <f ca="1"/>
        <v>45804</v>
      </c>
      <c r="N7" s="3">
        <f ca="1"/>
        <v>60.889000000000003</v>
      </c>
      <c r="O7" s="52">
        <f ca="1"/>
        <v>45805</v>
      </c>
      <c r="P7" s="3">
        <f ca="1"/>
        <v>100.041</v>
      </c>
      <c r="Q7" s="52">
        <f ca="1"/>
        <v>45882</v>
      </c>
      <c r="R7" s="3">
        <f ca="1"/>
        <v>100.125</v>
      </c>
    </row>
    <row r="8" spans="1:18" x14ac:dyDescent="0.3">
      <c r="A8" s="15" t="s">
        <v>14</v>
      </c>
      <c r="B8" s="15">
        <v>4.8</v>
      </c>
      <c r="C8" s="5"/>
      <c r="D8" s="15"/>
      <c r="E8" s="1"/>
      <c r="F8" s="1"/>
      <c r="G8" s="1"/>
      <c r="H8" s="1"/>
      <c r="I8" s="1"/>
      <c r="J8" s="1"/>
      <c r="K8" s="1"/>
      <c r="L8" s="1"/>
      <c r="M8" s="52">
        <f ca="1"/>
        <v>45805</v>
      </c>
      <c r="N8" s="3">
        <f ca="1"/>
        <v>60.351999999999997</v>
      </c>
      <c r="O8" s="52">
        <f ca="1"/>
        <v>45806</v>
      </c>
      <c r="P8" s="3">
        <f ca="1"/>
        <v>100.55800000000001</v>
      </c>
      <c r="Q8" s="52">
        <f ca="1"/>
        <v>45883</v>
      </c>
      <c r="R8" s="3">
        <f ca="1"/>
        <v>99.7109375</v>
      </c>
    </row>
    <row r="9" spans="1:18" x14ac:dyDescent="0.3">
      <c r="A9" s="15"/>
      <c r="B9" s="15"/>
      <c r="C9" s="5"/>
      <c r="D9" s="15"/>
      <c r="E9" s="1"/>
      <c r="F9" s="1"/>
      <c r="G9" s="1"/>
      <c r="H9" s="1"/>
      <c r="I9" s="1"/>
      <c r="J9" s="1"/>
      <c r="K9" s="1"/>
      <c r="L9" s="1"/>
      <c r="M9" s="52">
        <f ca="1"/>
        <v>45806</v>
      </c>
      <c r="N9" s="3">
        <f ca="1"/>
        <v>60.35</v>
      </c>
      <c r="O9" s="52">
        <f ca="1"/>
        <v>45807</v>
      </c>
      <c r="P9" s="3">
        <f ca="1"/>
        <v>100.679</v>
      </c>
      <c r="Q9" s="52">
        <f ca="1"/>
        <v>45884</v>
      </c>
      <c r="R9" s="3">
        <f ca="1"/>
        <v>99.4453125</v>
      </c>
    </row>
    <row r="10" spans="1:18" ht="15" thickBot="1" x14ac:dyDescent="0.35">
      <c r="A10" s="16"/>
      <c r="B10" s="20"/>
      <c r="C10" s="13"/>
      <c r="D10" s="20"/>
      <c r="E10" s="1"/>
      <c r="F10" s="1"/>
      <c r="G10" s="1"/>
      <c r="H10" s="1"/>
      <c r="I10" s="1"/>
      <c r="J10" s="1"/>
      <c r="K10" s="1"/>
      <c r="L10" s="1"/>
      <c r="M10" s="52">
        <f ca="1"/>
        <v>45807</v>
      </c>
      <c r="N10" s="3">
        <f ca="1"/>
        <v>60.487000000000002</v>
      </c>
      <c r="O10" s="52">
        <f ca="1"/>
        <v>45810</v>
      </c>
      <c r="P10" s="3">
        <f ca="1"/>
        <v>100.422</v>
      </c>
      <c r="Q10" s="52">
        <f ca="1"/>
        <v>45887</v>
      </c>
      <c r="R10" s="3">
        <f ca="1"/>
        <v>99.3203125</v>
      </c>
    </row>
    <row r="11" spans="1:18" ht="15" thickBot="1" x14ac:dyDescent="0.35">
      <c r="A11" s="1"/>
      <c r="B11" s="1"/>
      <c r="C11" s="1"/>
      <c r="D11" s="31"/>
      <c r="E11" s="1"/>
      <c r="F11" s="1"/>
      <c r="G11" s="1"/>
      <c r="H11" s="1"/>
      <c r="I11" s="1"/>
      <c r="J11" s="1"/>
      <c r="K11" s="1"/>
      <c r="L11" s="1"/>
      <c r="M11" s="52">
        <f ca="1"/>
        <v>45810</v>
      </c>
      <c r="N11" s="3">
        <f ca="1"/>
        <v>60.633000000000003</v>
      </c>
      <c r="O11" s="52">
        <f ca="1"/>
        <v>45811</v>
      </c>
      <c r="P11" s="3">
        <f ca="1"/>
        <v>100.51300000000001</v>
      </c>
      <c r="Q11" s="52">
        <f ca="1"/>
        <v>45888</v>
      </c>
      <c r="R11" s="3">
        <f ca="1"/>
        <v>99.5390625</v>
      </c>
    </row>
    <row r="12" spans="1:18" ht="15" thickBot="1" x14ac:dyDescent="0.35">
      <c r="A12" s="39" t="s">
        <v>22</v>
      </c>
      <c r="B12" s="135" t="s">
        <v>0</v>
      </c>
      <c r="C12" s="136"/>
      <c r="D12" s="137"/>
      <c r="E12" s="138" t="s">
        <v>1</v>
      </c>
      <c r="F12" s="139"/>
      <c r="G12" s="140"/>
      <c r="H12" s="153" t="s">
        <v>0</v>
      </c>
      <c r="I12" s="151"/>
      <c r="J12" s="154"/>
      <c r="K12" s="39" t="s">
        <v>16</v>
      </c>
      <c r="M12" s="52">
        <f ca="1"/>
        <v>45811</v>
      </c>
      <c r="N12" s="3">
        <f ca="1"/>
        <v>59.41</v>
      </c>
      <c r="O12" s="52">
        <f ca="1"/>
        <v>45812</v>
      </c>
      <c r="P12" s="3">
        <f ca="1"/>
        <v>101.38500000000001</v>
      </c>
      <c r="Q12" s="52">
        <f ca="1"/>
        <v>45889</v>
      </c>
      <c r="R12" s="3">
        <f ca="1"/>
        <v>99.6640625</v>
      </c>
    </row>
    <row r="13" spans="1:18" ht="15" thickBot="1" x14ac:dyDescent="0.35">
      <c r="A13" s="16"/>
      <c r="B13" s="11" t="s">
        <v>24</v>
      </c>
      <c r="C13" s="49" t="s">
        <v>19</v>
      </c>
      <c r="D13" s="22" t="s">
        <v>20</v>
      </c>
      <c r="E13" s="11" t="s">
        <v>17</v>
      </c>
      <c r="F13" s="21" t="s">
        <v>21</v>
      </c>
      <c r="G13" s="22" t="s">
        <v>20</v>
      </c>
      <c r="H13" s="11" t="s">
        <v>17</v>
      </c>
      <c r="I13" s="21" t="s">
        <v>21</v>
      </c>
      <c r="J13" s="22" t="s">
        <v>20</v>
      </c>
      <c r="K13" s="16"/>
      <c r="M13" s="52">
        <f ca="1"/>
        <v>45812</v>
      </c>
      <c r="N13" s="3">
        <f ca="1"/>
        <v>58.587000000000003</v>
      </c>
      <c r="O13" s="52">
        <f ca="1"/>
        <v>45813</v>
      </c>
      <c r="P13" s="3">
        <f ca="1"/>
        <v>100.863</v>
      </c>
      <c r="Q13" s="52">
        <f ca="1"/>
        <v>45890</v>
      </c>
      <c r="R13" s="3">
        <f ca="1"/>
        <v>99.3671875</v>
      </c>
    </row>
    <row r="14" spans="1:18" x14ac:dyDescent="0.3">
      <c r="A14" s="131">
        <v>45938</v>
      </c>
      <c r="B14" s="45">
        <v>54.5</v>
      </c>
      <c r="C14" s="31"/>
      <c r="D14" s="5"/>
      <c r="E14" s="45">
        <f ca="1">VLOOKUP(A14,O:P,2)</f>
        <v>104.66200000000001</v>
      </c>
      <c r="F14" s="1"/>
      <c r="G14" s="5"/>
      <c r="H14" s="45">
        <f ca="1">VLOOKUP(A14,Q:R,2)</f>
        <v>101.046875</v>
      </c>
      <c r="I14" s="1"/>
      <c r="J14" s="5"/>
      <c r="K14" s="81">
        <v>0</v>
      </c>
      <c r="M14" s="52">
        <f ca="1"/>
        <v>45813</v>
      </c>
      <c r="N14" s="3">
        <f ca="1"/>
        <v>58.533000000000001</v>
      </c>
      <c r="O14" s="52">
        <f ca="1"/>
        <v>45814</v>
      </c>
      <c r="P14" s="3">
        <f ca="1"/>
        <v>100.096</v>
      </c>
      <c r="Q14" s="52">
        <f ca="1"/>
        <v>45891</v>
      </c>
      <c r="R14" s="3">
        <f ca="1"/>
        <v>99.9609375</v>
      </c>
    </row>
    <row r="15" spans="1:18" x14ac:dyDescent="0.3">
      <c r="A15" s="131">
        <v>45939</v>
      </c>
      <c r="B15" s="45">
        <v>56.36</v>
      </c>
      <c r="C15" s="31">
        <f>-1*(B15-$B$14)*$B$8*$B$5*10^-4</f>
        <v>-21873.599999999995</v>
      </c>
      <c r="D15" s="32">
        <f>$B$6*(A15-$A$14)/360*$B$5</f>
        <v>680.55555555555554</v>
      </c>
      <c r="E15" s="45">
        <f ca="1">VLOOKUP(A15,O:P,2)</f>
        <v>104.379</v>
      </c>
      <c r="F15" s="31">
        <f ca="1">(E15-$E$14)/100*$C$5</f>
        <v>-28300.000000000127</v>
      </c>
      <c r="G15" s="32">
        <f ca="1">$C$6*(A15-$A$14)/360*$C$5-$C$7*(A15-$A$14)/360*$C$5*$E$14/100</f>
        <v>325.79388888888889</v>
      </c>
      <c r="H15" s="45">
        <f ca="1">VLOOKUP(A15,Q:R,2)</f>
        <v>100.8828125</v>
      </c>
      <c r="I15" s="31">
        <f ca="1">(H15-$H$14)/100*$D$5</f>
        <v>-15864.84375</v>
      </c>
      <c r="J15" s="32">
        <f ca="1">$D$6*(A15-$A$14)/360*$D$5-$D$7*(A15-$A$14)/360*$D$5*$H$14/100</f>
        <v>28.762374131944398</v>
      </c>
      <c r="K15" s="82">
        <f ca="1">C15+D15-F15-G15+I15+J15</f>
        <v>-9054.9197092012582</v>
      </c>
      <c r="M15" s="52">
        <f ca="1"/>
        <v>45814</v>
      </c>
      <c r="N15" s="3">
        <f ca="1"/>
        <v>58.752000000000002</v>
      </c>
      <c r="O15" s="52">
        <f ca="1"/>
        <v>45817</v>
      </c>
      <c r="P15" s="3">
        <f ca="1"/>
        <v>100.477</v>
      </c>
      <c r="Q15" s="52">
        <f ca="1"/>
        <v>45894</v>
      </c>
      <c r="R15" s="3">
        <f ca="1"/>
        <v>99.7890625</v>
      </c>
    </row>
    <row r="16" spans="1:18" x14ac:dyDescent="0.3">
      <c r="A16" s="131">
        <v>45940</v>
      </c>
      <c r="B16" s="45">
        <v>59.47</v>
      </c>
      <c r="C16" s="31">
        <f t="shared" ref="C16" si="0">-1*(B16-$B$14)*$B$8*$B$5*10^-4</f>
        <v>-58447.19999999999</v>
      </c>
      <c r="D16" s="32">
        <f>$B$6*(A16-$A$14)/360*$B$5</f>
        <v>1361.1111111111111</v>
      </c>
      <c r="E16" s="45">
        <f t="shared" ref="E16" ca="1" si="1">VLOOKUP(A16,O:P,2)</f>
        <v>104.739</v>
      </c>
      <c r="F16" s="31">
        <f ca="1">(E16-$E$14)/100*$C$5</f>
        <v>7699.9999999998181</v>
      </c>
      <c r="G16" s="32">
        <f ca="1">$C$6*(A16-$A$14)/360*$C$5-$C$7*(A16-$A$14)/360*$C$5*$E$14/100</f>
        <v>651.58777777777777</v>
      </c>
      <c r="H16" s="45">
        <f t="shared" ref="H16" ca="1" si="2">VLOOKUP(A16,Q:R,2)</f>
        <v>101.734375</v>
      </c>
      <c r="I16" s="31">
        <f ca="1">(H16-$H$14)/100*$D$5</f>
        <v>66481.25</v>
      </c>
      <c r="J16" s="32">
        <f ca="1">$D$6*(A16-$A$14)/360*$D$5-$D$7*(A16-$A$14)/360*$D$5*$H$14/100</f>
        <v>57.524748263888796</v>
      </c>
      <c r="K16" s="82">
        <f ca="1">C16+D16-F16-G16+I16+J16</f>
        <v>1101.0980815974117</v>
      </c>
      <c r="M16" s="52">
        <f ca="1"/>
        <v>45817</v>
      </c>
      <c r="N16" s="3">
        <f ca="1"/>
        <v>58.752000000000002</v>
      </c>
      <c r="O16" s="52">
        <f ca="1"/>
        <v>45818</v>
      </c>
      <c r="P16" s="3">
        <f ca="1"/>
        <v>100.437</v>
      </c>
      <c r="Q16" s="52">
        <f ca="1"/>
        <v>45895</v>
      </c>
      <c r="R16" s="3">
        <f ca="1"/>
        <v>99.8984375</v>
      </c>
    </row>
    <row r="17" spans="1:18" x14ac:dyDescent="0.3">
      <c r="A17" s="131">
        <v>45943</v>
      </c>
      <c r="B17" s="45">
        <v>59.666499999999999</v>
      </c>
      <c r="C17" s="31">
        <f t="shared" ref="C17" si="3">-1*(B17-$B$14)*$B$8*$B$5*10^-4</f>
        <v>-60758.039999999994</v>
      </c>
      <c r="D17" s="32">
        <f t="shared" ref="D17" si="4">$B$6*(A17-$A$14)/360*$B$5</f>
        <v>3402.7777777777778</v>
      </c>
      <c r="E17" s="45">
        <f t="shared" ref="E17" ca="1" si="5">VLOOKUP(A17,O:P,2)</f>
        <v>104.739</v>
      </c>
      <c r="F17" s="31">
        <f t="shared" ref="F17" ca="1" si="6">(E17-$E$14)/100*$C$5</f>
        <v>7699.9999999998181</v>
      </c>
      <c r="G17" s="32">
        <f t="shared" ref="G17" ca="1" si="7">$C$6*(A17-$A$14)/360*$C$5-$C$7*(A17-$A$14)/360*$C$5*$E$14/100</f>
        <v>1628.9694444444449</v>
      </c>
      <c r="H17" s="45">
        <f t="shared" ref="H17" ca="1" si="8">VLOOKUP(A17,Q:R,2)</f>
        <v>101.734375</v>
      </c>
      <c r="I17" s="31">
        <f t="shared" ref="I17" ca="1" si="9">(H17-$H$14)/100*$D$5</f>
        <v>66481.25</v>
      </c>
      <c r="J17" s="32">
        <f t="shared" ref="J17" ca="1" si="10">$D$6*(A17-$A$14)/360*$D$5-$D$7*(A17-$A$14)/360*$D$5*$H$14/100</f>
        <v>143.81187065972244</v>
      </c>
      <c r="K17" s="82">
        <f t="shared" ref="K17" ca="1" si="11">C17+D17-F17-G17+I17+J17</f>
        <v>-59.169796006747674</v>
      </c>
      <c r="M17" s="52">
        <f ca="1"/>
        <v>45818</v>
      </c>
      <c r="N17" s="3">
        <f ca="1"/>
        <v>57.036999999999999</v>
      </c>
      <c r="O17" s="52">
        <f ca="1"/>
        <v>45819</v>
      </c>
      <c r="P17" s="3">
        <f ca="1"/>
        <v>100.79600000000001</v>
      </c>
      <c r="Q17" s="52">
        <f ca="1"/>
        <v>45896</v>
      </c>
      <c r="R17" s="3">
        <f ca="1"/>
        <v>100.1171875</v>
      </c>
    </row>
    <row r="18" spans="1:18" x14ac:dyDescent="0.3">
      <c r="A18" s="131">
        <v>45944</v>
      </c>
      <c r="B18" s="45">
        <v>58.685699999999997</v>
      </c>
      <c r="C18" s="31">
        <f t="shared" ref="C18" si="12">-1*(B18-$B$14)*$B$8*$B$5*10^-4</f>
        <v>-49223.831999999958</v>
      </c>
      <c r="D18" s="32">
        <f t="shared" ref="D18" si="13">$B$6*(A18-$A$14)/360*$B$5</f>
        <v>4083.333333333333</v>
      </c>
      <c r="E18" s="45">
        <f t="shared" ref="E18" ca="1" si="14">VLOOKUP(A18,O:P,2)</f>
        <v>105.012</v>
      </c>
      <c r="F18" s="31">
        <f t="shared" ref="F18" ca="1" si="15">(E18-$E$14)/100*$C$5</f>
        <v>34999.999999999432</v>
      </c>
      <c r="G18" s="32">
        <f t="shared" ref="G18" ca="1" si="16">$C$6*(A18-$A$14)/360*$C$5-$C$7*(A18-$A$14)/360*$C$5*$E$14/100</f>
        <v>1954.7633333333342</v>
      </c>
      <c r="H18" s="45">
        <f t="shared" ref="H18" ca="1" si="17">VLOOKUP(A18,Q:R,2)</f>
        <v>101.7421875</v>
      </c>
      <c r="I18" s="31">
        <f t="shared" ref="I18" ca="1" si="18">(H18-$H$14)/100*$D$5</f>
        <v>67236.71875</v>
      </c>
      <c r="J18" s="32">
        <f t="shared" ref="J18" ca="1" si="19">$D$6*(A18-$A$14)/360*$D$5-$D$7*(A18-$A$14)/360*$D$5*$H$14/100</f>
        <v>172.5742447916673</v>
      </c>
      <c r="K18" s="82">
        <f t="shared" ref="K18" ca="1" si="20">C18+D18-F18-G18+I18+J18</f>
        <v>-14685.969005207724</v>
      </c>
      <c r="M18" s="52">
        <f ca="1"/>
        <v>45819</v>
      </c>
      <c r="N18" s="3">
        <f ca="1"/>
        <v>57.186</v>
      </c>
      <c r="O18" s="52">
        <f ca="1"/>
        <v>45820</v>
      </c>
      <c r="P18" s="3">
        <f ca="1"/>
        <v>101.16</v>
      </c>
      <c r="Q18" s="52">
        <f ca="1"/>
        <v>45897</v>
      </c>
      <c r="R18" s="3">
        <f ca="1"/>
        <v>100.359375</v>
      </c>
    </row>
    <row r="19" spans="1:18" x14ac:dyDescent="0.3">
      <c r="A19" s="131">
        <v>45945</v>
      </c>
      <c r="B19" s="45">
        <v>56.786799999999999</v>
      </c>
      <c r="C19" s="31">
        <f t="shared" ref="C19:C20" si="21">-1*(B19-$B$14)*$B$8*$B$5*10^-4</f>
        <v>-26892.767999999996</v>
      </c>
      <c r="D19" s="32">
        <f t="shared" ref="D19:D20" si="22">$B$6*(A19-$A$14)/360*$B$5</f>
        <v>4763.8888888888896</v>
      </c>
      <c r="E19" s="45">
        <f t="shared" ref="E19:E20" ca="1" si="23">VLOOKUP(A19,O:P,2)</f>
        <v>105.131</v>
      </c>
      <c r="F19" s="31">
        <f t="shared" ref="F19:F20" ca="1" si="24">(E19-$E$14)/100*$C$5</f>
        <v>46899.999999999411</v>
      </c>
      <c r="G19" s="32">
        <f t="shared" ref="G19:G20" ca="1" si="25">$C$6*(A19-$A$14)/360*$C$5-$C$7*(A19-$A$14)/360*$C$5*$E$14/100</f>
        <v>2280.5572222222199</v>
      </c>
      <c r="H19" s="45">
        <f t="shared" ref="H19:H20" ca="1" si="26">VLOOKUP(A19,Q:R,2)</f>
        <v>101.7734375</v>
      </c>
      <c r="I19" s="31">
        <f t="shared" ref="I19:I20" ca="1" si="27">(H19-$H$14)/100*$D$5</f>
        <v>70258.59375</v>
      </c>
      <c r="J19" s="32">
        <f t="shared" ref="J19:J20" ca="1" si="28">$D$6*(A19-$A$14)/360*$D$5-$D$7*(A19-$A$14)/360*$D$5*$H$14/100</f>
        <v>201.33661892361124</v>
      </c>
      <c r="K19" s="82">
        <f t="shared" ref="K19:K20" ca="1" si="29">C19+D19-F19-G19+I19+J19</f>
        <v>-849.50596440913796</v>
      </c>
      <c r="M19" s="52">
        <f ca="1"/>
        <v>45820</v>
      </c>
      <c r="N19" s="3">
        <f ca="1"/>
        <v>57.186</v>
      </c>
      <c r="O19" s="52">
        <f ca="1"/>
        <v>45821</v>
      </c>
      <c r="P19" s="3">
        <f ca="1"/>
        <v>100.727</v>
      </c>
      <c r="Q19" s="52">
        <f ca="1"/>
        <v>45898</v>
      </c>
      <c r="R19" s="3">
        <f ca="1"/>
        <v>100.15625</v>
      </c>
    </row>
    <row r="20" spans="1:18" x14ac:dyDescent="0.3">
      <c r="A20" s="131">
        <v>45946</v>
      </c>
      <c r="B20" s="45">
        <v>57.617400000000004</v>
      </c>
      <c r="C20" s="31">
        <f t="shared" si="21"/>
        <v>-36660.624000000047</v>
      </c>
      <c r="D20" s="32">
        <f t="shared" si="22"/>
        <v>5444.4444444444443</v>
      </c>
      <c r="E20" s="45">
        <f t="shared" ca="1" si="23"/>
        <v>105.45099999999999</v>
      </c>
      <c r="F20" s="31">
        <f t="shared" ca="1" si="24"/>
        <v>78899.999999998734</v>
      </c>
      <c r="G20" s="32">
        <f t="shared" ca="1" si="25"/>
        <v>2606.3511111111111</v>
      </c>
      <c r="H20" s="45">
        <f t="shared" ca="1" si="26"/>
        <v>102.2109375</v>
      </c>
      <c r="I20" s="31">
        <f t="shared" ca="1" si="27"/>
        <v>112564.84375</v>
      </c>
      <c r="J20" s="32">
        <f t="shared" ca="1" si="28"/>
        <v>230.09899305555518</v>
      </c>
      <c r="K20" s="82">
        <f t="shared" ca="1" si="29"/>
        <v>72.41207639010463</v>
      </c>
      <c r="M20" s="52">
        <f ca="1"/>
        <v>45821</v>
      </c>
      <c r="N20" s="3">
        <f ca="1"/>
        <v>57.186</v>
      </c>
      <c r="O20" s="52">
        <f ca="1"/>
        <v>45824</v>
      </c>
      <c r="P20" s="3">
        <f ca="1"/>
        <v>100.501</v>
      </c>
      <c r="Q20" s="52">
        <f ca="1"/>
        <v>45901</v>
      </c>
      <c r="R20" s="3">
        <f ca="1"/>
        <v>100.15625</v>
      </c>
    </row>
    <row r="21" spans="1:18" x14ac:dyDescent="0.3">
      <c r="A21" s="131">
        <v>45947</v>
      </c>
      <c r="B21" s="45"/>
      <c r="C21" s="31"/>
      <c r="D21" s="32"/>
      <c r="E21" s="45"/>
      <c r="F21" s="31"/>
      <c r="G21" s="32"/>
      <c r="H21" s="45"/>
      <c r="I21" s="31"/>
      <c r="J21" s="32"/>
      <c r="K21" s="82"/>
      <c r="M21" s="52">
        <f ca="1"/>
        <v>45824</v>
      </c>
      <c r="N21" s="3">
        <f ca="1"/>
        <v>57.186</v>
      </c>
      <c r="O21" s="52">
        <f ca="1"/>
        <v>45825</v>
      </c>
      <c r="P21" s="3">
        <f ca="1"/>
        <v>100.82599999999999</v>
      </c>
      <c r="Q21" s="52">
        <f ca="1"/>
        <v>45902</v>
      </c>
      <c r="R21" s="3">
        <f ca="1"/>
        <v>99.8984375</v>
      </c>
    </row>
    <row r="22" spans="1:18" x14ac:dyDescent="0.3">
      <c r="A22" s="131">
        <v>45950</v>
      </c>
      <c r="B22" s="45"/>
      <c r="C22" s="31"/>
      <c r="D22" s="32"/>
      <c r="E22" s="45"/>
      <c r="F22" s="31"/>
      <c r="G22" s="32"/>
      <c r="H22" s="45"/>
      <c r="I22" s="31"/>
      <c r="J22" s="32"/>
      <c r="K22" s="82"/>
      <c r="M22" s="52">
        <f ca="1"/>
        <v>45825</v>
      </c>
      <c r="N22" s="3">
        <f ca="1"/>
        <v>57.186</v>
      </c>
      <c r="O22" s="52">
        <f ca="1"/>
        <v>45826</v>
      </c>
      <c r="P22" s="3">
        <f ca="1"/>
        <v>100.81399999999999</v>
      </c>
      <c r="Q22" s="52">
        <f ca="1"/>
        <v>45903</v>
      </c>
      <c r="R22" s="3">
        <f ca="1"/>
        <v>100.2578125</v>
      </c>
    </row>
    <row r="23" spans="1:18" ht="14.4" customHeight="1" x14ac:dyDescent="0.3">
      <c r="A23" s="131">
        <v>45951</v>
      </c>
      <c r="B23" s="45"/>
      <c r="C23" s="31"/>
      <c r="D23" s="32"/>
      <c r="E23" s="45"/>
      <c r="F23" s="31"/>
      <c r="G23" s="32"/>
      <c r="H23" s="45"/>
      <c r="I23" s="31"/>
      <c r="J23" s="32"/>
      <c r="K23" s="82"/>
      <c r="M23" s="52">
        <f ca="1"/>
        <v>45826</v>
      </c>
      <c r="N23" s="3">
        <f ca="1"/>
        <v>57.186</v>
      </c>
      <c r="O23" s="52">
        <f ca="1"/>
        <v>45828</v>
      </c>
      <c r="P23" s="3">
        <f ca="1"/>
        <v>100.89</v>
      </c>
      <c r="Q23" s="52">
        <f ca="1"/>
        <v>45904</v>
      </c>
      <c r="R23" s="3">
        <f ca="1"/>
        <v>100.7109375</v>
      </c>
    </row>
    <row r="24" spans="1:18" ht="14.4" customHeight="1" x14ac:dyDescent="0.3">
      <c r="A24" s="131">
        <v>45952</v>
      </c>
      <c r="B24" s="45"/>
      <c r="C24" s="31"/>
      <c r="D24" s="32"/>
      <c r="E24" s="45"/>
      <c r="F24" s="31"/>
      <c r="G24" s="32"/>
      <c r="H24" s="45"/>
      <c r="I24" s="31"/>
      <c r="J24" s="32"/>
      <c r="K24" s="82"/>
      <c r="M24" s="52">
        <f ca="1"/>
        <v>45827</v>
      </c>
      <c r="N24" s="3">
        <f ca="1"/>
        <v>57.186</v>
      </c>
      <c r="O24" s="52">
        <f ca="1"/>
        <v>45831</v>
      </c>
      <c r="P24" s="3">
        <f ca="1"/>
        <v>101.033</v>
      </c>
      <c r="Q24" s="52">
        <f ca="1"/>
        <v>45905</v>
      </c>
      <c r="R24" s="3">
        <f ca="1"/>
        <v>101.40625</v>
      </c>
    </row>
    <row r="25" spans="1:18" ht="14.4" customHeight="1" x14ac:dyDescent="0.3">
      <c r="A25" s="131">
        <v>45953</v>
      </c>
      <c r="B25" s="45"/>
      <c r="C25" s="31"/>
      <c r="D25" s="32"/>
      <c r="E25" s="45"/>
      <c r="F25" s="31"/>
      <c r="G25" s="32"/>
      <c r="H25" s="45"/>
      <c r="I25" s="31"/>
      <c r="J25" s="32"/>
      <c r="K25" s="82"/>
      <c r="M25" s="52">
        <f ca="1"/>
        <v>45828</v>
      </c>
      <c r="N25" s="3">
        <f ca="1"/>
        <v>57.186</v>
      </c>
      <c r="O25" s="52">
        <f ca="1"/>
        <v>45832</v>
      </c>
      <c r="P25" s="3">
        <f ca="1"/>
        <v>101.688</v>
      </c>
      <c r="Q25" s="52">
        <f ca="1"/>
        <v>45908</v>
      </c>
      <c r="R25" s="3">
        <f ca="1"/>
        <v>101.6953125</v>
      </c>
    </row>
    <row r="26" spans="1:18" ht="14.4" customHeight="1" x14ac:dyDescent="0.3">
      <c r="A26" s="131">
        <v>45954</v>
      </c>
      <c r="B26" s="45"/>
      <c r="C26" s="31"/>
      <c r="D26" s="32"/>
      <c r="E26" s="45"/>
      <c r="F26" s="31"/>
      <c r="G26" s="32"/>
      <c r="H26" s="45"/>
      <c r="I26" s="31"/>
      <c r="J26" s="32"/>
      <c r="K26" s="82"/>
      <c r="M26" s="52">
        <f ca="1"/>
        <v>45831</v>
      </c>
      <c r="N26" s="3">
        <f ca="1"/>
        <v>57.186</v>
      </c>
      <c r="O26" s="52">
        <f ca="1"/>
        <v>45833</v>
      </c>
      <c r="P26" s="3">
        <f ca="1"/>
        <v>101.746</v>
      </c>
      <c r="Q26" s="52">
        <f ca="1"/>
        <v>45909</v>
      </c>
      <c r="R26" s="3">
        <f ca="1"/>
        <v>101.3046875</v>
      </c>
    </row>
    <row r="27" spans="1:18" ht="14.4" customHeight="1" x14ac:dyDescent="0.3">
      <c r="A27" s="131">
        <v>45955</v>
      </c>
      <c r="B27" s="31"/>
      <c r="C27" s="31"/>
      <c r="D27" s="32"/>
      <c r="E27" s="45"/>
      <c r="F27" s="31"/>
      <c r="G27" s="32"/>
      <c r="H27" s="45"/>
      <c r="I27" s="31"/>
      <c r="J27" s="32"/>
      <c r="K27" s="82"/>
      <c r="M27" s="52">
        <f ca="1"/>
        <v>45832</v>
      </c>
      <c r="N27" s="3">
        <f ca="1"/>
        <v>57.186</v>
      </c>
      <c r="O27" s="52">
        <f ca="1"/>
        <v>45834</v>
      </c>
      <c r="P27" s="3">
        <f ca="1"/>
        <v>102.17100000000001</v>
      </c>
      <c r="Q27" s="52">
        <f ca="1"/>
        <v>45910</v>
      </c>
      <c r="R27" s="3">
        <f ca="1"/>
        <v>101.640625</v>
      </c>
    </row>
    <row r="28" spans="1:18" ht="14.4" customHeight="1" x14ac:dyDescent="0.3">
      <c r="A28" s="131">
        <v>45956</v>
      </c>
      <c r="B28" s="45"/>
      <c r="C28" s="31"/>
      <c r="D28" s="32"/>
      <c r="E28" s="45"/>
      <c r="F28" s="31"/>
      <c r="G28" s="32"/>
      <c r="H28" s="45"/>
      <c r="I28" s="31"/>
      <c r="J28" s="32"/>
      <c r="K28" s="82"/>
      <c r="M28" s="52">
        <f ca="1"/>
        <v>45833</v>
      </c>
      <c r="N28" s="3">
        <f ca="1"/>
        <v>57.186</v>
      </c>
      <c r="O28" s="52">
        <f ca="1"/>
        <v>45835</v>
      </c>
      <c r="P28" s="3">
        <f ca="1"/>
        <v>102.10599999999999</v>
      </c>
      <c r="Q28" s="52">
        <f ca="1"/>
        <v>45911</v>
      </c>
      <c r="R28" s="3">
        <f ca="1"/>
        <v>101.84375</v>
      </c>
    </row>
    <row r="29" spans="1:18" ht="14.4" customHeight="1" x14ac:dyDescent="0.3">
      <c r="A29" s="131"/>
      <c r="B29" s="45"/>
      <c r="C29" s="31"/>
      <c r="D29" s="32"/>
      <c r="E29" s="45"/>
      <c r="F29" s="31"/>
      <c r="G29" s="32"/>
      <c r="H29" s="45"/>
      <c r="I29" s="31"/>
      <c r="J29" s="32"/>
      <c r="K29" s="82"/>
      <c r="M29" s="52">
        <f ca="1"/>
        <v>45834</v>
      </c>
      <c r="N29" s="3">
        <f ca="1"/>
        <v>68.790999999999997</v>
      </c>
      <c r="O29" s="52">
        <f ca="1"/>
        <v>45838</v>
      </c>
      <c r="P29" s="3">
        <f ca="1"/>
        <v>102.623</v>
      </c>
      <c r="Q29" s="52">
        <f ca="1"/>
        <v>45912</v>
      </c>
      <c r="R29" s="3">
        <f ca="1"/>
        <v>101.4765625</v>
      </c>
    </row>
    <row r="30" spans="1:18" ht="14.4" customHeight="1" x14ac:dyDescent="0.3">
      <c r="A30" s="131"/>
      <c r="B30" s="45"/>
      <c r="C30" s="31"/>
      <c r="D30" s="32"/>
      <c r="E30" s="45"/>
      <c r="F30" s="31"/>
      <c r="G30" s="32"/>
      <c r="H30" s="45"/>
      <c r="I30" s="31"/>
      <c r="J30" s="32"/>
      <c r="K30" s="82"/>
      <c r="M30" s="52">
        <f ca="1"/>
        <v>45835</v>
      </c>
      <c r="N30" s="3">
        <f ca="1"/>
        <v>68.721999999999994</v>
      </c>
      <c r="O30" s="52">
        <f ca="1"/>
        <v>45839</v>
      </c>
      <c r="P30" s="3">
        <f ca="1"/>
        <v>102.741</v>
      </c>
      <c r="Q30" s="52">
        <f ca="1"/>
        <v>45915</v>
      </c>
      <c r="R30" s="3">
        <f ca="1"/>
        <v>101.703125</v>
      </c>
    </row>
    <row r="31" spans="1:18" ht="14.4" customHeight="1" x14ac:dyDescent="0.3">
      <c r="A31" s="131"/>
      <c r="B31" s="45"/>
      <c r="C31" s="31"/>
      <c r="D31" s="32"/>
      <c r="E31" s="45"/>
      <c r="F31" s="31"/>
      <c r="G31" s="32"/>
      <c r="H31" s="45"/>
      <c r="I31" s="31"/>
      <c r="J31" s="32"/>
      <c r="K31" s="82"/>
      <c r="M31" s="52">
        <f ca="1"/>
        <v>45838</v>
      </c>
      <c r="N31" s="3">
        <f ca="1"/>
        <v>68.069999999999993</v>
      </c>
      <c r="O31" s="52">
        <f ca="1"/>
        <v>45840</v>
      </c>
      <c r="P31" s="3">
        <f ca="1"/>
        <v>102.589</v>
      </c>
      <c r="Q31" s="52">
        <f ca="1"/>
        <v>45916</v>
      </c>
      <c r="R31" s="3">
        <f ca="1"/>
        <v>101.7890625</v>
      </c>
    </row>
    <row r="32" spans="1:18" ht="14.4" customHeight="1" x14ac:dyDescent="0.3">
      <c r="A32" s="131"/>
      <c r="B32" s="45"/>
      <c r="C32" s="31"/>
      <c r="D32" s="32"/>
      <c r="E32" s="45"/>
      <c r="F32" s="1"/>
      <c r="G32" s="32"/>
      <c r="H32" s="45"/>
      <c r="I32" s="1"/>
      <c r="J32" s="32"/>
      <c r="K32" s="82"/>
      <c r="M32" s="52">
        <f ca="1"/>
        <v>45839</v>
      </c>
      <c r="N32" s="3">
        <f ca="1"/>
        <v>68.171999999999997</v>
      </c>
      <c r="O32" s="52">
        <f ca="1"/>
        <v>45841</v>
      </c>
      <c r="P32" s="3">
        <f ca="1"/>
        <v>102.17100000000001</v>
      </c>
      <c r="Q32" s="52">
        <f ca="1"/>
        <v>45917</v>
      </c>
      <c r="R32" s="3">
        <f ca="1"/>
        <v>101.296875</v>
      </c>
    </row>
    <row r="33" spans="1:18" ht="14.4" customHeight="1" x14ac:dyDescent="0.3">
      <c r="A33" s="131"/>
      <c r="B33" s="45"/>
      <c r="C33" s="31"/>
      <c r="D33" s="32"/>
      <c r="E33" s="45"/>
      <c r="F33" s="1"/>
      <c r="G33" s="32"/>
      <c r="H33" s="45"/>
      <c r="I33" s="1"/>
      <c r="J33" s="32"/>
      <c r="K33" s="82"/>
      <c r="M33" s="52">
        <f ca="1"/>
        <v>45840</v>
      </c>
      <c r="N33" s="3">
        <f ca="1"/>
        <v>67.387</v>
      </c>
      <c r="O33" s="52">
        <f ca="1"/>
        <v>45845</v>
      </c>
      <c r="P33" s="3">
        <f ca="1"/>
        <v>101.631</v>
      </c>
      <c r="Q33" s="52">
        <f ca="1"/>
        <v>45918</v>
      </c>
      <c r="R33" s="3">
        <f ca="1"/>
        <v>101.15625</v>
      </c>
    </row>
    <row r="34" spans="1:18" ht="14.4" customHeight="1" x14ac:dyDescent="0.3">
      <c r="A34" s="131"/>
      <c r="B34" s="45"/>
      <c r="C34" s="31"/>
      <c r="D34" s="32"/>
      <c r="E34" s="45"/>
      <c r="F34" s="1"/>
      <c r="G34" s="32"/>
      <c r="H34" s="45"/>
      <c r="I34" s="1"/>
      <c r="J34" s="32"/>
      <c r="K34" s="82"/>
      <c r="M34" s="52">
        <f ca="1"/>
        <v>45841</v>
      </c>
      <c r="N34" s="3">
        <f ca="1"/>
        <v>67.069999999999993</v>
      </c>
      <c r="O34" s="52">
        <f ca="1"/>
        <v>45846</v>
      </c>
      <c r="P34" s="3">
        <f ca="1"/>
        <v>101.41500000000001</v>
      </c>
      <c r="Q34" s="52">
        <f ca="1"/>
        <v>45919</v>
      </c>
      <c r="R34" s="3">
        <f ca="1"/>
        <v>100.9765625</v>
      </c>
    </row>
    <row r="35" spans="1:18" ht="14.4" customHeight="1" x14ac:dyDescent="0.3">
      <c r="A35" s="131"/>
      <c r="B35" s="45"/>
      <c r="C35" s="31"/>
      <c r="D35" s="32"/>
      <c r="E35" s="45"/>
      <c r="F35" s="1"/>
      <c r="G35" s="32"/>
      <c r="H35" s="45"/>
      <c r="I35" s="1"/>
      <c r="J35" s="32"/>
      <c r="K35" s="82"/>
      <c r="M35" s="52">
        <f ca="1"/>
        <v>45842</v>
      </c>
      <c r="N35" s="3">
        <f ca="1"/>
        <v>66.430999999999997</v>
      </c>
      <c r="O35" s="52">
        <f ca="1"/>
        <v>45847</v>
      </c>
      <c r="P35" s="3">
        <f ca="1"/>
        <v>101.871</v>
      </c>
      <c r="Q35" s="52">
        <f ca="1"/>
        <v>45922</v>
      </c>
      <c r="R35" s="3">
        <f ca="1"/>
        <v>100.8203125</v>
      </c>
    </row>
    <row r="36" spans="1:18" ht="14.4" customHeight="1" x14ac:dyDescent="0.3">
      <c r="A36" s="131"/>
      <c r="B36" s="45"/>
      <c r="C36" s="31"/>
      <c r="D36" s="32"/>
      <c r="E36" s="45"/>
      <c r="F36" s="1"/>
      <c r="G36" s="32"/>
      <c r="H36" s="45"/>
      <c r="I36" s="1"/>
      <c r="J36" s="32"/>
      <c r="K36" s="82"/>
      <c r="M36" s="52">
        <f ca="1"/>
        <v>45845</v>
      </c>
      <c r="N36" s="3">
        <f ca="1"/>
        <v>65.94</v>
      </c>
      <c r="O36" s="52">
        <f ca="1"/>
        <v>45848</v>
      </c>
      <c r="P36" s="3">
        <f ca="1"/>
        <v>101.907</v>
      </c>
      <c r="Q36" s="52">
        <f ca="1"/>
        <v>45923</v>
      </c>
      <c r="R36" s="3">
        <f ca="1"/>
        <v>101.1484375</v>
      </c>
    </row>
    <row r="37" spans="1:18" x14ac:dyDescent="0.3">
      <c r="A37" s="131"/>
      <c r="B37" s="45"/>
      <c r="C37" s="31"/>
      <c r="D37" s="32"/>
      <c r="E37" s="45"/>
      <c r="F37" s="1"/>
      <c r="G37" s="32"/>
      <c r="H37" s="45"/>
      <c r="I37" s="1"/>
      <c r="J37" s="32"/>
      <c r="K37" s="82"/>
      <c r="M37" s="52">
        <f ca="1"/>
        <v>45846</v>
      </c>
      <c r="N37" s="3">
        <f ca="1"/>
        <v>66.525000000000006</v>
      </c>
      <c r="O37" s="52">
        <f ca="1"/>
        <v>45849</v>
      </c>
      <c r="P37" s="3">
        <f ca="1"/>
        <v>101.364</v>
      </c>
      <c r="Q37" s="52">
        <f ca="1"/>
        <v>45924</v>
      </c>
      <c r="R37" s="3">
        <f ca="1"/>
        <v>100.8203125</v>
      </c>
    </row>
    <row r="38" spans="1:18" x14ac:dyDescent="0.3">
      <c r="A38" s="131"/>
      <c r="B38" s="45"/>
      <c r="C38" s="31"/>
      <c r="D38" s="32"/>
      <c r="E38" s="45"/>
      <c r="F38" s="1"/>
      <c r="G38" s="32"/>
      <c r="H38" s="45"/>
      <c r="I38" s="1"/>
      <c r="J38" s="32"/>
      <c r="K38" s="82"/>
      <c r="M38" s="52">
        <f ca="1"/>
        <v>45847</v>
      </c>
      <c r="N38" s="3">
        <f ca="1"/>
        <v>66.244</v>
      </c>
      <c r="O38" s="52">
        <f ca="1"/>
        <v>45852</v>
      </c>
      <c r="P38" s="3">
        <f ca="1"/>
        <v>101.203</v>
      </c>
      <c r="Q38" s="52">
        <f ca="1"/>
        <v>45925</v>
      </c>
      <c r="R38" s="3">
        <f ca="1"/>
        <v>100.6328125</v>
      </c>
    </row>
    <row r="39" spans="1:18" x14ac:dyDescent="0.3">
      <c r="A39" s="131"/>
      <c r="B39" s="45"/>
      <c r="C39" s="31"/>
      <c r="D39" s="32"/>
      <c r="E39" s="45"/>
      <c r="F39" s="1"/>
      <c r="G39" s="32"/>
      <c r="H39" s="45"/>
      <c r="I39" s="1"/>
      <c r="J39" s="32"/>
      <c r="K39" s="82"/>
      <c r="M39" s="52">
        <f ca="1"/>
        <v>45848</v>
      </c>
      <c r="N39" s="3">
        <f ca="1"/>
        <v>66.423000000000002</v>
      </c>
      <c r="O39" s="52">
        <f ca="1"/>
        <v>45853</v>
      </c>
      <c r="P39" s="3">
        <f ca="1"/>
        <v>100.934</v>
      </c>
      <c r="Q39" s="52">
        <f ca="1"/>
        <v>45926</v>
      </c>
      <c r="R39" s="3">
        <f ca="1"/>
        <v>100.5859375</v>
      </c>
    </row>
    <row r="40" spans="1:18" x14ac:dyDescent="0.3">
      <c r="B40" s="45"/>
      <c r="C40" s="31"/>
      <c r="D40" s="32"/>
      <c r="E40" s="45"/>
      <c r="F40" s="1"/>
      <c r="G40" s="32"/>
      <c r="H40" s="45"/>
      <c r="I40" s="1"/>
      <c r="J40" s="32"/>
      <c r="K40" s="82"/>
      <c r="M40" s="52">
        <f ca="1"/>
        <v>45849</v>
      </c>
      <c r="N40" s="3">
        <f ca="1"/>
        <v>67.114000000000004</v>
      </c>
      <c r="O40" s="52">
        <f ca="1"/>
        <v>45854</v>
      </c>
      <c r="P40" s="3">
        <f ca="1"/>
        <v>101.27</v>
      </c>
      <c r="Q40" s="52">
        <f ca="1"/>
        <v>45929</v>
      </c>
      <c r="R40" s="3">
        <f ca="1"/>
        <v>100.8828125</v>
      </c>
    </row>
    <row r="41" spans="1:18" x14ac:dyDescent="0.3">
      <c r="B41" s="45"/>
      <c r="C41" s="31"/>
      <c r="D41" s="32"/>
      <c r="E41" s="45"/>
      <c r="F41" s="1"/>
      <c r="G41" s="32"/>
      <c r="H41" s="45"/>
      <c r="I41" s="1"/>
      <c r="J41" s="32"/>
      <c r="K41" s="82"/>
      <c r="M41" s="52">
        <f ca="1"/>
        <v>45852</v>
      </c>
      <c r="N41" s="3">
        <f ca="1"/>
        <v>67.042000000000002</v>
      </c>
      <c r="O41" s="52">
        <f ca="1"/>
        <v>45855</v>
      </c>
      <c r="P41" s="3">
        <f ca="1"/>
        <v>101.5</v>
      </c>
      <c r="Q41" s="52">
        <f ca="1"/>
        <v>45930</v>
      </c>
      <c r="R41" s="3">
        <f ca="1"/>
        <v>100.7890625</v>
      </c>
    </row>
    <row r="42" spans="1:18" x14ac:dyDescent="0.3">
      <c r="B42" s="45"/>
      <c r="C42" s="31"/>
      <c r="D42" s="32"/>
      <c r="E42" s="45"/>
      <c r="F42" s="1"/>
      <c r="G42" s="32"/>
      <c r="H42" s="45"/>
      <c r="I42" s="1"/>
      <c r="J42" s="32"/>
      <c r="K42" s="82"/>
      <c r="M42" s="52">
        <f ca="1"/>
        <v>45853</v>
      </c>
      <c r="N42" s="3">
        <f ca="1"/>
        <v>67.724999999999994</v>
      </c>
      <c r="O42" s="52">
        <f ca="1"/>
        <v>45856</v>
      </c>
      <c r="P42" s="3">
        <f ca="1"/>
        <v>101.68</v>
      </c>
      <c r="Q42" s="52">
        <f ca="1"/>
        <v>45931</v>
      </c>
      <c r="R42" s="3">
        <f ca="1"/>
        <v>101.2109375</v>
      </c>
    </row>
    <row r="43" spans="1:18" x14ac:dyDescent="0.3">
      <c r="B43" s="45"/>
      <c r="C43" s="31"/>
      <c r="D43" s="32"/>
      <c r="E43" s="45"/>
      <c r="F43" s="1"/>
      <c r="G43" s="32"/>
      <c r="H43" s="45"/>
      <c r="I43" s="1"/>
      <c r="J43" s="32"/>
      <c r="K43" s="82"/>
      <c r="M43" s="52">
        <f ca="1"/>
        <v>45854</v>
      </c>
      <c r="N43" s="3">
        <f ca="1"/>
        <v>67.887</v>
      </c>
      <c r="O43" s="52">
        <f ca="1"/>
        <v>45859</v>
      </c>
      <c r="P43" s="3">
        <f ca="1"/>
        <v>101.997</v>
      </c>
      <c r="Q43" s="52">
        <f ca="1"/>
        <v>45932</v>
      </c>
      <c r="R43" s="3">
        <f ca="1"/>
        <v>101.3359375</v>
      </c>
    </row>
    <row r="44" spans="1:18" x14ac:dyDescent="0.3">
      <c r="B44" s="45"/>
      <c r="C44" s="31"/>
      <c r="D44" s="5"/>
      <c r="E44" s="45"/>
      <c r="F44" s="1"/>
      <c r="G44" s="5"/>
      <c r="H44" s="45"/>
      <c r="I44" s="1"/>
      <c r="J44" s="5"/>
      <c r="K44" s="81"/>
      <c r="M44" s="52">
        <f ca="1"/>
        <v>45855</v>
      </c>
      <c r="N44" s="3">
        <f ca="1"/>
        <v>67.484999999999999</v>
      </c>
      <c r="O44" s="52">
        <f ca="1"/>
        <v>45860</v>
      </c>
      <c r="P44" s="3">
        <f ca="1"/>
        <v>102.188</v>
      </c>
      <c r="Q44" s="52">
        <f ca="1"/>
        <v>45933</v>
      </c>
      <c r="R44" s="3">
        <f ca="1"/>
        <v>101.0390625</v>
      </c>
    </row>
    <row r="45" spans="1:18" x14ac:dyDescent="0.3">
      <c r="B45" s="45"/>
      <c r="C45" s="31"/>
      <c r="D45" s="5"/>
      <c r="E45" s="45"/>
      <c r="F45" s="1"/>
      <c r="G45" s="5"/>
      <c r="H45" s="45"/>
      <c r="I45" s="1"/>
      <c r="J45" s="5"/>
      <c r="K45" s="81"/>
      <c r="M45" s="52">
        <f ca="1"/>
        <v>45856</v>
      </c>
      <c r="N45" s="3">
        <f ca="1"/>
        <v>66.545000000000002</v>
      </c>
      <c r="O45" s="52">
        <f ca="1"/>
        <v>45861</v>
      </c>
      <c r="P45" s="3">
        <f ca="1"/>
        <v>101.98399999999999</v>
      </c>
      <c r="Q45" s="52">
        <f ca="1"/>
        <v>45936</v>
      </c>
      <c r="R45" s="3">
        <f ca="1"/>
        <v>100.765625</v>
      </c>
    </row>
    <row r="46" spans="1:18" x14ac:dyDescent="0.3">
      <c r="B46" s="45"/>
      <c r="C46" s="31"/>
      <c r="D46" s="5"/>
      <c r="E46" s="45"/>
      <c r="F46" s="1"/>
      <c r="G46" s="5"/>
      <c r="H46" s="45"/>
      <c r="I46" s="1"/>
      <c r="J46" s="5"/>
      <c r="K46" s="81"/>
      <c r="M46" s="52">
        <f ca="1"/>
        <v>45859</v>
      </c>
      <c r="N46" s="3">
        <f ca="1"/>
        <v>66.367000000000004</v>
      </c>
      <c r="O46" s="52">
        <f ca="1"/>
        <v>45862</v>
      </c>
      <c r="P46" s="3">
        <f ca="1"/>
        <v>102.03</v>
      </c>
      <c r="Q46" s="52">
        <f ca="1"/>
        <v>45937</v>
      </c>
      <c r="R46" s="3">
        <f ca="1"/>
        <v>101.0078125</v>
      </c>
    </row>
    <row r="47" spans="1:18" x14ac:dyDescent="0.3">
      <c r="B47" s="45"/>
      <c r="C47" s="31"/>
      <c r="D47" s="5"/>
      <c r="E47" s="45"/>
      <c r="F47" s="1"/>
      <c r="G47" s="5"/>
      <c r="H47" s="45"/>
      <c r="I47" s="1"/>
      <c r="J47" s="5"/>
      <c r="K47" s="81"/>
      <c r="M47" s="52">
        <f ca="1"/>
        <v>45860</v>
      </c>
      <c r="N47" s="3">
        <f ca="1"/>
        <v>66.105000000000004</v>
      </c>
      <c r="O47" s="52">
        <f ca="1"/>
        <v>45863</v>
      </c>
      <c r="P47" s="3">
        <f ca="1"/>
        <v>102.10899999999999</v>
      </c>
      <c r="Q47" s="52">
        <f ca="1"/>
        <v>45938</v>
      </c>
      <c r="R47" s="3">
        <f ca="1"/>
        <v>101.046875</v>
      </c>
    </row>
    <row r="48" spans="1:18" x14ac:dyDescent="0.3">
      <c r="B48" s="59"/>
      <c r="C48" s="60"/>
      <c r="D48" s="34"/>
      <c r="E48" s="59"/>
      <c r="G48" s="34"/>
      <c r="H48" s="59"/>
      <c r="J48" s="34"/>
      <c r="K48" s="83"/>
      <c r="M48" s="52">
        <f ca="1"/>
        <v>45861</v>
      </c>
      <c r="N48" s="3">
        <f ca="1"/>
        <v>65.403000000000006</v>
      </c>
      <c r="O48" s="52">
        <f ca="1"/>
        <v>45866</v>
      </c>
      <c r="P48" s="3">
        <f ca="1"/>
        <v>101.959</v>
      </c>
      <c r="Q48" s="52">
        <f ca="1"/>
        <v>45939</v>
      </c>
      <c r="R48" s="3">
        <f ca="1"/>
        <v>100.8828125</v>
      </c>
    </row>
    <row r="49" spans="2:18" ht="15" thickBot="1" x14ac:dyDescent="0.35">
      <c r="B49" s="35"/>
      <c r="C49" s="70"/>
      <c r="D49" s="13"/>
      <c r="E49" s="117"/>
      <c r="F49" s="12"/>
      <c r="G49" s="13"/>
      <c r="H49" s="117"/>
      <c r="I49" s="12"/>
      <c r="J49" s="13"/>
      <c r="K49" s="84"/>
      <c r="M49" s="52">
        <f ca="1"/>
        <v>45862</v>
      </c>
      <c r="N49" s="3">
        <f ca="1"/>
        <v>65.320999999999998</v>
      </c>
      <c r="O49" s="52">
        <f ca="1"/>
        <v>45867</v>
      </c>
      <c r="P49" s="3">
        <f ca="1"/>
        <v>102.581</v>
      </c>
      <c r="Q49" s="52">
        <f ca="1"/>
        <v>45940</v>
      </c>
      <c r="R49" s="3">
        <f ca="1"/>
        <v>101.734375</v>
      </c>
    </row>
    <row r="50" spans="2:18" x14ac:dyDescent="0.3">
      <c r="E50" s="62"/>
      <c r="H50" s="62"/>
      <c r="M50" s="52">
        <f ca="1"/>
        <v>45863</v>
      </c>
      <c r="N50" s="3">
        <f ca="1"/>
        <v>64.915999999999997</v>
      </c>
      <c r="O50" s="52">
        <f ca="1"/>
        <v>45868</v>
      </c>
      <c r="P50" s="3">
        <f ca="1"/>
        <v>102.148</v>
      </c>
      <c r="Q50" s="52">
        <f ca="1"/>
        <v>45943</v>
      </c>
      <c r="R50" s="3">
        <f ca="1"/>
        <v>101.734375</v>
      </c>
    </row>
    <row r="51" spans="2:18" x14ac:dyDescent="0.3">
      <c r="E51" s="62"/>
      <c r="H51" s="62"/>
      <c r="M51" s="52">
        <f ca="1"/>
        <v>45866</v>
      </c>
      <c r="N51" s="3">
        <f ca="1"/>
        <v>64.944999999999993</v>
      </c>
      <c r="O51" s="52">
        <f ca="1"/>
        <v>45869</v>
      </c>
      <c r="P51" s="3">
        <f ca="1"/>
        <v>102.137</v>
      </c>
      <c r="Q51" s="52">
        <f ca="1"/>
        <v>45944</v>
      </c>
      <c r="R51" s="3">
        <f ca="1"/>
        <v>101.7421875</v>
      </c>
    </row>
    <row r="52" spans="2:18" x14ac:dyDescent="0.3">
      <c r="H52" s="62"/>
      <c r="M52" s="52">
        <f ca="1"/>
        <v>45867</v>
      </c>
      <c r="N52" s="3">
        <f ca="1"/>
        <v>64.834000000000003</v>
      </c>
      <c r="O52" s="52">
        <f ca="1"/>
        <v>45870</v>
      </c>
      <c r="P52" s="3">
        <f ca="1"/>
        <v>102.979</v>
      </c>
      <c r="Q52" s="52">
        <f ca="1"/>
        <v>45945</v>
      </c>
      <c r="R52" s="3">
        <f ca="1"/>
        <v>101.7734375</v>
      </c>
    </row>
    <row r="53" spans="2:18" x14ac:dyDescent="0.3">
      <c r="H53" s="62"/>
      <c r="M53" s="52">
        <f ca="1"/>
        <v>45868</v>
      </c>
      <c r="N53" s="3">
        <f ca="1"/>
        <v>65.064999999999998</v>
      </c>
      <c r="O53" s="52">
        <f ca="1"/>
        <v>45873</v>
      </c>
      <c r="P53" s="3">
        <f ca="1"/>
        <v>103.155</v>
      </c>
      <c r="Q53" s="52">
        <f ca="1"/>
        <v>45946</v>
      </c>
      <c r="R53" s="3">
        <f ca="1"/>
        <v>102.2109375</v>
      </c>
    </row>
    <row r="54" spans="2:18" x14ac:dyDescent="0.3">
      <c r="H54" s="62"/>
      <c r="M54" s="52">
        <f ca="1"/>
        <v>45869</v>
      </c>
      <c r="N54" s="3">
        <f ca="1"/>
        <v>65.272000000000006</v>
      </c>
      <c r="O54" s="52">
        <f ca="1"/>
        <v>45874</v>
      </c>
      <c r="P54" s="3">
        <f ca="1"/>
        <v>103.024</v>
      </c>
      <c r="Q54" s="52">
        <f ca="1"/>
        <v>45947</v>
      </c>
      <c r="R54" s="3">
        <f ca="1"/>
        <v>102.0703125</v>
      </c>
    </row>
    <row r="55" spans="2:18" x14ac:dyDescent="0.3">
      <c r="H55" s="62"/>
      <c r="M55" s="52">
        <f ca="1"/>
        <v>45870</v>
      </c>
      <c r="N55" s="3">
        <f ca="1"/>
        <v>66.826999999999998</v>
      </c>
      <c r="O55" s="52">
        <f ca="1"/>
        <v>45875</v>
      </c>
      <c r="P55" s="3">
        <f ca="1"/>
        <v>102.974</v>
      </c>
    </row>
    <row r="56" spans="2:18" x14ac:dyDescent="0.3">
      <c r="H56" s="62"/>
      <c r="M56" s="52">
        <f ca="1"/>
        <v>45873</v>
      </c>
      <c r="N56" s="3">
        <f ca="1"/>
        <v>66.061000000000007</v>
      </c>
      <c r="O56" s="52">
        <f ca="1"/>
        <v>45876</v>
      </c>
      <c r="P56" s="3">
        <f ca="1"/>
        <v>102.893</v>
      </c>
    </row>
    <row r="57" spans="2:18" x14ac:dyDescent="0.3">
      <c r="M57" s="52">
        <f ca="1"/>
        <v>45874</v>
      </c>
      <c r="N57" s="3">
        <f ca="1"/>
        <v>65.790999999999997</v>
      </c>
      <c r="O57" s="52">
        <f ca="1"/>
        <v>45877</v>
      </c>
      <c r="P57" s="3">
        <f ca="1"/>
        <v>102.575</v>
      </c>
    </row>
    <row r="58" spans="2:18" x14ac:dyDescent="0.3">
      <c r="M58" s="52">
        <f ca="1"/>
        <v>45875</v>
      </c>
      <c r="N58" s="3">
        <f ca="1"/>
        <v>65.372</v>
      </c>
      <c r="O58" s="52">
        <f ca="1"/>
        <v>45880</v>
      </c>
      <c r="P58" s="3">
        <f ca="1"/>
        <v>102.467</v>
      </c>
    </row>
    <row r="59" spans="2:18" x14ac:dyDescent="0.3">
      <c r="M59" s="52">
        <f ca="1"/>
        <v>45876</v>
      </c>
      <c r="N59" s="3">
        <f ca="1"/>
        <v>65.460999999999999</v>
      </c>
      <c r="O59" s="52">
        <f ca="1"/>
        <v>45881</v>
      </c>
      <c r="P59" s="3">
        <f ca="1"/>
        <v>102.56699999999999</v>
      </c>
    </row>
    <row r="60" spans="2:18" x14ac:dyDescent="0.3">
      <c r="M60" s="52">
        <f ca="1"/>
        <v>45877</v>
      </c>
      <c r="N60" s="3">
        <f ca="1"/>
        <v>65.619</v>
      </c>
      <c r="O60" s="52">
        <f ca="1"/>
        <v>45882</v>
      </c>
      <c r="P60" s="3">
        <f ca="1"/>
        <v>103.23699999999999</v>
      </c>
    </row>
    <row r="61" spans="2:18" x14ac:dyDescent="0.3">
      <c r="M61" s="52">
        <f ca="1"/>
        <v>45880</v>
      </c>
      <c r="N61" s="3">
        <f ca="1"/>
        <v>65.174999999999997</v>
      </c>
      <c r="O61" s="52">
        <f ca="1"/>
        <v>45883</v>
      </c>
      <c r="P61" s="3">
        <f ca="1"/>
        <v>102.833</v>
      </c>
    </row>
    <row r="62" spans="2:18" x14ac:dyDescent="0.3">
      <c r="M62" s="52">
        <f ca="1"/>
        <v>45881</v>
      </c>
      <c r="N62" s="3">
        <f ca="1"/>
        <v>64.944000000000003</v>
      </c>
      <c r="O62" s="52">
        <f ca="1"/>
        <v>45884</v>
      </c>
      <c r="P62" s="3">
        <f ca="1"/>
        <v>102.70399999999999</v>
      </c>
    </row>
    <row r="63" spans="2:18" x14ac:dyDescent="0.3">
      <c r="M63" s="52">
        <f ca="1"/>
        <v>45882</v>
      </c>
      <c r="N63" s="3">
        <f ca="1"/>
        <v>63.802</v>
      </c>
      <c r="O63" s="52">
        <f ca="1"/>
        <v>45887</v>
      </c>
      <c r="P63" s="3">
        <f ca="1"/>
        <v>102.584</v>
      </c>
    </row>
    <row r="64" spans="2:18" x14ac:dyDescent="0.3">
      <c r="M64" s="52">
        <f ca="1"/>
        <v>45883</v>
      </c>
      <c r="N64" s="3">
        <f ca="1"/>
        <v>64.509</v>
      </c>
      <c r="O64" s="52">
        <f ca="1"/>
        <v>45888</v>
      </c>
      <c r="P64" s="3">
        <f ca="1"/>
        <v>102.634</v>
      </c>
    </row>
    <row r="65" spans="13:16" x14ac:dyDescent="0.3">
      <c r="M65" s="52">
        <f ca="1"/>
        <v>45884</v>
      </c>
      <c r="N65" s="3">
        <f ca="1"/>
        <v>64.003</v>
      </c>
      <c r="O65" s="52">
        <f ca="1"/>
        <v>45889</v>
      </c>
      <c r="P65" s="3">
        <f ca="1"/>
        <v>102.47799999999999</v>
      </c>
    </row>
    <row r="66" spans="13:16" x14ac:dyDescent="0.3">
      <c r="M66" s="52">
        <f ca="1"/>
        <v>45887</v>
      </c>
      <c r="N66" s="3">
        <f ca="1"/>
        <v>64.117999999999995</v>
      </c>
      <c r="O66" s="52">
        <f ca="1"/>
        <v>45890</v>
      </c>
      <c r="P66" s="3">
        <f ca="1"/>
        <v>102.20099999999999</v>
      </c>
    </row>
    <row r="67" spans="13:16" x14ac:dyDescent="0.3">
      <c r="M67" s="52">
        <f ca="1"/>
        <v>45888</v>
      </c>
      <c r="N67" s="3">
        <f ca="1"/>
        <v>63.433999999999997</v>
      </c>
      <c r="O67" s="52">
        <f ca="1"/>
        <v>45891</v>
      </c>
      <c r="P67" s="3">
        <f ca="1"/>
        <v>102.886</v>
      </c>
    </row>
    <row r="68" spans="13:16" x14ac:dyDescent="0.3">
      <c r="M68" s="52">
        <f ca="1"/>
        <v>45889</v>
      </c>
      <c r="N68" s="3">
        <f ca="1"/>
        <v>63.737000000000002</v>
      </c>
      <c r="O68" s="52">
        <f ca="1"/>
        <v>45894</v>
      </c>
      <c r="P68" s="3">
        <f ca="1"/>
        <v>102.70099999999999</v>
      </c>
    </row>
    <row r="69" spans="13:16" x14ac:dyDescent="0.3">
      <c r="M69" s="52">
        <f ca="1"/>
        <v>45890</v>
      </c>
      <c r="N69" s="3">
        <f ca="1"/>
        <v>63.795000000000002</v>
      </c>
      <c r="O69" s="52">
        <f ca="1"/>
        <v>45895</v>
      </c>
      <c r="P69" s="3">
        <f ca="1"/>
        <v>102.666</v>
      </c>
    </row>
    <row r="70" spans="13:16" x14ac:dyDescent="0.3">
      <c r="M70" s="52">
        <f ca="1"/>
        <v>45891</v>
      </c>
      <c r="N70" s="3">
        <f ca="1"/>
        <v>63.033000000000001</v>
      </c>
      <c r="O70" s="52">
        <f ca="1"/>
        <v>45896</v>
      </c>
      <c r="P70" s="3">
        <f ca="1"/>
        <v>102.883</v>
      </c>
    </row>
    <row r="71" spans="13:16" x14ac:dyDescent="0.3">
      <c r="M71" s="52">
        <f ca="1"/>
        <v>45894</v>
      </c>
      <c r="N71" s="3">
        <f ca="1"/>
        <v>63.055</v>
      </c>
      <c r="O71" s="52">
        <f ca="1"/>
        <v>45897</v>
      </c>
      <c r="P71" s="3">
        <f ca="1"/>
        <v>103.069</v>
      </c>
    </row>
    <row r="72" spans="13:16" x14ac:dyDescent="0.3">
      <c r="M72" s="52">
        <f ca="1"/>
        <v>45895</v>
      </c>
      <c r="N72" s="3">
        <f ca="1"/>
        <v>62.975000000000001</v>
      </c>
      <c r="O72" s="52">
        <f ca="1"/>
        <v>45898</v>
      </c>
      <c r="P72" s="3">
        <f ca="1"/>
        <v>102.70099999999999</v>
      </c>
    </row>
    <row r="73" spans="13:16" x14ac:dyDescent="0.3">
      <c r="M73" s="52">
        <f ca="1"/>
        <v>45896</v>
      </c>
      <c r="N73" s="3">
        <f ca="1"/>
        <v>62.814999999999998</v>
      </c>
      <c r="O73" s="52">
        <f ca="1"/>
        <v>45902</v>
      </c>
      <c r="P73" s="3">
        <f ca="1"/>
        <v>102.49299999999999</v>
      </c>
    </row>
    <row r="74" spans="13:16" x14ac:dyDescent="0.3">
      <c r="M74" s="52">
        <f ca="1"/>
        <v>45897</v>
      </c>
      <c r="N74" s="3">
        <f ca="1"/>
        <v>63.460999999999999</v>
      </c>
      <c r="O74" s="52">
        <f ca="1"/>
        <v>45903</v>
      </c>
      <c r="P74" s="3">
        <f ca="1"/>
        <v>102.964</v>
      </c>
    </row>
    <row r="75" spans="13:16" x14ac:dyDescent="0.3">
      <c r="M75" s="52">
        <f ca="1"/>
        <v>45898</v>
      </c>
      <c r="N75" s="3">
        <f ca="1"/>
        <v>64.126999999999995</v>
      </c>
      <c r="O75" s="52">
        <f ca="1"/>
        <v>45904</v>
      </c>
      <c r="P75" s="3">
        <f ca="1"/>
        <v>103.59099999999999</v>
      </c>
    </row>
    <row r="76" spans="13:16" x14ac:dyDescent="0.3">
      <c r="M76" s="52">
        <f ca="1"/>
        <v>45901</v>
      </c>
      <c r="N76" s="3">
        <f ca="1"/>
        <v>64.126000000000005</v>
      </c>
      <c r="O76" s="52">
        <f ca="1"/>
        <v>45905</v>
      </c>
      <c r="P76" s="3">
        <f ca="1"/>
        <v>104.31399999999999</v>
      </c>
    </row>
    <row r="77" spans="13:16" x14ac:dyDescent="0.3">
      <c r="M77" s="52">
        <f ca="1"/>
        <v>45902</v>
      </c>
      <c r="N77" s="3">
        <f ca="1"/>
        <v>65.56</v>
      </c>
      <c r="O77" s="52">
        <f ca="1"/>
        <v>45908</v>
      </c>
      <c r="P77" s="3">
        <f ca="1"/>
        <v>104.47499999999999</v>
      </c>
    </row>
    <row r="78" spans="13:16" x14ac:dyDescent="0.3">
      <c r="M78" s="52">
        <f ca="1"/>
        <v>45903</v>
      </c>
      <c r="N78" s="3">
        <f ca="1"/>
        <v>64.844999999999999</v>
      </c>
      <c r="O78" s="52">
        <f ca="1"/>
        <v>45909</v>
      </c>
      <c r="P78" s="3">
        <f ca="1"/>
        <v>104.056</v>
      </c>
    </row>
    <row r="79" spans="13:16" x14ac:dyDescent="0.3">
      <c r="M79" s="52">
        <f ca="1"/>
        <v>45904</v>
      </c>
      <c r="N79" s="3">
        <f ca="1"/>
        <v>64.320999999999998</v>
      </c>
      <c r="O79" s="52">
        <f ca="1"/>
        <v>45910</v>
      </c>
      <c r="P79" s="3">
        <f ca="1"/>
        <v>104.554</v>
      </c>
    </row>
    <row r="80" spans="13:16" x14ac:dyDescent="0.3">
      <c r="M80" s="52">
        <f ca="1"/>
        <v>45905</v>
      </c>
      <c r="N80" s="3">
        <f ca="1"/>
        <v>63.731999999999999</v>
      </c>
      <c r="O80" s="52">
        <f ca="1"/>
        <v>45911</v>
      </c>
      <c r="P80" s="3">
        <f ca="1"/>
        <v>104.824</v>
      </c>
    </row>
    <row r="81" spans="13:16" x14ac:dyDescent="0.3">
      <c r="M81" s="52">
        <f ca="1"/>
        <v>45908</v>
      </c>
      <c r="N81" s="3">
        <f ca="1"/>
        <v>63.633000000000003</v>
      </c>
      <c r="O81" s="52">
        <f ca="1"/>
        <v>45912</v>
      </c>
      <c r="P81" s="3">
        <f ca="1"/>
        <v>104.553</v>
      </c>
    </row>
    <row r="82" spans="13:16" x14ac:dyDescent="0.3">
      <c r="M82" s="52">
        <f ca="1"/>
        <v>45909</v>
      </c>
      <c r="N82" s="3">
        <f ca="1"/>
        <v>63.423000000000002</v>
      </c>
      <c r="O82" s="52">
        <f ca="1"/>
        <v>45915</v>
      </c>
      <c r="P82" s="3">
        <f ca="1"/>
        <v>104.831</v>
      </c>
    </row>
    <row r="83" spans="13:16" x14ac:dyDescent="0.3">
      <c r="M83" s="52">
        <f ca="1"/>
        <v>45910</v>
      </c>
      <c r="N83" s="3">
        <f ca="1"/>
        <v>63.201999999999998</v>
      </c>
      <c r="O83" s="52">
        <f ca="1"/>
        <v>45916</v>
      </c>
      <c r="P83" s="3">
        <f ca="1"/>
        <v>104.877</v>
      </c>
    </row>
    <row r="84" spans="13:16" x14ac:dyDescent="0.3">
      <c r="M84" s="52">
        <f ca="1"/>
        <v>45911</v>
      </c>
      <c r="N84" s="3">
        <f ca="1"/>
        <v>62.77</v>
      </c>
      <c r="O84" s="52">
        <f ca="1"/>
        <v>45917</v>
      </c>
      <c r="P84" s="3">
        <f ca="1"/>
        <v>104.45699999999999</v>
      </c>
    </row>
    <row r="85" spans="13:16" x14ac:dyDescent="0.3">
      <c r="M85" s="52">
        <f ca="1"/>
        <v>45912</v>
      </c>
      <c r="N85" s="3">
        <f ca="1"/>
        <v>62.994</v>
      </c>
      <c r="O85" s="52">
        <f ca="1"/>
        <v>45918</v>
      </c>
      <c r="P85" s="3">
        <f ca="1"/>
        <v>104.489</v>
      </c>
    </row>
    <row r="86" spans="13:16" x14ac:dyDescent="0.3">
      <c r="M86" s="52">
        <f ca="1"/>
        <v>45915</v>
      </c>
      <c r="N86" s="3">
        <f ca="1"/>
        <v>63.128999999999998</v>
      </c>
      <c r="O86" s="52">
        <f ca="1"/>
        <v>45919</v>
      </c>
      <c r="P86" s="3">
        <f ca="1"/>
        <v>104.494</v>
      </c>
    </row>
    <row r="87" spans="13:16" x14ac:dyDescent="0.3">
      <c r="M87" s="52">
        <f ca="1"/>
        <v>45916</v>
      </c>
      <c r="N87" s="3">
        <f ca="1"/>
        <v>63.17</v>
      </c>
      <c r="O87" s="52">
        <f ca="1"/>
        <v>45922</v>
      </c>
      <c r="P87" s="3">
        <f ca="1"/>
        <v>104.434</v>
      </c>
    </row>
    <row r="88" spans="13:16" x14ac:dyDescent="0.3">
      <c r="M88" s="52">
        <f ca="1"/>
        <v>45917</v>
      </c>
      <c r="N88" s="3">
        <f ca="1"/>
        <v>63.49</v>
      </c>
      <c r="O88" s="52">
        <f ca="1"/>
        <v>45923</v>
      </c>
      <c r="P88" s="3">
        <f ca="1"/>
        <v>104.78100000000001</v>
      </c>
    </row>
    <row r="89" spans="13:16" x14ac:dyDescent="0.3">
      <c r="M89" s="52">
        <f ca="1"/>
        <v>45918</v>
      </c>
      <c r="N89" s="3">
        <f ca="1"/>
        <v>63.084000000000003</v>
      </c>
      <c r="O89" s="52">
        <f ca="1"/>
        <v>45924</v>
      </c>
      <c r="P89" s="3">
        <f ca="1"/>
        <v>104.285</v>
      </c>
    </row>
    <row r="90" spans="13:16" x14ac:dyDescent="0.3">
      <c r="M90" s="52">
        <f ca="1"/>
        <v>45919</v>
      </c>
      <c r="N90" s="3">
        <f ca="1"/>
        <v>63.002000000000002</v>
      </c>
      <c r="O90" s="52">
        <f ca="1"/>
        <v>45925</v>
      </c>
      <c r="P90" s="3">
        <f ca="1"/>
        <v>104.11499999999999</v>
      </c>
    </row>
    <row r="91" spans="13:16" x14ac:dyDescent="0.3">
      <c r="M91" s="52">
        <f ca="1"/>
        <v>45922</v>
      </c>
      <c r="N91" s="3">
        <f ca="1"/>
        <v>67.573999999999998</v>
      </c>
      <c r="O91" s="52">
        <f ca="1"/>
        <v>45926</v>
      </c>
      <c r="P91" s="3">
        <f ca="1"/>
        <v>104.175</v>
      </c>
    </row>
    <row r="92" spans="13:16" x14ac:dyDescent="0.3">
      <c r="M92" s="52">
        <f ca="1"/>
        <v>45923</v>
      </c>
      <c r="N92" s="3">
        <f ca="1"/>
        <v>67.238</v>
      </c>
      <c r="O92" s="52">
        <f ca="1"/>
        <v>45929</v>
      </c>
      <c r="P92" s="3">
        <f ca="1"/>
        <v>104.57</v>
      </c>
    </row>
    <row r="93" spans="13:16" x14ac:dyDescent="0.3">
      <c r="M93" s="52">
        <f ca="1"/>
        <v>45924</v>
      </c>
      <c r="N93" s="3">
        <f ca="1"/>
        <v>68.316999999999993</v>
      </c>
      <c r="O93" s="52">
        <f ca="1"/>
        <v>45930</v>
      </c>
      <c r="P93" s="3">
        <f ca="1"/>
        <v>104.336</v>
      </c>
    </row>
    <row r="94" spans="13:16" x14ac:dyDescent="0.3">
      <c r="M94" s="52">
        <f ca="1"/>
        <v>45925</v>
      </c>
      <c r="N94" s="3">
        <f ca="1"/>
        <v>69.316999999999993</v>
      </c>
      <c r="O94" s="52">
        <f ca="1"/>
        <v>45931</v>
      </c>
      <c r="P94" s="3">
        <f ca="1"/>
        <v>104.896</v>
      </c>
    </row>
    <row r="95" spans="13:16" x14ac:dyDescent="0.3">
      <c r="M95" s="52">
        <f ca="1"/>
        <v>45926</v>
      </c>
      <c r="N95" s="3">
        <f ca="1"/>
        <v>68.647999999999996</v>
      </c>
      <c r="O95" s="52">
        <f ca="1"/>
        <v>45932</v>
      </c>
      <c r="P95" s="3">
        <f ca="1"/>
        <v>105.07299999999999</v>
      </c>
    </row>
    <row r="96" spans="13:16" x14ac:dyDescent="0.3">
      <c r="M96" s="52">
        <f ca="1"/>
        <v>45929</v>
      </c>
      <c r="N96" s="3">
        <f ca="1"/>
        <v>68.183999999999997</v>
      </c>
      <c r="O96" s="52">
        <f ca="1"/>
        <v>45933</v>
      </c>
      <c r="P96" s="3">
        <f ca="1"/>
        <v>104.839</v>
      </c>
    </row>
    <row r="97" spans="3:16" x14ac:dyDescent="0.3">
      <c r="M97" s="52">
        <f ca="1"/>
        <v>45930</v>
      </c>
      <c r="N97" s="3">
        <f ca="1"/>
        <v>68.17</v>
      </c>
      <c r="O97" s="52">
        <f ca="1"/>
        <v>45936</v>
      </c>
      <c r="P97" s="3">
        <f ca="1"/>
        <v>104.559</v>
      </c>
    </row>
    <row r="98" spans="3:16" x14ac:dyDescent="0.3">
      <c r="M98" s="52">
        <f ca="1"/>
        <v>45931</v>
      </c>
      <c r="N98" s="3">
        <f ca="1"/>
        <v>69.165000000000006</v>
      </c>
      <c r="O98" s="52">
        <f ca="1"/>
        <v>45937</v>
      </c>
      <c r="P98" s="3">
        <f ca="1"/>
        <v>104.711</v>
      </c>
    </row>
    <row r="99" spans="3:16" x14ac:dyDescent="0.3">
      <c r="M99" s="52">
        <f ca="1"/>
        <v>45932</v>
      </c>
      <c r="N99" s="3">
        <f ca="1"/>
        <v>68.813999999999993</v>
      </c>
      <c r="O99" s="52">
        <f ca="1"/>
        <v>45938</v>
      </c>
      <c r="P99" s="3">
        <f ca="1"/>
        <v>104.66200000000001</v>
      </c>
    </row>
    <row r="100" spans="3:16" x14ac:dyDescent="0.3">
      <c r="M100" s="52">
        <f ca="1"/>
        <v>45933</v>
      </c>
      <c r="N100" s="3">
        <f ca="1"/>
        <v>69.846000000000004</v>
      </c>
      <c r="O100" s="52">
        <f ca="1"/>
        <v>45939</v>
      </c>
      <c r="P100" s="3">
        <f ca="1"/>
        <v>104.379</v>
      </c>
    </row>
    <row r="101" spans="3:16" x14ac:dyDescent="0.3">
      <c r="M101" s="52">
        <f ca="1"/>
        <v>45936</v>
      </c>
      <c r="N101" s="3">
        <f ca="1"/>
        <v>69.724999999999994</v>
      </c>
      <c r="O101" s="52">
        <f ca="1"/>
        <v>45940</v>
      </c>
      <c r="P101" s="3">
        <f ca="1"/>
        <v>104.739</v>
      </c>
    </row>
    <row r="102" spans="3:16" x14ac:dyDescent="0.3">
      <c r="C102" s="114" t="s">
        <v>86</v>
      </c>
      <c r="D102" s="114" t="s">
        <v>87</v>
      </c>
      <c r="E102" s="114" t="s">
        <v>88</v>
      </c>
      <c r="F102" s="114" t="s">
        <v>89</v>
      </c>
      <c r="G102" s="114" t="s">
        <v>90</v>
      </c>
      <c r="H102" s="114" t="s">
        <v>91</v>
      </c>
      <c r="I102" s="114" t="s">
        <v>92</v>
      </c>
      <c r="J102" s="114" t="s">
        <v>93</v>
      </c>
      <c r="K102" s="113"/>
      <c r="M102" s="52">
        <f ca="1"/>
        <v>45937</v>
      </c>
      <c r="N102" s="3">
        <f ca="1"/>
        <v>69.47</v>
      </c>
      <c r="O102" s="52">
        <f ca="1"/>
        <v>45944</v>
      </c>
      <c r="P102" s="3">
        <f ca="1"/>
        <v>105.012</v>
      </c>
    </row>
    <row r="103" spans="3:16" x14ac:dyDescent="0.3">
      <c r="C103" s="114">
        <v>6787</v>
      </c>
      <c r="D103" s="115">
        <v>45936</v>
      </c>
      <c r="E103" s="116" t="s">
        <v>94</v>
      </c>
      <c r="F103" s="116" t="s">
        <v>95</v>
      </c>
      <c r="G103" s="116" t="s">
        <v>96</v>
      </c>
      <c r="H103" s="116" t="s">
        <v>97</v>
      </c>
      <c r="I103" s="116" t="s">
        <v>98</v>
      </c>
      <c r="J103" s="116" t="s">
        <v>99</v>
      </c>
      <c r="K103" s="116">
        <v>56.9191</v>
      </c>
      <c r="M103" s="52">
        <f ca="1"/>
        <v>45938</v>
      </c>
      <c r="N103" s="3">
        <f ca="1"/>
        <v>69.233999999999995</v>
      </c>
      <c r="O103" s="52">
        <f ca="1"/>
        <v>45945</v>
      </c>
      <c r="P103" s="3">
        <f ca="1"/>
        <v>105.131</v>
      </c>
    </row>
    <row r="104" spans="3:16" x14ac:dyDescent="0.3">
      <c r="C104" s="114">
        <v>61629</v>
      </c>
      <c r="D104" s="115">
        <v>45937</v>
      </c>
      <c r="E104" s="116" t="s">
        <v>94</v>
      </c>
      <c r="F104" s="116" t="s">
        <v>95</v>
      </c>
      <c r="G104" s="116" t="s">
        <v>96</v>
      </c>
      <c r="H104" s="116" t="s">
        <v>97</v>
      </c>
      <c r="I104" s="116" t="s">
        <v>98</v>
      </c>
      <c r="J104" s="116" t="s">
        <v>99</v>
      </c>
      <c r="K104" s="116">
        <v>56.886099999999999</v>
      </c>
      <c r="M104" s="52">
        <f ca="1"/>
        <v>45939</v>
      </c>
      <c r="N104" s="3">
        <f ca="1"/>
        <v>70.13</v>
      </c>
      <c r="O104" s="52">
        <f ca="1"/>
        <v>45946</v>
      </c>
      <c r="P104" s="3">
        <f ca="1"/>
        <v>105.45099999999999</v>
      </c>
    </row>
    <row r="105" spans="3:16" x14ac:dyDescent="0.3">
      <c r="C105" s="114">
        <v>116533</v>
      </c>
      <c r="D105" s="115">
        <v>45938</v>
      </c>
      <c r="E105" s="116" t="s">
        <v>94</v>
      </c>
      <c r="F105" s="116" t="s">
        <v>95</v>
      </c>
      <c r="G105" s="116" t="s">
        <v>96</v>
      </c>
      <c r="H105" s="116" t="s">
        <v>97</v>
      </c>
      <c r="I105" s="116" t="s">
        <v>98</v>
      </c>
      <c r="J105" s="116" t="s">
        <v>99</v>
      </c>
      <c r="K105" s="116">
        <v>56.288499999999999</v>
      </c>
      <c r="M105" s="52">
        <f ca="1"/>
        <v>45940</v>
      </c>
      <c r="N105" s="3">
        <f ca="1"/>
        <v>71.622</v>
      </c>
      <c r="O105" s="52">
        <f ca="1"/>
        <v>45947</v>
      </c>
      <c r="P105" s="3">
        <f ca="1"/>
        <v>105.226</v>
      </c>
    </row>
    <row r="106" spans="3:16" x14ac:dyDescent="0.3">
      <c r="C106" s="114">
        <v>171383</v>
      </c>
      <c r="D106" s="115">
        <v>45939</v>
      </c>
      <c r="E106" s="116" t="s">
        <v>94</v>
      </c>
      <c r="F106" s="116" t="s">
        <v>95</v>
      </c>
      <c r="G106" s="116" t="s">
        <v>96</v>
      </c>
      <c r="H106" s="116" t="s">
        <v>97</v>
      </c>
      <c r="I106" s="116" t="s">
        <v>98</v>
      </c>
      <c r="J106" s="116" t="s">
        <v>99</v>
      </c>
      <c r="K106" s="116">
        <v>56.36</v>
      </c>
      <c r="M106" s="52">
        <f ca="1"/>
        <v>45943</v>
      </c>
      <c r="N106" s="3">
        <f ca="1"/>
        <v>72.066000000000003</v>
      </c>
    </row>
    <row r="107" spans="3:16" x14ac:dyDescent="0.3">
      <c r="C107" s="114">
        <v>226332</v>
      </c>
      <c r="D107" s="115">
        <v>45940</v>
      </c>
      <c r="E107" s="116" t="s">
        <v>94</v>
      </c>
      <c r="F107" s="116" t="s">
        <v>95</v>
      </c>
      <c r="G107" s="116" t="s">
        <v>96</v>
      </c>
      <c r="H107" s="116" t="s">
        <v>97</v>
      </c>
      <c r="I107" s="116" t="s">
        <v>98</v>
      </c>
      <c r="J107" s="116" t="s">
        <v>99</v>
      </c>
      <c r="K107" s="116">
        <v>59.473300000000002</v>
      </c>
      <c r="M107" s="52">
        <f ca="1"/>
        <v>45944</v>
      </c>
      <c r="N107" s="3">
        <f ca="1"/>
        <v>72.063999999999993</v>
      </c>
    </row>
    <row r="108" spans="3:16" x14ac:dyDescent="0.3">
      <c r="M108" s="52">
        <f ca="1"/>
        <v>45945</v>
      </c>
      <c r="N108" s="3">
        <f ca="1"/>
        <v>70.635999999999996</v>
      </c>
    </row>
    <row r="109" spans="3:16" x14ac:dyDescent="0.3">
      <c r="M109" s="52">
        <f ca="1"/>
        <v>45946</v>
      </c>
      <c r="N109" s="3">
        <f ca="1"/>
        <v>71.272000000000006</v>
      </c>
    </row>
    <row r="111" spans="3:16" x14ac:dyDescent="0.3">
      <c r="K111" s="3">
        <f ca="1">K103-N103</f>
        <v>-12.314899999999994</v>
      </c>
    </row>
    <row r="112" spans="3:16" x14ac:dyDescent="0.3">
      <c r="K112" s="3">
        <f t="shared" ref="K112:K115" ca="1" si="30">K104-N104</f>
        <v>-13.243899999999996</v>
      </c>
    </row>
    <row r="113" spans="11:11" x14ac:dyDescent="0.3">
      <c r="K113" s="3">
        <f t="shared" ca="1" si="30"/>
        <v>-15.333500000000001</v>
      </c>
    </row>
    <row r="114" spans="11:11" x14ac:dyDescent="0.3">
      <c r="K114" s="3">
        <f t="shared" ca="1" si="30"/>
        <v>-15.706000000000003</v>
      </c>
    </row>
    <row r="115" spans="11:11" x14ac:dyDescent="0.3">
      <c r="K115" s="3">
        <f t="shared" ca="1" si="30"/>
        <v>-12.590699999999991</v>
      </c>
    </row>
  </sheetData>
  <mergeCells count="3">
    <mergeCell ref="B12:D12"/>
    <mergeCell ref="E12:G12"/>
    <mergeCell ref="H12:J12"/>
  </mergeCells>
  <conditionalFormatting sqref="L1 L7:L11 K12:K49 L50:L1048576">
    <cfRule type="cellIs" dxfId="4" priority="1" operator="lessThan">
      <formula>0</formula>
    </cfRule>
  </conditionalFormatting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E0EB0B-8FF4-45C7-B056-76D75E901C59}">
  <dimension ref="A1:N106"/>
  <sheetViews>
    <sheetView zoomScale="80" zoomScaleNormal="80" workbookViewId="0">
      <selection activeCell="G38" sqref="G38"/>
    </sheetView>
  </sheetViews>
  <sheetFormatPr defaultColWidth="9.109375" defaultRowHeight="14.4" x14ac:dyDescent="0.3"/>
  <cols>
    <col min="1" max="1" width="15.44140625" style="3" bestFit="1" customWidth="1"/>
    <col min="2" max="2" width="21.33203125" style="3" bestFit="1" customWidth="1"/>
    <col min="3" max="3" width="19.109375" style="3" bestFit="1" customWidth="1"/>
    <col min="4" max="4" width="11.33203125" style="60" bestFit="1" customWidth="1"/>
    <col min="5" max="5" width="10.5546875" style="3" bestFit="1" customWidth="1"/>
    <col min="6" max="6" width="24.6640625" style="3" bestFit="1" customWidth="1"/>
    <col min="7" max="7" width="13.109375" style="3" bestFit="1" customWidth="1"/>
    <col min="8" max="8" width="9.33203125" style="3" bestFit="1" customWidth="1"/>
    <col min="9" max="9" width="12" style="155" hidden="1" customWidth="1"/>
    <col min="10" max="10" width="10.6640625" style="62" hidden="1" customWidth="1"/>
    <col min="11" max="11" width="10.5546875" style="52" hidden="1" customWidth="1"/>
    <col min="12" max="12" width="10.5546875" style="62" hidden="1" customWidth="1"/>
    <col min="13" max="13" width="8" style="3" bestFit="1" customWidth="1"/>
    <col min="14" max="14" width="10.5546875" style="3" bestFit="1" customWidth="1"/>
    <col min="15" max="16384" width="9.109375" style="3"/>
  </cols>
  <sheetData>
    <row r="1" spans="1:14" ht="15" thickBot="1" x14ac:dyDescent="0.35">
      <c r="A1" s="1"/>
      <c r="B1" s="1"/>
      <c r="C1" s="1"/>
      <c r="D1" s="31"/>
      <c r="I1" s="52">
        <f ca="1">TODAY()-150</f>
        <v>45797</v>
      </c>
    </row>
    <row r="2" spans="1:14" ht="15" thickBot="1" x14ac:dyDescent="0.35">
      <c r="A2" s="14"/>
      <c r="B2" s="27" t="s">
        <v>0</v>
      </c>
      <c r="C2" s="28" t="s">
        <v>1</v>
      </c>
      <c r="D2" s="31"/>
      <c r="I2" s="102" t="s">
        <v>0</v>
      </c>
      <c r="K2" s="104" t="s">
        <v>1</v>
      </c>
    </row>
    <row r="3" spans="1:14" x14ac:dyDescent="0.3">
      <c r="A3" s="14" t="s">
        <v>32</v>
      </c>
      <c r="B3" s="15" t="s">
        <v>103</v>
      </c>
      <c r="C3" s="5" t="s">
        <v>104</v>
      </c>
      <c r="D3" s="31"/>
      <c r="I3" s="52" cm="1">
        <f t="array" aca="1" ref="I3:J106" ca="1">_xll.BDH($B$4, "PX_LAST, ", I$1, "")</f>
        <v>45797</v>
      </c>
      <c r="J3" s="62">
        <f ca="1"/>
        <v>55.292000000000002</v>
      </c>
      <c r="K3" s="52" cm="1">
        <f t="array" aca="1" ref="K3:L40" ca="1">_xll.BDH($C$4, "PX_LAST, ", I$1, "")</f>
        <v>45811</v>
      </c>
      <c r="L3" s="62">
        <f ca="1"/>
        <v>685.81</v>
      </c>
    </row>
    <row r="4" spans="1:14" ht="30" customHeight="1" x14ac:dyDescent="0.3">
      <c r="A4" s="15" t="s">
        <v>33</v>
      </c>
      <c r="B4" s="17" t="s">
        <v>105</v>
      </c>
      <c r="C4" s="6" t="s">
        <v>106</v>
      </c>
      <c r="D4" s="31"/>
      <c r="I4" s="52">
        <f ca="1"/>
        <v>45798</v>
      </c>
      <c r="J4" s="62">
        <f ca="1"/>
        <v>58.441000000000003</v>
      </c>
      <c r="K4" s="52">
        <f ca="1"/>
        <v>45814</v>
      </c>
      <c r="L4" s="62">
        <f ca="1"/>
        <v>655.72</v>
      </c>
    </row>
    <row r="5" spans="1:14" x14ac:dyDescent="0.3">
      <c r="A5" s="15" t="s">
        <v>8</v>
      </c>
      <c r="B5" s="18">
        <f>125*10^6</f>
        <v>125000000</v>
      </c>
      <c r="C5" s="32">
        <v>21</v>
      </c>
      <c r="D5" s="31"/>
      <c r="I5" s="52">
        <f ca="1"/>
        <v>45799</v>
      </c>
      <c r="J5" s="62">
        <f ca="1"/>
        <v>57.939</v>
      </c>
      <c r="K5" s="52">
        <f ca="1"/>
        <v>45821</v>
      </c>
      <c r="L5" s="62">
        <f ca="1"/>
        <v>655.7</v>
      </c>
    </row>
    <row r="6" spans="1:14" x14ac:dyDescent="0.3">
      <c r="A6" s="15" t="s">
        <v>10</v>
      </c>
      <c r="B6" s="19">
        <v>0.01</v>
      </c>
      <c r="C6" s="10">
        <v>0</v>
      </c>
      <c r="D6" s="31"/>
      <c r="I6" s="52">
        <f ca="1"/>
        <v>45800</v>
      </c>
      <c r="J6" s="62">
        <f ca="1"/>
        <v>59.526000000000003</v>
      </c>
      <c r="K6" s="52">
        <f ca="1"/>
        <v>45833</v>
      </c>
      <c r="L6" s="62">
        <f ca="1"/>
        <v>579.63</v>
      </c>
    </row>
    <row r="7" spans="1:14" x14ac:dyDescent="0.3">
      <c r="A7" s="15" t="s">
        <v>12</v>
      </c>
      <c r="B7" s="19">
        <v>0</v>
      </c>
      <c r="C7" s="10">
        <v>0</v>
      </c>
      <c r="D7" s="31"/>
      <c r="I7" s="53">
        <f ca="1"/>
        <v>45804</v>
      </c>
      <c r="J7" s="62">
        <f ca="1"/>
        <v>55.707999999999998</v>
      </c>
      <c r="K7" s="52">
        <f ca="1"/>
        <v>45834</v>
      </c>
      <c r="L7" s="62">
        <f ca="1"/>
        <v>547.1</v>
      </c>
      <c r="N7" s="52"/>
    </row>
    <row r="8" spans="1:14" x14ac:dyDescent="0.3">
      <c r="A8" s="15" t="s">
        <v>14</v>
      </c>
      <c r="B8" s="15">
        <v>4.8</v>
      </c>
      <c r="C8" s="5"/>
      <c r="D8" s="31"/>
      <c r="E8" s="53"/>
      <c r="G8" s="52"/>
      <c r="I8" s="52">
        <f ca="1"/>
        <v>45805</v>
      </c>
      <c r="J8" s="62">
        <f ca="1"/>
        <v>56.082000000000001</v>
      </c>
      <c r="K8" s="52">
        <f ca="1"/>
        <v>45835</v>
      </c>
      <c r="L8" s="62">
        <f ca="1"/>
        <v>526.04</v>
      </c>
    </row>
    <row r="9" spans="1:14" x14ac:dyDescent="0.3">
      <c r="A9" s="15" t="s">
        <v>15</v>
      </c>
      <c r="B9" s="15" t="s">
        <v>23</v>
      </c>
      <c r="C9" s="5"/>
      <c r="D9" s="31"/>
      <c r="E9" s="53"/>
      <c r="G9" s="52"/>
      <c r="I9" s="52">
        <f ca="1"/>
        <v>45806</v>
      </c>
      <c r="J9" s="62">
        <f ca="1"/>
        <v>56.131</v>
      </c>
      <c r="K9" s="52">
        <f ca="1"/>
        <v>45855</v>
      </c>
      <c r="L9" s="62">
        <f ca="1"/>
        <v>438.35</v>
      </c>
    </row>
    <row r="10" spans="1:14" ht="15" thickBot="1" x14ac:dyDescent="0.35">
      <c r="A10" s="16" t="s">
        <v>28</v>
      </c>
      <c r="B10" s="20" cm="1">
        <f t="array" ref="B10">_xll.BDP(B4,"PX_LAST")</f>
        <v>54.038020000000003</v>
      </c>
      <c r="C10" s="13" cm="1">
        <f t="array" ref="C10">_xll.BDP(C4,"PX_LAST")</f>
        <v>231.8</v>
      </c>
      <c r="D10" s="31"/>
      <c r="E10" s="1"/>
      <c r="G10" s="52"/>
      <c r="I10" s="52">
        <f ca="1"/>
        <v>45807</v>
      </c>
      <c r="J10" s="62">
        <f ca="1"/>
        <v>56.16</v>
      </c>
      <c r="K10" s="52">
        <f ca="1"/>
        <v>45870</v>
      </c>
      <c r="L10" s="62">
        <f ca="1"/>
        <v>491.43</v>
      </c>
    </row>
    <row r="11" spans="1:14" ht="15" thickBot="1" x14ac:dyDescent="0.35">
      <c r="A11" s="1"/>
      <c r="B11" s="1"/>
      <c r="C11" s="1"/>
      <c r="D11" s="31"/>
      <c r="E11" s="1"/>
      <c r="I11" s="52">
        <f ca="1"/>
        <v>45810</v>
      </c>
      <c r="J11" s="62">
        <f ca="1"/>
        <v>55.341000000000001</v>
      </c>
      <c r="K11" s="52">
        <f ca="1"/>
        <v>45891</v>
      </c>
      <c r="L11" s="62">
        <f ca="1"/>
        <v>302.45999999999998</v>
      </c>
    </row>
    <row r="12" spans="1:14" ht="15" thickBot="1" x14ac:dyDescent="0.35">
      <c r="A12" s="39" t="s">
        <v>22</v>
      </c>
      <c r="B12" s="135" t="s">
        <v>0</v>
      </c>
      <c r="C12" s="136"/>
      <c r="D12" s="137"/>
      <c r="E12" s="138" t="s">
        <v>1</v>
      </c>
      <c r="F12" s="140"/>
      <c r="G12" s="39" t="s">
        <v>16</v>
      </c>
      <c r="I12" s="155">
        <f ca="1"/>
        <v>45811</v>
      </c>
      <c r="J12" s="46">
        <f ca="1"/>
        <v>54.959000000000003</v>
      </c>
      <c r="K12" s="52">
        <f ca="1"/>
        <v>45894</v>
      </c>
      <c r="L12" s="62">
        <f ca="1"/>
        <v>303.64999999999998</v>
      </c>
    </row>
    <row r="13" spans="1:14" ht="15" thickBot="1" x14ac:dyDescent="0.35">
      <c r="A13" s="16"/>
      <c r="B13" s="11" t="s">
        <v>24</v>
      </c>
      <c r="C13" s="49" t="s">
        <v>19</v>
      </c>
      <c r="D13" s="22" t="s">
        <v>20</v>
      </c>
      <c r="E13" s="11" t="s">
        <v>17</v>
      </c>
      <c r="F13" s="21" t="s">
        <v>21</v>
      </c>
      <c r="G13" s="99"/>
      <c r="I13" s="155">
        <f ca="1"/>
        <v>45812</v>
      </c>
      <c r="J13" s="46">
        <f ca="1"/>
        <v>55.16</v>
      </c>
      <c r="K13" s="52">
        <f ca="1"/>
        <v>45898</v>
      </c>
      <c r="L13" s="62">
        <f ca="1"/>
        <v>305.2</v>
      </c>
    </row>
    <row r="14" spans="1:14" x14ac:dyDescent="0.3">
      <c r="A14" s="36">
        <v>45939</v>
      </c>
      <c r="B14" s="4">
        <v>52.6</v>
      </c>
      <c r="C14" s="31"/>
      <c r="D14" s="5"/>
      <c r="E14" s="4">
        <v>155.55000000000001</v>
      </c>
      <c r="F14" s="1"/>
      <c r="G14" s="82">
        <v>0</v>
      </c>
      <c r="I14" s="155">
        <f ca="1"/>
        <v>45813</v>
      </c>
      <c r="J14" s="46">
        <f ca="1"/>
        <v>55.661000000000001</v>
      </c>
      <c r="K14" s="52">
        <f ca="1"/>
        <v>45908</v>
      </c>
      <c r="L14" s="62">
        <f ca="1"/>
        <v>271.3</v>
      </c>
    </row>
    <row r="15" spans="1:14" x14ac:dyDescent="0.3">
      <c r="A15" s="36">
        <v>45940</v>
      </c>
      <c r="B15" s="4">
        <f ca="1">VLOOKUP(A15,I:J,2)</f>
        <v>56.701999999999998</v>
      </c>
      <c r="C15" s="31">
        <f ca="1">-1*(B15-$B$14)*$B$8*$B$5*10^(-4)</f>
        <v>-246119.99999999983</v>
      </c>
      <c r="D15" s="32">
        <f>(A15-$A$14)/360*$B$6*$B$5</f>
        <v>3472.2222222222222</v>
      </c>
      <c r="E15" s="4">
        <f ca="1">VLOOKUP(A15,K:L,2)</f>
        <v>267.07</v>
      </c>
      <c r="F15" s="31">
        <f ca="1">(E15-$E$14)*$C$5*100</f>
        <v>234191.99999999997</v>
      </c>
      <c r="G15" s="82">
        <f ca="1">C15+D15+F15</f>
        <v>-8455.7777777776355</v>
      </c>
      <c r="I15" s="155">
        <f ca="1"/>
        <v>45814</v>
      </c>
      <c r="J15" s="46">
        <f ca="1"/>
        <v>54.006</v>
      </c>
      <c r="K15" s="52">
        <f ca="1"/>
        <v>45909</v>
      </c>
      <c r="L15" s="62">
        <f ca="1"/>
        <v>268.22000000000003</v>
      </c>
    </row>
    <row r="16" spans="1:14" x14ac:dyDescent="0.3">
      <c r="A16" s="36">
        <v>45943</v>
      </c>
      <c r="B16" s="4">
        <f ca="1">VLOOKUP(A16,I:J,2)</f>
        <v>56.701999999999998</v>
      </c>
      <c r="C16" s="31">
        <f ca="1">-1*(B16-$B$14)*$B$8*$B$5*10^(-4)</f>
        <v>-246119.99999999983</v>
      </c>
      <c r="D16" s="32">
        <f>(A16-$A$14)/360*$B$6*$B$5</f>
        <v>13888.888888888889</v>
      </c>
      <c r="E16" s="4">
        <f ca="1">VLOOKUP(A16,K:L,2)</f>
        <v>195.86</v>
      </c>
      <c r="F16" s="31">
        <f ca="1">(E16-$E$14)*$C$5*100</f>
        <v>84651</v>
      </c>
      <c r="G16" s="82">
        <f ca="1">C16+D16+F16</f>
        <v>-147580.11111111095</v>
      </c>
      <c r="I16" s="155">
        <f ca="1"/>
        <v>45817</v>
      </c>
      <c r="J16" s="46">
        <f ca="1"/>
        <v>53.912999999999997</v>
      </c>
      <c r="K16" s="52">
        <f ca="1"/>
        <v>45911</v>
      </c>
      <c r="L16" s="62">
        <f ca="1"/>
        <v>234.12</v>
      </c>
    </row>
    <row r="17" spans="1:12" x14ac:dyDescent="0.3">
      <c r="A17" s="36">
        <v>45944</v>
      </c>
      <c r="B17" s="4">
        <f ca="1">VLOOKUP(A17,I:J,2)</f>
        <v>53.369</v>
      </c>
      <c r="C17" s="31">
        <f ca="1">-1*(B17-$B$14)*$B$8*$B$5*10^(-4)</f>
        <v>-46139.999999999898</v>
      </c>
      <c r="D17" s="32">
        <f>(A17-$A$14)/360*$B$6*$B$5</f>
        <v>17361.111111111109</v>
      </c>
      <c r="E17" s="4">
        <f ca="1">VLOOKUP(A17,K:L,2)</f>
        <v>220.74</v>
      </c>
      <c r="F17" s="31">
        <f ca="1">(E17-$E$14)*$C$5*100</f>
        <v>136899</v>
      </c>
      <c r="G17" s="82">
        <f ca="1">C17+D17+F17</f>
        <v>108120.11111111121</v>
      </c>
      <c r="I17" s="155">
        <f ca="1"/>
        <v>45818</v>
      </c>
      <c r="J17" s="46">
        <f ca="1"/>
        <v>53.087000000000003</v>
      </c>
      <c r="K17" s="52">
        <f ca="1"/>
        <v>45912</v>
      </c>
      <c r="L17" s="62">
        <f ca="1"/>
        <v>224.91</v>
      </c>
    </row>
    <row r="18" spans="1:12" x14ac:dyDescent="0.3">
      <c r="A18" s="36">
        <v>45945</v>
      </c>
      <c r="B18" s="4">
        <f ca="1">VLOOKUP(A18,I:J,2)</f>
        <v>52.787999999999997</v>
      </c>
      <c r="C18" s="31">
        <f ca="1">-1*(B18-$B$14)*$B$8*$B$5*10^(-4)</f>
        <v>-11279.999999999718</v>
      </c>
      <c r="D18" s="32">
        <f>(A18-$A$14)/360*$B$6*$B$5</f>
        <v>20833.333333333332</v>
      </c>
      <c r="E18" s="4">
        <f ca="1">VLOOKUP(A18,K:L,2)</f>
        <v>191.5</v>
      </c>
      <c r="F18" s="31">
        <f ca="1">(E18-$E$14)*$C$5*100</f>
        <v>75494.999999999985</v>
      </c>
      <c r="G18" s="82">
        <f ca="1">C18+D18+F18</f>
        <v>85048.333333333605</v>
      </c>
      <c r="I18" s="155">
        <f ca="1"/>
        <v>45819</v>
      </c>
      <c r="J18" s="46">
        <f ca="1"/>
        <v>53.267000000000003</v>
      </c>
      <c r="K18" s="52">
        <f ca="1"/>
        <v>45915</v>
      </c>
      <c r="L18" s="62">
        <f ca="1"/>
        <v>211.6</v>
      </c>
    </row>
    <row r="19" spans="1:12" x14ac:dyDescent="0.3">
      <c r="A19" s="36">
        <v>45946</v>
      </c>
      <c r="B19" s="4">
        <f ca="1">VLOOKUP(A19,I:J,2)</f>
        <v>54.866</v>
      </c>
      <c r="C19" s="31">
        <f ca="1">-1*(B19-$B$14)*$B$8*$B$5*10^(-4)</f>
        <v>-135959.99999999988</v>
      </c>
      <c r="D19" s="32">
        <f>(A19-$A$14)/360*$B$6*$B$5</f>
        <v>24305.555555555558</v>
      </c>
      <c r="E19" s="4">
        <f ca="1">VLOOKUP(A19,K:L,2)</f>
        <v>231.8</v>
      </c>
      <c r="F19" s="31">
        <f ca="1">(E19-$E$14)*$C$5*100</f>
        <v>160125</v>
      </c>
      <c r="G19" s="82">
        <f ca="1">C19+D19+F19</f>
        <v>48470.555555555678</v>
      </c>
      <c r="I19" s="155">
        <f ca="1"/>
        <v>45820</v>
      </c>
      <c r="J19" s="46">
        <f ca="1"/>
        <v>53.845999999999997</v>
      </c>
      <c r="K19" s="52">
        <f ca="1"/>
        <v>45916</v>
      </c>
      <c r="L19" s="62">
        <f ca="1"/>
        <v>223.2</v>
      </c>
    </row>
    <row r="20" spans="1:12" x14ac:dyDescent="0.3">
      <c r="A20" s="36">
        <v>45947</v>
      </c>
      <c r="B20" s="4"/>
      <c r="C20" s="31"/>
      <c r="D20" s="32"/>
      <c r="E20" s="4"/>
      <c r="F20" s="31"/>
      <c r="G20" s="82"/>
      <c r="I20" s="155">
        <f ca="1"/>
        <v>45821</v>
      </c>
      <c r="J20" s="46">
        <f ca="1"/>
        <v>55.892000000000003</v>
      </c>
      <c r="K20" s="52">
        <f ca="1"/>
        <v>45917</v>
      </c>
      <c r="L20" s="62">
        <f ca="1"/>
        <v>226.6</v>
      </c>
    </row>
    <row r="21" spans="1:12" x14ac:dyDescent="0.3">
      <c r="A21" s="36"/>
      <c r="B21" s="4"/>
      <c r="C21" s="31"/>
      <c r="D21" s="32"/>
      <c r="E21" s="4"/>
      <c r="F21" s="31"/>
      <c r="G21" s="82"/>
      <c r="I21" s="155">
        <f ca="1"/>
        <v>45824</v>
      </c>
      <c r="J21" s="46">
        <f ca="1"/>
        <v>54.283999999999999</v>
      </c>
      <c r="K21" s="52">
        <f ca="1"/>
        <v>45919</v>
      </c>
      <c r="L21" s="62">
        <f ca="1"/>
        <v>197.25</v>
      </c>
    </row>
    <row r="22" spans="1:12" x14ac:dyDescent="0.3">
      <c r="A22" s="110"/>
      <c r="B22" s="4"/>
      <c r="C22" s="31"/>
      <c r="D22" s="32"/>
      <c r="E22" s="4"/>
      <c r="F22" s="31"/>
      <c r="G22" s="82"/>
      <c r="I22" s="155">
        <f ca="1"/>
        <v>45825</v>
      </c>
      <c r="J22" s="46">
        <f ca="1"/>
        <v>56.819000000000003</v>
      </c>
      <c r="K22" s="52">
        <f ca="1"/>
        <v>45922</v>
      </c>
      <c r="L22" s="62">
        <f ca="1"/>
        <v>185.03</v>
      </c>
    </row>
    <row r="23" spans="1:12" ht="14.4" hidden="1" customHeight="1" x14ac:dyDescent="0.3">
      <c r="A23" s="110"/>
      <c r="B23" s="4"/>
      <c r="C23" s="31"/>
      <c r="D23" s="32"/>
      <c r="E23" s="4"/>
      <c r="F23" s="31"/>
      <c r="G23" s="82"/>
      <c r="I23" s="155">
        <f ca="1"/>
        <v>45826</v>
      </c>
      <c r="J23" s="46">
        <f ca="1"/>
        <v>56.100999999999999</v>
      </c>
      <c r="K23" s="52">
        <f ca="1"/>
        <v>45923</v>
      </c>
      <c r="L23" s="62">
        <f ca="1"/>
        <v>199.8</v>
      </c>
    </row>
    <row r="24" spans="1:12" ht="14.4" hidden="1" customHeight="1" x14ac:dyDescent="0.3">
      <c r="A24" s="110"/>
      <c r="B24" s="4"/>
      <c r="C24" s="31"/>
      <c r="D24" s="32"/>
      <c r="E24" s="4"/>
      <c r="F24" s="31"/>
      <c r="G24" s="82"/>
      <c r="I24" s="155">
        <f ca="1"/>
        <v>45828</v>
      </c>
      <c r="J24" s="46">
        <f ca="1"/>
        <v>56.012999999999998</v>
      </c>
      <c r="K24" s="52">
        <f ca="1"/>
        <v>45924</v>
      </c>
      <c r="L24" s="62">
        <f ca="1"/>
        <v>213.23</v>
      </c>
    </row>
    <row r="25" spans="1:12" ht="14.4" hidden="1" customHeight="1" x14ac:dyDescent="0.3">
      <c r="A25" s="110"/>
      <c r="B25" s="4"/>
      <c r="C25" s="31"/>
      <c r="D25" s="32"/>
      <c r="E25" s="4"/>
      <c r="F25" s="31"/>
      <c r="G25" s="82"/>
      <c r="I25" s="155">
        <f ca="1"/>
        <v>45831</v>
      </c>
      <c r="J25" s="46">
        <f ca="1"/>
        <v>54.692</v>
      </c>
      <c r="K25" s="52">
        <f ca="1"/>
        <v>45925</v>
      </c>
      <c r="L25" s="62">
        <f ca="1"/>
        <v>222.8</v>
      </c>
    </row>
    <row r="26" spans="1:12" ht="14.4" hidden="1" customHeight="1" x14ac:dyDescent="0.3">
      <c r="A26" s="110"/>
      <c r="B26" s="4"/>
      <c r="C26" s="31"/>
      <c r="D26" s="32"/>
      <c r="E26" s="4"/>
      <c r="F26" s="31"/>
      <c r="G26" s="82"/>
      <c r="I26" s="155">
        <f ca="1"/>
        <v>45832</v>
      </c>
      <c r="J26" s="46">
        <f ca="1"/>
        <v>52.798999999999999</v>
      </c>
      <c r="K26" s="52">
        <f ca="1"/>
        <v>45926</v>
      </c>
      <c r="L26" s="62">
        <f ca="1"/>
        <v>213.4</v>
      </c>
    </row>
    <row r="27" spans="1:12" ht="14.4" hidden="1" customHeight="1" x14ac:dyDescent="0.3">
      <c r="A27" s="156"/>
      <c r="B27" s="157"/>
      <c r="C27" s="31"/>
      <c r="D27" s="32"/>
      <c r="E27" s="4"/>
      <c r="F27" s="31"/>
      <c r="G27" s="82"/>
      <c r="I27" s="155">
        <f ca="1"/>
        <v>45833</v>
      </c>
      <c r="J27" s="46">
        <f ca="1"/>
        <v>53.402000000000001</v>
      </c>
      <c r="K27" s="52">
        <f ca="1"/>
        <v>45929</v>
      </c>
      <c r="L27" s="62">
        <f ca="1"/>
        <v>181.95</v>
      </c>
    </row>
    <row r="28" spans="1:12" ht="14.4" hidden="1" customHeight="1" x14ac:dyDescent="0.3">
      <c r="A28" s="110"/>
      <c r="B28" s="4"/>
      <c r="C28" s="31"/>
      <c r="D28" s="32"/>
      <c r="E28" s="4"/>
      <c r="F28" s="31"/>
      <c r="G28" s="82"/>
      <c r="I28" s="155">
        <f ca="1"/>
        <v>45834</v>
      </c>
      <c r="J28" s="46">
        <f ca="1"/>
        <v>52.491999999999997</v>
      </c>
      <c r="K28" s="52">
        <f ca="1"/>
        <v>45930</v>
      </c>
      <c r="L28" s="62">
        <f ca="1"/>
        <v>189.6</v>
      </c>
    </row>
    <row r="29" spans="1:12" ht="14.4" hidden="1" customHeight="1" x14ac:dyDescent="0.3">
      <c r="A29" s="110"/>
      <c r="B29" s="4"/>
      <c r="C29" s="31"/>
      <c r="D29" s="32"/>
      <c r="E29" s="4"/>
      <c r="F29" s="31"/>
      <c r="G29" s="82"/>
      <c r="I29" s="155">
        <f ca="1"/>
        <v>45835</v>
      </c>
      <c r="J29" s="46">
        <f ca="1"/>
        <v>51.991</v>
      </c>
      <c r="K29" s="52">
        <f ca="1"/>
        <v>45931</v>
      </c>
      <c r="L29" s="62">
        <f ca="1"/>
        <v>164.7</v>
      </c>
    </row>
    <row r="30" spans="1:12" ht="14.4" hidden="1" customHeight="1" x14ac:dyDescent="0.3">
      <c r="A30" s="110"/>
      <c r="B30" s="4"/>
      <c r="C30" s="31"/>
      <c r="D30" s="32"/>
      <c r="E30" s="4"/>
      <c r="F30" s="31"/>
      <c r="G30" s="82"/>
      <c r="I30" s="155">
        <f ca="1"/>
        <v>45838</v>
      </c>
      <c r="J30" s="46">
        <f ca="1"/>
        <v>51.058</v>
      </c>
      <c r="K30" s="52">
        <f ca="1"/>
        <v>45932</v>
      </c>
      <c r="L30" s="62">
        <f ca="1"/>
        <v>166.3</v>
      </c>
    </row>
    <row r="31" spans="1:12" ht="14.4" hidden="1" customHeight="1" x14ac:dyDescent="0.3">
      <c r="A31" s="110"/>
      <c r="B31" s="4"/>
      <c r="C31" s="31"/>
      <c r="D31" s="32"/>
      <c r="E31" s="4"/>
      <c r="F31" s="31"/>
      <c r="G31" s="82"/>
      <c r="I31" s="155">
        <f ca="1"/>
        <v>45839</v>
      </c>
      <c r="J31" s="46">
        <f ca="1"/>
        <v>50.558999999999997</v>
      </c>
      <c r="K31" s="52">
        <f ca="1"/>
        <v>45933</v>
      </c>
      <c r="L31" s="62">
        <f ca="1"/>
        <v>166.01</v>
      </c>
    </row>
    <row r="32" spans="1:12" ht="14.4" hidden="1" customHeight="1" x14ac:dyDescent="0.3">
      <c r="A32" s="110"/>
      <c r="B32" s="4"/>
      <c r="C32" s="31"/>
      <c r="D32" s="32"/>
      <c r="E32" s="4"/>
      <c r="F32" s="1"/>
      <c r="G32" s="82"/>
      <c r="I32" s="155">
        <f ca="1"/>
        <v>45840</v>
      </c>
      <c r="J32" s="46">
        <f ca="1"/>
        <v>50.177999999999997</v>
      </c>
      <c r="K32" s="52">
        <f ca="1"/>
        <v>45936</v>
      </c>
      <c r="L32" s="62">
        <f ca="1"/>
        <v>154.01</v>
      </c>
    </row>
    <row r="33" spans="1:12" ht="14.4" hidden="1" customHeight="1" x14ac:dyDescent="0.3">
      <c r="A33" s="110"/>
      <c r="B33" s="4"/>
      <c r="C33" s="31"/>
      <c r="D33" s="32"/>
      <c r="E33" s="4"/>
      <c r="F33" s="1"/>
      <c r="G33" s="82"/>
      <c r="I33" s="155">
        <f ca="1"/>
        <v>45841</v>
      </c>
      <c r="J33" s="46">
        <f ca="1"/>
        <v>49.305</v>
      </c>
      <c r="K33" s="52">
        <f ca="1"/>
        <v>45937</v>
      </c>
      <c r="L33" s="62">
        <f ca="1"/>
        <v>166.5</v>
      </c>
    </row>
    <row r="34" spans="1:12" ht="14.4" hidden="1" customHeight="1" x14ac:dyDescent="0.3">
      <c r="A34" s="110"/>
      <c r="B34" s="4"/>
      <c r="C34" s="31"/>
      <c r="D34" s="32"/>
      <c r="E34" s="4"/>
      <c r="F34" s="1"/>
      <c r="G34" s="82"/>
      <c r="I34" s="155">
        <f ca="1"/>
        <v>45845</v>
      </c>
      <c r="J34" s="46">
        <f ca="1"/>
        <v>50.89</v>
      </c>
      <c r="K34" s="52">
        <f ca="1"/>
        <v>45938</v>
      </c>
      <c r="L34" s="62">
        <f ca="1"/>
        <v>148.79</v>
      </c>
    </row>
    <row r="35" spans="1:12" ht="14.4" hidden="1" customHeight="1" x14ac:dyDescent="0.3">
      <c r="A35" s="110"/>
      <c r="B35" s="4"/>
      <c r="C35" s="31"/>
      <c r="D35" s="32"/>
      <c r="E35" s="4"/>
      <c r="F35" s="1"/>
      <c r="G35" s="82"/>
      <c r="I35" s="155">
        <f ca="1"/>
        <v>45846</v>
      </c>
      <c r="J35" s="46">
        <f ca="1"/>
        <v>51.234000000000002</v>
      </c>
      <c r="K35" s="52">
        <f ca="1"/>
        <v>45939</v>
      </c>
      <c r="L35" s="62">
        <f ca="1"/>
        <v>161.04</v>
      </c>
    </row>
    <row r="36" spans="1:12" ht="14.4" hidden="1" customHeight="1" x14ac:dyDescent="0.3">
      <c r="A36" s="110"/>
      <c r="B36" s="4"/>
      <c r="C36" s="31"/>
      <c r="D36" s="32"/>
      <c r="E36" s="4"/>
      <c r="F36" s="1"/>
      <c r="G36" s="82"/>
      <c r="I36" s="155">
        <f ca="1"/>
        <v>45847</v>
      </c>
      <c r="J36" s="46">
        <f ca="1"/>
        <v>50.05</v>
      </c>
      <c r="K36" s="52">
        <f ca="1"/>
        <v>45940</v>
      </c>
      <c r="L36" s="62">
        <f ca="1"/>
        <v>267.07</v>
      </c>
    </row>
    <row r="37" spans="1:12" x14ac:dyDescent="0.3">
      <c r="A37" s="110"/>
      <c r="B37" s="4"/>
      <c r="C37" s="31"/>
      <c r="D37" s="32"/>
      <c r="E37" s="4"/>
      <c r="F37" s="1"/>
      <c r="G37" s="82"/>
      <c r="I37" s="155">
        <f ca="1"/>
        <v>45848</v>
      </c>
      <c r="J37" s="46">
        <f ca="1"/>
        <v>49.847000000000001</v>
      </c>
      <c r="K37" s="52">
        <f ca="1"/>
        <v>45943</v>
      </c>
      <c r="L37" s="62">
        <f ca="1"/>
        <v>195.86</v>
      </c>
    </row>
    <row r="38" spans="1:12" x14ac:dyDescent="0.3">
      <c r="A38" s="110"/>
      <c r="B38" s="4"/>
      <c r="C38" s="31"/>
      <c r="D38" s="32"/>
      <c r="E38" s="4"/>
      <c r="F38" s="1"/>
      <c r="G38" s="82"/>
      <c r="I38" s="155">
        <f ca="1"/>
        <v>45849</v>
      </c>
      <c r="J38" s="46">
        <f ca="1"/>
        <v>50.536000000000001</v>
      </c>
      <c r="K38" s="52">
        <f ca="1"/>
        <v>45944</v>
      </c>
      <c r="L38" s="62">
        <f ca="1"/>
        <v>220.74</v>
      </c>
    </row>
    <row r="39" spans="1:12" x14ac:dyDescent="0.3">
      <c r="A39" s="110"/>
      <c r="B39" s="4"/>
      <c r="C39" s="31"/>
      <c r="D39" s="32"/>
      <c r="E39" s="4"/>
      <c r="F39" s="1"/>
      <c r="G39" s="81"/>
      <c r="I39" s="155">
        <f ca="1"/>
        <v>45852</v>
      </c>
      <c r="J39" s="46">
        <f ca="1"/>
        <v>50.942999999999998</v>
      </c>
      <c r="K39" s="52">
        <f ca="1"/>
        <v>45945</v>
      </c>
      <c r="L39" s="62">
        <f ca="1"/>
        <v>191.5</v>
      </c>
    </row>
    <row r="40" spans="1:12" x14ac:dyDescent="0.3">
      <c r="A40" s="110"/>
      <c r="B40" s="4"/>
      <c r="C40" s="31"/>
      <c r="D40" s="32"/>
      <c r="E40" s="4"/>
      <c r="F40" s="1"/>
      <c r="G40" s="81"/>
      <c r="I40" s="155">
        <f ca="1"/>
        <v>45853</v>
      </c>
      <c r="J40" s="46">
        <f ca="1"/>
        <v>52.14</v>
      </c>
      <c r="K40" s="52">
        <f ca="1"/>
        <v>45946</v>
      </c>
      <c r="L40" s="62">
        <f ca="1"/>
        <v>231.8</v>
      </c>
    </row>
    <row r="41" spans="1:12" x14ac:dyDescent="0.3">
      <c r="A41" s="110"/>
      <c r="B41" s="4"/>
      <c r="C41" s="31"/>
      <c r="D41" s="32"/>
      <c r="E41" s="4"/>
      <c r="F41" s="1"/>
      <c r="G41" s="81"/>
      <c r="I41" s="155">
        <f ca="1"/>
        <v>45854</v>
      </c>
      <c r="J41" s="46">
        <f ca="1"/>
        <v>51.95</v>
      </c>
    </row>
    <row r="42" spans="1:12" x14ac:dyDescent="0.3">
      <c r="A42" s="110"/>
      <c r="B42" s="4"/>
      <c r="C42" s="31"/>
      <c r="D42" s="5"/>
      <c r="E42" s="4"/>
      <c r="F42" s="1"/>
      <c r="G42" s="81"/>
      <c r="I42" s="155">
        <f ca="1"/>
        <v>45855</v>
      </c>
      <c r="J42" s="46">
        <f ca="1"/>
        <v>50.658000000000001</v>
      </c>
    </row>
    <row r="43" spans="1:12" x14ac:dyDescent="0.3">
      <c r="A43" s="110"/>
      <c r="B43" s="4"/>
      <c r="C43" s="31"/>
      <c r="D43" s="5"/>
      <c r="E43" s="4"/>
      <c r="F43" s="1"/>
      <c r="G43" s="81"/>
      <c r="I43" s="155">
        <f ca="1"/>
        <v>45856</v>
      </c>
      <c r="J43" s="46">
        <f ca="1"/>
        <v>50.805</v>
      </c>
    </row>
    <row r="44" spans="1:12" x14ac:dyDescent="0.3">
      <c r="A44" s="110"/>
      <c r="B44" s="4"/>
      <c r="C44" s="31"/>
      <c r="D44" s="5"/>
      <c r="E44" s="4"/>
      <c r="F44" s="1"/>
      <c r="G44" s="81"/>
      <c r="I44" s="155">
        <f ca="1"/>
        <v>45859</v>
      </c>
      <c r="J44" s="46">
        <f ca="1"/>
        <v>50.99</v>
      </c>
    </row>
    <row r="45" spans="1:12" x14ac:dyDescent="0.3">
      <c r="A45" s="36"/>
      <c r="B45" s="33"/>
      <c r="C45" s="60"/>
      <c r="D45" s="34"/>
      <c r="E45" s="33"/>
      <c r="G45" s="83"/>
      <c r="I45" s="155">
        <f ca="1"/>
        <v>45860</v>
      </c>
      <c r="J45" s="62">
        <f ca="1"/>
        <v>51.104999999999997</v>
      </c>
    </row>
    <row r="46" spans="1:12" ht="15" thickBot="1" x14ac:dyDescent="0.35">
      <c r="A46" s="36"/>
      <c r="B46" s="35"/>
      <c r="C46" s="70"/>
      <c r="D46" s="13"/>
      <c r="E46" s="35"/>
      <c r="F46" s="12"/>
      <c r="G46" s="84"/>
      <c r="I46" s="155">
        <f ca="1"/>
        <v>45861</v>
      </c>
      <c r="J46" s="62">
        <f ca="1"/>
        <v>50.115000000000002</v>
      </c>
    </row>
    <row r="47" spans="1:12" x14ac:dyDescent="0.3">
      <c r="I47" s="155">
        <f ca="1"/>
        <v>45862</v>
      </c>
      <c r="J47" s="62">
        <f ca="1"/>
        <v>50.139000000000003</v>
      </c>
    </row>
    <row r="48" spans="1:12" x14ac:dyDescent="0.3">
      <c r="I48" s="155">
        <f ca="1"/>
        <v>45863</v>
      </c>
      <c r="J48" s="62">
        <f ca="1"/>
        <v>50.043999999999997</v>
      </c>
    </row>
    <row r="49" spans="9:10" x14ac:dyDescent="0.3">
      <c r="I49" s="155">
        <f ca="1"/>
        <v>45866</v>
      </c>
      <c r="J49" s="62">
        <f ca="1"/>
        <v>50.25</v>
      </c>
    </row>
    <row r="50" spans="9:10" x14ac:dyDescent="0.3">
      <c r="I50" s="155">
        <f ca="1"/>
        <v>45867</v>
      </c>
      <c r="J50" s="62">
        <f ca="1"/>
        <v>50.933999999999997</v>
      </c>
    </row>
    <row r="51" spans="9:10" x14ac:dyDescent="0.3">
      <c r="I51" s="155">
        <f ca="1"/>
        <v>45868</v>
      </c>
      <c r="J51" s="62">
        <f ca="1"/>
        <v>50.837000000000003</v>
      </c>
    </row>
    <row r="52" spans="9:10" x14ac:dyDescent="0.3">
      <c r="I52" s="155">
        <f ca="1"/>
        <v>45869</v>
      </c>
      <c r="J52" s="62">
        <f ca="1"/>
        <v>51.338999999999999</v>
      </c>
    </row>
    <row r="53" spans="9:10" x14ac:dyDescent="0.3">
      <c r="I53" s="155">
        <f ca="1"/>
        <v>45870</v>
      </c>
      <c r="J53" s="62">
        <f ca="1"/>
        <v>53.94</v>
      </c>
    </row>
    <row r="54" spans="9:10" x14ac:dyDescent="0.3">
      <c r="I54" s="155">
        <f ca="1"/>
        <v>45873</v>
      </c>
      <c r="J54" s="62">
        <f ca="1"/>
        <v>51.886000000000003</v>
      </c>
    </row>
    <row r="55" spans="9:10" x14ac:dyDescent="0.3">
      <c r="I55" s="155">
        <f ca="1"/>
        <v>45874</v>
      </c>
      <c r="J55" s="62">
        <f ca="1"/>
        <v>52.518999999999998</v>
      </c>
    </row>
    <row r="56" spans="9:10" x14ac:dyDescent="0.3">
      <c r="I56" s="155">
        <f ca="1"/>
        <v>45875</v>
      </c>
      <c r="J56" s="62">
        <f ca="1"/>
        <v>52.03</v>
      </c>
    </row>
    <row r="57" spans="9:10" x14ac:dyDescent="0.3">
      <c r="I57" s="155">
        <f ca="1"/>
        <v>45876</v>
      </c>
      <c r="J57" s="62">
        <f ca="1"/>
        <v>51.976999999999997</v>
      </c>
    </row>
    <row r="58" spans="9:10" x14ac:dyDescent="0.3">
      <c r="I58" s="155">
        <f ca="1"/>
        <v>45877</v>
      </c>
      <c r="J58" s="62">
        <f ca="1"/>
        <v>51.043999999999997</v>
      </c>
    </row>
    <row r="59" spans="9:10" x14ac:dyDescent="0.3">
      <c r="I59" s="155">
        <f ca="1"/>
        <v>45880</v>
      </c>
      <c r="J59" s="62">
        <f ca="1"/>
        <v>51.491999999999997</v>
      </c>
    </row>
    <row r="60" spans="9:10" x14ac:dyDescent="0.3">
      <c r="I60" s="155">
        <f ca="1"/>
        <v>45881</v>
      </c>
      <c r="J60" s="62">
        <f ca="1"/>
        <v>50.103999999999999</v>
      </c>
    </row>
    <row r="61" spans="9:10" x14ac:dyDescent="0.3">
      <c r="I61" s="155">
        <f ca="1"/>
        <v>45882</v>
      </c>
      <c r="J61" s="62">
        <f ca="1"/>
        <v>49.718000000000004</v>
      </c>
    </row>
    <row r="62" spans="9:10" x14ac:dyDescent="0.3">
      <c r="I62" s="155">
        <f ca="1"/>
        <v>45883</v>
      </c>
      <c r="J62" s="62">
        <f ca="1"/>
        <v>49.960999999999999</v>
      </c>
    </row>
    <row r="63" spans="9:10" x14ac:dyDescent="0.3">
      <c r="I63" s="155">
        <f ca="1"/>
        <v>45884</v>
      </c>
      <c r="J63" s="62">
        <f ca="1"/>
        <v>50.036000000000001</v>
      </c>
    </row>
    <row r="64" spans="9:10" x14ac:dyDescent="0.3">
      <c r="I64" s="155">
        <f ca="1"/>
        <v>45887</v>
      </c>
      <c r="J64" s="62">
        <f ca="1"/>
        <v>50.034999999999997</v>
      </c>
    </row>
    <row r="65" spans="9:10" x14ac:dyDescent="0.3">
      <c r="I65" s="155">
        <f ca="1"/>
        <v>45888</v>
      </c>
      <c r="J65" s="62">
        <f ca="1"/>
        <v>50.387999999999998</v>
      </c>
    </row>
    <row r="66" spans="9:10" x14ac:dyDescent="0.3">
      <c r="I66" s="155">
        <f ca="1"/>
        <v>45889</v>
      </c>
      <c r="J66" s="62">
        <f ca="1"/>
        <v>50.752000000000002</v>
      </c>
    </row>
    <row r="67" spans="9:10" x14ac:dyDescent="0.3">
      <c r="I67" s="155">
        <f ca="1"/>
        <v>45890</v>
      </c>
      <c r="J67" s="62">
        <f ca="1"/>
        <v>51.588000000000001</v>
      </c>
    </row>
    <row r="68" spans="9:10" x14ac:dyDescent="0.3">
      <c r="I68" s="155">
        <f ca="1"/>
        <v>45891</v>
      </c>
      <c r="J68" s="62">
        <f ca="1"/>
        <v>49.064999999999998</v>
      </c>
    </row>
    <row r="69" spans="9:10" x14ac:dyDescent="0.3">
      <c r="I69" s="155">
        <f ca="1"/>
        <v>45894</v>
      </c>
      <c r="J69" s="62">
        <f ca="1"/>
        <v>49.643999999999998</v>
      </c>
    </row>
    <row r="70" spans="9:10" x14ac:dyDescent="0.3">
      <c r="I70" s="155">
        <f ca="1"/>
        <v>45895</v>
      </c>
      <c r="J70" s="62">
        <f ca="1"/>
        <v>49.65</v>
      </c>
    </row>
    <row r="71" spans="9:10" x14ac:dyDescent="0.3">
      <c r="I71" s="155">
        <f ca="1"/>
        <v>45896</v>
      </c>
      <c r="J71" s="62">
        <f ca="1"/>
        <v>50.3</v>
      </c>
    </row>
    <row r="72" spans="9:10" x14ac:dyDescent="0.3">
      <c r="I72" s="155">
        <f ca="1"/>
        <v>45897</v>
      </c>
      <c r="J72" s="62">
        <f ca="1"/>
        <v>50.12</v>
      </c>
    </row>
    <row r="73" spans="9:10" x14ac:dyDescent="0.3">
      <c r="I73" s="155">
        <f ca="1"/>
        <v>45898</v>
      </c>
      <c r="J73" s="62">
        <f ca="1"/>
        <v>50.957999999999998</v>
      </c>
    </row>
    <row r="74" spans="9:10" x14ac:dyDescent="0.3">
      <c r="I74" s="155">
        <f ca="1"/>
        <v>45902</v>
      </c>
      <c r="J74" s="62">
        <f ca="1"/>
        <v>51.023000000000003</v>
      </c>
    </row>
    <row r="75" spans="9:10" x14ac:dyDescent="0.3">
      <c r="I75" s="155">
        <f ca="1"/>
        <v>45903</v>
      </c>
      <c r="J75" s="62">
        <f ca="1"/>
        <v>50.9</v>
      </c>
    </row>
    <row r="76" spans="9:10" x14ac:dyDescent="0.3">
      <c r="I76" s="155">
        <f ca="1"/>
        <v>45904</v>
      </c>
      <c r="J76" s="62">
        <f ca="1"/>
        <v>49.542000000000002</v>
      </c>
    </row>
    <row r="77" spans="9:10" x14ac:dyDescent="0.3">
      <c r="I77" s="155">
        <f ca="1"/>
        <v>45905</v>
      </c>
      <c r="J77" s="62">
        <f ca="1"/>
        <v>49.9</v>
      </c>
    </row>
    <row r="78" spans="9:10" x14ac:dyDescent="0.3">
      <c r="I78" s="155">
        <f ca="1"/>
        <v>45908</v>
      </c>
      <c r="J78" s="62">
        <f ca="1"/>
        <v>49.997</v>
      </c>
    </row>
    <row r="79" spans="9:10" x14ac:dyDescent="0.3">
      <c r="I79" s="155">
        <f ca="1"/>
        <v>45909</v>
      </c>
      <c r="J79" s="62">
        <f ca="1"/>
        <v>49.539000000000001</v>
      </c>
    </row>
    <row r="80" spans="9:10" x14ac:dyDescent="0.3">
      <c r="I80" s="155">
        <f ca="1"/>
        <v>45910</v>
      </c>
      <c r="J80" s="62">
        <f ca="1"/>
        <v>48.988</v>
      </c>
    </row>
    <row r="81" spans="9:10" x14ac:dyDescent="0.3">
      <c r="I81" s="155">
        <f ca="1"/>
        <v>45911</v>
      </c>
      <c r="J81" s="62">
        <f ca="1"/>
        <v>47.709000000000003</v>
      </c>
    </row>
    <row r="82" spans="9:10" x14ac:dyDescent="0.3">
      <c r="I82" s="155">
        <f ca="1"/>
        <v>45912</v>
      </c>
      <c r="J82" s="62">
        <f ca="1"/>
        <v>47.848999999999997</v>
      </c>
    </row>
    <row r="83" spans="9:10" x14ac:dyDescent="0.3">
      <c r="I83" s="155">
        <f ca="1"/>
        <v>45915</v>
      </c>
      <c r="J83" s="62">
        <f ca="1"/>
        <v>46.994</v>
      </c>
    </row>
    <row r="84" spans="9:10" x14ac:dyDescent="0.3">
      <c r="I84" s="155">
        <f ca="1"/>
        <v>45916</v>
      </c>
      <c r="J84" s="62">
        <f ca="1"/>
        <v>47.453000000000003</v>
      </c>
    </row>
    <row r="85" spans="9:10" x14ac:dyDescent="0.3">
      <c r="I85" s="155">
        <f ca="1"/>
        <v>45917</v>
      </c>
      <c r="J85" s="62">
        <f ca="1"/>
        <v>47.76</v>
      </c>
    </row>
    <row r="86" spans="9:10" x14ac:dyDescent="0.3">
      <c r="I86" s="155">
        <f ca="1"/>
        <v>45918</v>
      </c>
      <c r="J86" s="62">
        <f ca="1"/>
        <v>46.95</v>
      </c>
    </row>
    <row r="87" spans="9:10" x14ac:dyDescent="0.3">
      <c r="I87" s="155">
        <f ca="1"/>
        <v>45919</v>
      </c>
      <c r="J87" s="62">
        <f ca="1"/>
        <v>47.262</v>
      </c>
    </row>
    <row r="88" spans="9:10" x14ac:dyDescent="0.3">
      <c r="I88" s="155">
        <f ca="1"/>
        <v>45922</v>
      </c>
      <c r="J88" s="62">
        <f ca="1"/>
        <v>51.720999999999997</v>
      </c>
    </row>
    <row r="89" spans="9:10" x14ac:dyDescent="0.3">
      <c r="I89" s="155">
        <f ca="1"/>
        <v>45923</v>
      </c>
      <c r="J89" s="62">
        <f ca="1"/>
        <v>52.152000000000001</v>
      </c>
    </row>
    <row r="90" spans="9:10" x14ac:dyDescent="0.3">
      <c r="I90" s="155">
        <f ca="1"/>
        <v>45924</v>
      </c>
      <c r="J90" s="62">
        <f ca="1"/>
        <v>52.631</v>
      </c>
    </row>
    <row r="91" spans="9:10" x14ac:dyDescent="0.3">
      <c r="I91" s="155">
        <f ca="1"/>
        <v>45925</v>
      </c>
      <c r="J91" s="62">
        <f ca="1"/>
        <v>53.494999999999997</v>
      </c>
    </row>
    <row r="92" spans="9:10" x14ac:dyDescent="0.3">
      <c r="I92" s="155">
        <f ca="1"/>
        <v>45926</v>
      </c>
      <c r="J92" s="62">
        <f ca="1"/>
        <v>52.826000000000001</v>
      </c>
    </row>
    <row r="93" spans="9:10" x14ac:dyDescent="0.3">
      <c r="I93" s="155">
        <f ca="1"/>
        <v>45929</v>
      </c>
      <c r="J93" s="62">
        <f ca="1"/>
        <v>52.215000000000003</v>
      </c>
    </row>
    <row r="94" spans="9:10" x14ac:dyDescent="0.3">
      <c r="I94" s="155">
        <f ca="1"/>
        <v>45930</v>
      </c>
      <c r="J94" s="62">
        <f ca="1"/>
        <v>52.07</v>
      </c>
    </row>
    <row r="95" spans="9:10" x14ac:dyDescent="0.3">
      <c r="I95" s="155">
        <f ca="1"/>
        <v>45931</v>
      </c>
      <c r="J95" s="62">
        <f ca="1"/>
        <v>52.097999999999999</v>
      </c>
    </row>
    <row r="96" spans="9:10" x14ac:dyDescent="0.3">
      <c r="I96" s="155">
        <f ca="1"/>
        <v>45932</v>
      </c>
      <c r="J96" s="62">
        <f ca="1"/>
        <v>51.646000000000001</v>
      </c>
    </row>
    <row r="97" spans="9:10" x14ac:dyDescent="0.3">
      <c r="I97" s="155">
        <f ca="1"/>
        <v>45933</v>
      </c>
      <c r="J97" s="62">
        <f ca="1"/>
        <v>51.488999999999997</v>
      </c>
    </row>
    <row r="98" spans="9:10" x14ac:dyDescent="0.3">
      <c r="I98" s="155">
        <f ca="1"/>
        <v>45936</v>
      </c>
      <c r="J98" s="62">
        <f ca="1"/>
        <v>50.904000000000003</v>
      </c>
    </row>
    <row r="99" spans="9:10" x14ac:dyDescent="0.3">
      <c r="I99" s="155">
        <f ca="1"/>
        <v>45937</v>
      </c>
      <c r="J99" s="62">
        <f ca="1"/>
        <v>51.424999999999997</v>
      </c>
    </row>
    <row r="100" spans="9:10" x14ac:dyDescent="0.3">
      <c r="I100" s="155">
        <f ca="1"/>
        <v>45938</v>
      </c>
      <c r="J100" s="62">
        <f ca="1"/>
        <v>51.866</v>
      </c>
    </row>
    <row r="101" spans="9:10" x14ac:dyDescent="0.3">
      <c r="I101" s="155">
        <f ca="1"/>
        <v>45939</v>
      </c>
      <c r="J101" s="62">
        <f ca="1"/>
        <v>52.597000000000001</v>
      </c>
    </row>
    <row r="102" spans="9:10" x14ac:dyDescent="0.3">
      <c r="I102" s="155">
        <f ca="1"/>
        <v>45940</v>
      </c>
      <c r="J102" s="62">
        <f ca="1"/>
        <v>56.701999999999998</v>
      </c>
    </row>
    <row r="103" spans="9:10" x14ac:dyDescent="0.3">
      <c r="I103" s="155">
        <f ca="1"/>
        <v>45944</v>
      </c>
      <c r="J103" s="62">
        <f ca="1"/>
        <v>53.369</v>
      </c>
    </row>
    <row r="104" spans="9:10" x14ac:dyDescent="0.3">
      <c r="I104" s="155">
        <f ca="1"/>
        <v>45945</v>
      </c>
      <c r="J104" s="62">
        <f ca="1"/>
        <v>52.787999999999997</v>
      </c>
    </row>
    <row r="105" spans="9:10" x14ac:dyDescent="0.3">
      <c r="I105" s="155">
        <f ca="1"/>
        <v>45946</v>
      </c>
      <c r="J105" s="62">
        <f ca="1"/>
        <v>54.866</v>
      </c>
    </row>
    <row r="106" spans="9:10" x14ac:dyDescent="0.3">
      <c r="I106" s="155">
        <f ca="1"/>
        <v>45947</v>
      </c>
      <c r="J106" s="62">
        <f ca="1"/>
        <v>54.037999999999997</v>
      </c>
    </row>
  </sheetData>
  <mergeCells count="2">
    <mergeCell ref="B12:D12"/>
    <mergeCell ref="E12:F12"/>
  </mergeCells>
  <conditionalFormatting sqref="G13:G38">
    <cfRule type="cellIs" dxfId="3" priority="1" operator="lessThan">
      <formula>0</formula>
    </cfRule>
  </conditionalFormatting>
  <pageMargins left="0.7" right="0.7" top="0.75" bottom="0.75" header="0.3" footer="0.3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968D35-C59F-4B3A-ADCD-D19D4324915C}">
  <dimension ref="A1:CG139"/>
  <sheetViews>
    <sheetView tabSelected="1" topLeftCell="BD1" zoomScale="90" zoomScaleNormal="90" workbookViewId="0">
      <selection activeCell="CE20" sqref="CE1:CE1048576"/>
    </sheetView>
  </sheetViews>
  <sheetFormatPr defaultColWidth="8.88671875" defaultRowHeight="14.4" x14ac:dyDescent="0.3"/>
  <cols>
    <col min="1" max="1" width="15.44140625" style="54" bestFit="1" customWidth="1"/>
    <col min="2" max="2" width="16.88671875" style="54" customWidth="1"/>
    <col min="3" max="5" width="16.88671875" style="54" hidden="1" customWidth="1"/>
    <col min="6" max="6" width="10.5546875" style="54" hidden="1" customWidth="1"/>
    <col min="7" max="7" width="11.5546875" style="54" hidden="1" customWidth="1"/>
    <col min="8" max="8" width="0" style="54" hidden="1" customWidth="1"/>
    <col min="9" max="9" width="12.44140625" style="54" hidden="1" customWidth="1"/>
    <col min="10" max="10" width="13.33203125" style="54" hidden="1" customWidth="1"/>
    <col min="11" max="12" width="11.5546875" style="54" hidden="1" customWidth="1"/>
    <col min="13" max="13" width="13.33203125" style="54" hidden="1" customWidth="1"/>
    <col min="14" max="14" width="13" style="54" bestFit="1" customWidth="1"/>
    <col min="15" max="16" width="13" style="54" hidden="1" customWidth="1"/>
    <col min="17" max="17" width="13" style="54" customWidth="1"/>
    <col min="18" max="18" width="11.21875" bestFit="1" customWidth="1"/>
    <col min="19" max="19" width="11.21875" customWidth="1"/>
    <col min="20" max="20" width="0" hidden="1" customWidth="1"/>
    <col min="21" max="21" width="10.5546875" style="75" hidden="1" customWidth="1"/>
    <col min="22" max="22" width="6" style="54" hidden="1" customWidth="1"/>
    <col min="23" max="23" width="10.5546875" style="75" hidden="1" customWidth="1"/>
    <col min="24" max="24" width="8.88671875" style="54" hidden="1" customWidth="1"/>
    <col min="25" max="25" width="15.77734375" style="125" hidden="1" customWidth="1"/>
    <col min="26" max="26" width="8.88671875" style="54" hidden="1" customWidth="1"/>
    <col min="27" max="27" width="10.5546875" style="75" hidden="1" customWidth="1"/>
    <col min="28" max="30" width="8.88671875" style="54" hidden="1" customWidth="1"/>
    <col min="31" max="31" width="8.88671875" style="54"/>
    <col min="32" max="32" width="15.44140625" style="133" bestFit="1" customWidth="1"/>
    <col min="33" max="33" width="13.33203125" style="54" bestFit="1" customWidth="1"/>
    <col min="34" max="36" width="13.33203125" style="54" hidden="1" customWidth="1"/>
    <col min="37" max="37" width="12.44140625" style="54" hidden="1" customWidth="1"/>
    <col min="38" max="38" width="13.33203125" style="54" hidden="1" customWidth="1"/>
    <col min="39" max="39" width="10.6640625" style="54" hidden="1" customWidth="1"/>
    <col min="40" max="40" width="13.33203125" style="54" hidden="1" customWidth="1"/>
    <col min="41" max="41" width="11.5546875" style="54" hidden="1" customWidth="1"/>
    <col min="42" max="42" width="10.6640625" style="54" hidden="1" customWidth="1"/>
    <col min="43" max="43" width="11.5546875" style="54" hidden="1" customWidth="1"/>
    <col min="44" max="47" width="10.6640625" style="54" hidden="1" customWidth="1"/>
    <col min="48" max="48" width="13.88671875" style="54" hidden="1" customWidth="1"/>
    <col min="49" max="49" width="11.5546875" style="54" hidden="1" customWidth="1"/>
    <col min="50" max="50" width="13.33203125" style="54" hidden="1" customWidth="1"/>
    <col min="51" max="51" width="13.33203125" style="54" bestFit="1" customWidth="1"/>
    <col min="52" max="53" width="13.33203125" style="54" hidden="1" customWidth="1"/>
    <col min="54" max="55" width="13.33203125" style="54" customWidth="1"/>
    <col min="57" max="57" width="17.109375" style="75" hidden="1" customWidth="1"/>
    <col min="58" max="58" width="7.77734375" style="54" hidden="1" customWidth="1"/>
    <col min="59" max="59" width="11.5546875" style="75" hidden="1" customWidth="1"/>
    <col min="60" max="60" width="13.33203125" style="54" hidden="1" customWidth="1"/>
    <col min="61" max="61" width="11.5546875" style="75" hidden="1" customWidth="1"/>
    <col min="62" max="62" width="0" style="54" hidden="1" customWidth="1"/>
    <col min="63" max="63" width="11.5546875" style="75" hidden="1" customWidth="1"/>
    <col min="64" max="64" width="13.33203125" style="54" hidden="1" customWidth="1"/>
    <col min="65" max="65" width="11.5546875" style="75" hidden="1" customWidth="1"/>
    <col min="66" max="66" width="12.21875" style="54" hidden="1" customWidth="1"/>
    <col min="67" max="67" width="11.5546875" style="75" hidden="1" customWidth="1"/>
    <col min="68" max="68" width="12.21875" style="54" hidden="1" customWidth="1"/>
    <col min="69" max="69" width="8.88671875" style="54"/>
    <col min="70" max="70" width="11.88671875" style="161" bestFit="1" customWidth="1"/>
    <col min="71" max="71" width="11.6640625" style="58" hidden="1" customWidth="1"/>
    <col min="72" max="72" width="11.109375" style="58" hidden="1" customWidth="1"/>
    <col min="73" max="73" width="15.6640625" style="58" hidden="1" customWidth="1"/>
    <col min="74" max="74" width="14.6640625" style="58" hidden="1" customWidth="1"/>
    <col min="75" max="75" width="16.33203125" style="58" bestFit="1" customWidth="1"/>
    <col min="76" max="76" width="15.5546875" style="58" bestFit="1" customWidth="1"/>
    <col min="77" max="77" width="9.33203125" style="54" bestFit="1" customWidth="1"/>
    <col min="78" max="78" width="16.5546875" style="54" bestFit="1" customWidth="1"/>
    <col min="79" max="79" width="15.6640625" style="54" bestFit="1" customWidth="1"/>
    <col min="80" max="82" width="8.88671875" style="54"/>
    <col min="83" max="83" width="11.6640625" style="133" bestFit="1" customWidth="1"/>
    <col min="84" max="16384" width="8.88671875" style="54"/>
  </cols>
  <sheetData>
    <row r="1" spans="1:85" ht="15" thickBot="1" x14ac:dyDescent="0.35">
      <c r="A1" s="1"/>
      <c r="B1" s="1"/>
      <c r="C1" s="1"/>
      <c r="D1" s="1"/>
      <c r="E1" s="1"/>
      <c r="G1" s="75"/>
      <c r="H1" s="1"/>
      <c r="I1" s="53"/>
      <c r="J1" s="1"/>
      <c r="K1" s="53"/>
      <c r="L1" s="1"/>
      <c r="M1" s="53"/>
      <c r="U1" s="53"/>
      <c r="V1" s="1"/>
      <c r="W1" s="53"/>
      <c r="X1" s="1"/>
      <c r="Y1" s="122"/>
      <c r="Z1" s="1"/>
      <c r="AA1" s="53"/>
      <c r="AF1" s="1"/>
      <c r="AG1" s="1"/>
      <c r="AH1" s="1"/>
      <c r="AI1" s="1"/>
      <c r="AJ1" s="1"/>
      <c r="AK1" s="1"/>
      <c r="AL1" s="1"/>
      <c r="AN1" s="119" t="s">
        <v>100</v>
      </c>
      <c r="AO1" s="120">
        <v>0</v>
      </c>
      <c r="BE1" s="53"/>
      <c r="BF1" s="1"/>
      <c r="BG1" s="53"/>
      <c r="BH1" s="1"/>
      <c r="BI1" s="53"/>
      <c r="BJ1" s="1"/>
      <c r="BK1" s="53"/>
      <c r="BL1" s="1"/>
      <c r="BM1" s="53"/>
      <c r="BN1" s="1"/>
      <c r="BO1" s="53"/>
    </row>
    <row r="2" spans="1:85" ht="15" thickBot="1" x14ac:dyDescent="0.35">
      <c r="A2" s="30"/>
      <c r="B2" s="40" t="s">
        <v>0</v>
      </c>
      <c r="C2" s="44" t="s">
        <v>1</v>
      </c>
      <c r="D2" s="71" t="s">
        <v>1</v>
      </c>
      <c r="E2" s="72" t="s">
        <v>0</v>
      </c>
      <c r="G2" s="75"/>
      <c r="H2" s="127" t="s">
        <v>101</v>
      </c>
      <c r="I2" s="128">
        <v>0</v>
      </c>
      <c r="J2" s="1"/>
      <c r="K2" s="53"/>
      <c r="L2" s="1"/>
      <c r="M2" s="53"/>
      <c r="U2" s="102" t="s">
        <v>0</v>
      </c>
      <c r="V2" s="1"/>
      <c r="W2" s="103" t="s">
        <v>1</v>
      </c>
      <c r="X2" s="2"/>
      <c r="Y2" s="123" t="s">
        <v>1</v>
      </c>
      <c r="Z2" s="1"/>
      <c r="AA2" s="101" t="s">
        <v>0</v>
      </c>
      <c r="AF2" s="30"/>
      <c r="AG2" s="40" t="s">
        <v>0</v>
      </c>
      <c r="AH2" s="44" t="s">
        <v>1</v>
      </c>
      <c r="AI2" s="71" t="s">
        <v>1</v>
      </c>
      <c r="AJ2" s="77" t="s">
        <v>0</v>
      </c>
      <c r="AK2" s="71" t="s">
        <v>0</v>
      </c>
      <c r="AL2" s="72" t="s">
        <v>0</v>
      </c>
      <c r="BE2" s="102" t="s">
        <v>0</v>
      </c>
      <c r="BF2" s="1"/>
      <c r="BG2" s="103" t="s">
        <v>1</v>
      </c>
      <c r="BH2" s="2"/>
      <c r="BI2" s="104" t="s">
        <v>1</v>
      </c>
      <c r="BJ2" s="1"/>
      <c r="BK2" s="105" t="s">
        <v>0</v>
      </c>
      <c r="BM2" s="106" t="s">
        <v>0</v>
      </c>
      <c r="BO2" s="101" t="s">
        <v>0</v>
      </c>
    </row>
    <row r="3" spans="1:85" ht="15" thickBot="1" x14ac:dyDescent="0.35">
      <c r="A3" s="15" t="s">
        <v>32</v>
      </c>
      <c r="B3" s="64" t="s">
        <v>56</v>
      </c>
      <c r="C3" s="73" t="s">
        <v>57</v>
      </c>
      <c r="D3" s="73" t="s">
        <v>58</v>
      </c>
      <c r="E3" s="65" t="s">
        <v>59</v>
      </c>
      <c r="G3" s="164" t="s">
        <v>108</v>
      </c>
      <c r="H3" s="1"/>
      <c r="I3" s="53"/>
      <c r="J3" s="1"/>
      <c r="K3" s="53"/>
      <c r="L3" s="1"/>
      <c r="M3" s="53"/>
      <c r="U3" s="52" cm="1">
        <f t="array" ref="U3:V136">_xll.BDH(B4, "LAST_PRICE", "01/01/2025 15:00:00", "01/01/2035 16:00:00", "BarSize=60", "BarType=T", "RecurDaily=True", "TZ=London")</f>
        <v>45751.625</v>
      </c>
      <c r="V3" s="1">
        <v>90.08</v>
      </c>
      <c r="W3" s="52" cm="1">
        <f t="array" ref="W3:X139">_xll.BDH(C4, "LAST_PRICE", "01/01/2025 15:00:00", "01/01/2035 16:00:00", "BarSize=60", "BarType=T", "RecurDaily=True", "TZ=London")</f>
        <v>45751.625</v>
      </c>
      <c r="X3" s="46">
        <v>101.578</v>
      </c>
      <c r="Y3" s="124" cm="1">
        <f t="array" ref="Y3:Z128">_xll.BDH(D4, "LAST_PRICE", "01/01/2025 15:00:00", "01/01/2035 16:00:00", "BarSize=60", "BarType=T", "RecurDaily=True", "TZ=London")</f>
        <v>45751.625</v>
      </c>
      <c r="Z3" s="1">
        <v>119.31</v>
      </c>
      <c r="AA3" s="52" cm="1">
        <f t="array" ref="AA3:AB75">_xll.BDH(E4, "LAST_PRICE", "01/01/2025 15:00:00", "01/01/2035 16:00:00", "BarSize=60", "BarType=T", "RecurDaily=True", "TZ=London")</f>
        <v>45846.625</v>
      </c>
      <c r="AB3" s="54">
        <v>99.76</v>
      </c>
      <c r="AF3" s="15" t="s">
        <v>32</v>
      </c>
      <c r="AG3" s="64" t="s">
        <v>64</v>
      </c>
      <c r="AH3" s="73" t="s">
        <v>66</v>
      </c>
      <c r="AI3" s="73" t="s">
        <v>67</v>
      </c>
      <c r="AJ3" s="73" t="s">
        <v>66</v>
      </c>
      <c r="AK3" s="73" t="s">
        <v>68</v>
      </c>
      <c r="AL3" s="65" t="s">
        <v>69</v>
      </c>
      <c r="AN3" s="94" t="s">
        <v>80</v>
      </c>
      <c r="AO3" s="86" t="s">
        <v>64</v>
      </c>
      <c r="AP3" s="87" t="s">
        <v>67</v>
      </c>
      <c r="BE3" s="52" cm="1">
        <f t="array" ref="BE3:BF137">_xll.BDH(AG4, "LAST_PRICE", "01/01/2025 15:00:00", "01/01/2035 16:00:00", "BarSize=60", "BarType=T", "RecurDaily=True", "TZ=New_York")</f>
        <v>45751.625</v>
      </c>
      <c r="BF3" s="1">
        <v>76.8</v>
      </c>
      <c r="BG3" s="52" cm="1">
        <f t="array" ref="BG3:BH39">_xll.BDH(AH4, "LAST_PRICE", "01/01/2025 15:00:00", "01/01/2035 16:00:00", "BarSize=60", "BarType=T", "RecurDaily=True", "TZ=New_York")</f>
        <v>45896.625</v>
      </c>
      <c r="BH3" s="46">
        <v>99.6484375</v>
      </c>
      <c r="BI3" s="52" cm="1">
        <f t="array" ref="BI3:BJ137">_xll.BDH(AI4, "LAST_PRICE", "01/01/2025 15:00:00", "01/01/2035 16:00:00", "BarSize=60", "BarType=T", "RecurDaily=True", "TZ=New_York")</f>
        <v>45751.625</v>
      </c>
      <c r="BJ3" s="1">
        <v>108.78</v>
      </c>
      <c r="BK3" s="52" cm="1">
        <f t="array" ref="BK3:BL39">_xll.BDH(AJ4, "LAST_PRICE", "01/01/2025 15:00:00", "01/01/2035 16:00:00", "BarSize=60", "BarType=T", "RecurDaily=True", "TZ=New_York")</f>
        <v>45896.625</v>
      </c>
      <c r="BL3" s="54">
        <v>99.6484375</v>
      </c>
      <c r="BM3" s="52" cm="1">
        <f t="array" ref="BM3:BN54">_xll.BDH(AK4, "LAST_PRICE", "01/01/2025 15:00:00", "01/01/2035 16:00:00", "BarSize=60", "BarType=T", "RecurDaily=True", "TZ=New_York")</f>
        <v>45875.625</v>
      </c>
      <c r="BN3" s="54">
        <v>100.140625</v>
      </c>
      <c r="BO3" s="52" cm="1">
        <f t="array" ref="BO3:BP53">_xll.BDH(AL4, "LAST_PRICE", "01/01/2025 15:00:00", "01/01/2035 16:00:00", "BarSize=60", "BarType=T", "RecurDaily=True", "TZ=New_York")</f>
        <v>45876.625</v>
      </c>
      <c r="BP3" s="54">
        <v>98.9375</v>
      </c>
    </row>
    <row r="4" spans="1:85" ht="32.25" customHeight="1" thickBot="1" x14ac:dyDescent="0.35">
      <c r="A4" s="15" t="s">
        <v>33</v>
      </c>
      <c r="B4" s="66" t="s">
        <v>60</v>
      </c>
      <c r="C4" s="41" t="s">
        <v>62</v>
      </c>
      <c r="D4" s="41" t="s">
        <v>61</v>
      </c>
      <c r="E4" s="42" t="s">
        <v>63</v>
      </c>
      <c r="G4" s="166" t="s">
        <v>56</v>
      </c>
      <c r="H4" s="167" t="s">
        <v>58</v>
      </c>
      <c r="I4" s="53"/>
      <c r="J4" s="1"/>
      <c r="K4" s="53"/>
      <c r="L4" s="1"/>
      <c r="M4" s="53"/>
      <c r="U4" s="75">
        <v>45754.625</v>
      </c>
      <c r="V4" s="54">
        <v>89.41</v>
      </c>
      <c r="W4" s="75">
        <v>45754.625</v>
      </c>
      <c r="X4" s="54">
        <v>101.506</v>
      </c>
      <c r="Y4" s="125">
        <v>45754.625</v>
      </c>
      <c r="Z4" s="54">
        <v>118.7</v>
      </c>
      <c r="AA4" s="75">
        <v>45847.625</v>
      </c>
      <c r="AB4" s="54">
        <v>99.84</v>
      </c>
      <c r="AF4" s="15" t="s">
        <v>33</v>
      </c>
      <c r="AG4" s="66" t="s">
        <v>65</v>
      </c>
      <c r="AH4" s="41" t="s">
        <v>73</v>
      </c>
      <c r="AI4" s="41" t="s">
        <v>70</v>
      </c>
      <c r="AJ4" s="41" t="s">
        <v>73</v>
      </c>
      <c r="AK4" s="41" t="s">
        <v>72</v>
      </c>
      <c r="AL4" s="42" t="s">
        <v>71</v>
      </c>
      <c r="AN4" s="88"/>
      <c r="AO4" s="89">
        <f>AG5/AG14</f>
        <v>432258.86130665679</v>
      </c>
      <c r="AP4" s="90">
        <f>AI5/AM14</f>
        <v>327183.49541034264</v>
      </c>
      <c r="BE4" s="75">
        <v>45754.625</v>
      </c>
      <c r="BF4" s="54">
        <v>76.099999999999994</v>
      </c>
      <c r="BG4" s="75">
        <v>45897.625</v>
      </c>
      <c r="BH4" s="54">
        <v>99.6953125</v>
      </c>
      <c r="BI4" s="75">
        <v>45754.625</v>
      </c>
      <c r="BJ4" s="54">
        <v>106.66</v>
      </c>
      <c r="BK4" s="75">
        <v>45897.625</v>
      </c>
      <c r="BL4" s="54">
        <v>99.6953125</v>
      </c>
      <c r="BM4" s="75">
        <v>45876.625</v>
      </c>
      <c r="BN4" s="54">
        <v>100.0625</v>
      </c>
      <c r="BO4" s="75">
        <v>45877.625</v>
      </c>
      <c r="BP4" s="54">
        <v>98.4375</v>
      </c>
    </row>
    <row r="5" spans="1:85" ht="15" thickBot="1" x14ac:dyDescent="0.35">
      <c r="A5" s="15" t="s">
        <v>8</v>
      </c>
      <c r="B5" s="67">
        <f>25*10^6</f>
        <v>25000000</v>
      </c>
      <c r="C5" s="7">
        <f>20*10^6</f>
        <v>20000000</v>
      </c>
      <c r="D5" s="7">
        <f>43*10^6</f>
        <v>43000000</v>
      </c>
      <c r="E5" s="8">
        <f>41*10^6</f>
        <v>41000000</v>
      </c>
      <c r="G5" s="165">
        <f>ROUND(B5/B14,0)</f>
        <v>266241</v>
      </c>
      <c r="H5" s="22">
        <f>ROUND(D5/H14,0)</f>
        <v>352748</v>
      </c>
      <c r="I5" s="1"/>
      <c r="J5" s="1"/>
      <c r="K5" s="1"/>
      <c r="L5" s="1"/>
      <c r="M5" s="1"/>
      <c r="U5" s="75">
        <v>45755.625</v>
      </c>
      <c r="V5" s="54">
        <v>90.07</v>
      </c>
      <c r="W5" s="75">
        <v>45755.625</v>
      </c>
      <c r="X5" s="54">
        <v>101.324</v>
      </c>
      <c r="Y5" s="125">
        <v>45755.625</v>
      </c>
      <c r="Z5" s="54">
        <v>119.1</v>
      </c>
      <c r="AA5" s="75">
        <v>45848.625</v>
      </c>
      <c r="AB5" s="54">
        <v>99.671999999999997</v>
      </c>
      <c r="AF5" s="15" t="s">
        <v>8</v>
      </c>
      <c r="AG5" s="67">
        <f>35*10^6</f>
        <v>35000000</v>
      </c>
      <c r="AH5" s="7">
        <f>19.5*10^6</f>
        <v>19500000</v>
      </c>
      <c r="AI5" s="7">
        <f>36*10^6</f>
        <v>36000000</v>
      </c>
      <c r="AJ5" s="7">
        <f>17*10^6</f>
        <v>17000000</v>
      </c>
      <c r="AK5" s="7">
        <f>7.5*10^6</f>
        <v>7500000</v>
      </c>
      <c r="AL5" s="8">
        <f>10.5*10^6</f>
        <v>10500000</v>
      </c>
      <c r="AN5" s="53"/>
      <c r="AO5" s="1"/>
      <c r="AP5" s="53"/>
      <c r="BE5" s="75">
        <v>45755.625</v>
      </c>
      <c r="BF5" s="54">
        <v>75.75</v>
      </c>
      <c r="BG5" s="75">
        <v>45898.625</v>
      </c>
      <c r="BH5" s="54">
        <v>99.703125</v>
      </c>
      <c r="BI5" s="75">
        <v>45755.625</v>
      </c>
      <c r="BJ5" s="54">
        <v>105.31</v>
      </c>
      <c r="BK5" s="75">
        <v>45898.625</v>
      </c>
      <c r="BL5" s="54">
        <v>99.703125</v>
      </c>
      <c r="BM5" s="75">
        <v>45877.625</v>
      </c>
      <c r="BN5" s="54">
        <v>99.734375</v>
      </c>
      <c r="BO5" s="75">
        <v>45880.625</v>
      </c>
      <c r="BP5" s="54">
        <v>98.53125</v>
      </c>
    </row>
    <row r="6" spans="1:85" x14ac:dyDescent="0.3">
      <c r="A6" s="15" t="s">
        <v>10</v>
      </c>
      <c r="B6" s="69">
        <v>0</v>
      </c>
      <c r="C6" s="74">
        <v>2.4E-2</v>
      </c>
      <c r="D6" s="74">
        <v>0</v>
      </c>
      <c r="E6" s="10">
        <v>2.1999999999999999E-2</v>
      </c>
      <c r="G6" s="1"/>
      <c r="H6" s="1"/>
      <c r="I6" s="1"/>
      <c r="J6" s="1"/>
      <c r="K6" s="1"/>
      <c r="L6" s="1"/>
      <c r="M6" s="1"/>
      <c r="U6" s="75">
        <v>45756.625</v>
      </c>
      <c r="V6" s="54">
        <v>89.53</v>
      </c>
      <c r="W6" s="75">
        <v>45756.625</v>
      </c>
      <c r="X6" s="54">
        <v>101.774</v>
      </c>
      <c r="Y6" s="125">
        <v>45756.625</v>
      </c>
      <c r="Z6" s="54">
        <v>118.82</v>
      </c>
      <c r="AA6" s="75">
        <v>45849.625</v>
      </c>
      <c r="AB6" s="54">
        <v>99.567999999999998</v>
      </c>
      <c r="AF6" s="15" t="s">
        <v>10</v>
      </c>
      <c r="AG6" s="69">
        <v>0</v>
      </c>
      <c r="AH6" s="74">
        <f>(3+5/8)*0.01</f>
        <v>3.6249999999999998E-2</v>
      </c>
      <c r="AI6" s="74">
        <v>0</v>
      </c>
      <c r="AJ6" s="74">
        <f>(3+5/8)*0.01</f>
        <v>3.6249999999999998E-2</v>
      </c>
      <c r="AK6" s="74">
        <v>4.2500000000000003E-2</v>
      </c>
      <c r="AL6" s="10">
        <v>4.7500000000000001E-2</v>
      </c>
      <c r="BE6" s="75">
        <v>45756.625</v>
      </c>
      <c r="BF6" s="54">
        <v>77.78</v>
      </c>
      <c r="BG6" s="75">
        <v>45901.625</v>
      </c>
      <c r="BH6" s="54">
        <v>99.6796875</v>
      </c>
      <c r="BI6" s="75">
        <v>45756.625</v>
      </c>
      <c r="BJ6" s="54">
        <v>107.07</v>
      </c>
      <c r="BK6" s="75">
        <v>45901.625</v>
      </c>
      <c r="BL6" s="54">
        <v>99.6796875</v>
      </c>
      <c r="BM6" s="75">
        <v>45880.625</v>
      </c>
      <c r="BN6" s="54">
        <v>99.8125</v>
      </c>
      <c r="BO6" s="75">
        <v>45881.625</v>
      </c>
      <c r="BP6" s="54">
        <v>98</v>
      </c>
    </row>
    <row r="7" spans="1:85" x14ac:dyDescent="0.3">
      <c r="A7" s="15" t="s">
        <v>12</v>
      </c>
      <c r="B7" s="69">
        <v>4.2299999999999997E-2</v>
      </c>
      <c r="C7" s="74">
        <v>4.2299999999999997E-2</v>
      </c>
      <c r="D7" s="74">
        <v>4.2299999999999997E-2</v>
      </c>
      <c r="E7" s="10">
        <v>4.2299999999999997E-2</v>
      </c>
      <c r="G7" s="53"/>
      <c r="H7" s="1"/>
      <c r="I7" s="53"/>
      <c r="J7" s="1"/>
      <c r="K7" s="53"/>
      <c r="L7" s="1"/>
      <c r="M7" s="53"/>
      <c r="N7" s="1"/>
      <c r="O7" s="1"/>
      <c r="P7" s="1"/>
      <c r="Q7" s="1"/>
      <c r="U7" s="75">
        <v>45757.625</v>
      </c>
      <c r="V7" s="54">
        <v>90.4</v>
      </c>
      <c r="W7" s="75">
        <v>45757.625</v>
      </c>
      <c r="X7" s="54">
        <v>101.46299999999999</v>
      </c>
      <c r="Y7" s="125">
        <v>45757.625</v>
      </c>
      <c r="Z7" s="54">
        <v>119.32</v>
      </c>
      <c r="AA7" s="75">
        <v>45852.625</v>
      </c>
      <c r="AB7" s="54">
        <v>99.611999999999995</v>
      </c>
      <c r="AF7" s="15" t="s">
        <v>12</v>
      </c>
      <c r="AG7" s="69">
        <v>4.2299999999999997E-2</v>
      </c>
      <c r="AH7" s="74">
        <v>4.2299999999999997E-2</v>
      </c>
      <c r="AI7" s="74">
        <v>4.2299999999999997E-2</v>
      </c>
      <c r="AJ7" s="74">
        <v>4.2299999999999997E-2</v>
      </c>
      <c r="AK7" s="74">
        <v>4.2299999999999997E-2</v>
      </c>
      <c r="AL7" s="10">
        <v>4.2299999999999997E-2</v>
      </c>
      <c r="AQ7" s="1"/>
      <c r="AU7" s="1"/>
      <c r="AY7" s="1"/>
      <c r="AZ7" s="1"/>
      <c r="BA7" s="1"/>
      <c r="BB7" s="1"/>
      <c r="BC7" s="1"/>
      <c r="BE7" s="75">
        <v>45757.625</v>
      </c>
      <c r="BF7" s="54">
        <v>76.510000000000005</v>
      </c>
      <c r="BG7" s="75">
        <v>45902.625</v>
      </c>
      <c r="BH7" s="54">
        <v>99.53125</v>
      </c>
      <c r="BI7" s="75">
        <v>45757.625</v>
      </c>
      <c r="BJ7" s="54">
        <v>105.25</v>
      </c>
      <c r="BK7" s="75">
        <v>45902.625</v>
      </c>
      <c r="BL7" s="54">
        <v>99.53125</v>
      </c>
      <c r="BM7" s="75">
        <v>45881.625</v>
      </c>
      <c r="BN7" s="54">
        <v>99.6875</v>
      </c>
      <c r="BO7" s="75">
        <v>45882.625</v>
      </c>
      <c r="BP7" s="54">
        <v>98.796875</v>
      </c>
    </row>
    <row r="8" spans="1:85" x14ac:dyDescent="0.3">
      <c r="A8" s="15" t="s">
        <v>14</v>
      </c>
      <c r="B8" s="4" t="s">
        <v>23</v>
      </c>
      <c r="C8" s="1" t="s">
        <v>23</v>
      </c>
      <c r="D8" s="1" t="s">
        <v>23</v>
      </c>
      <c r="E8" s="5" t="s">
        <v>23</v>
      </c>
      <c r="G8" s="1"/>
      <c r="H8" s="1"/>
      <c r="I8" s="1"/>
      <c r="J8" s="1"/>
      <c r="K8" s="1"/>
      <c r="L8" s="1"/>
      <c r="M8" s="1"/>
      <c r="N8" s="1"/>
      <c r="O8" s="1"/>
      <c r="P8" s="1"/>
      <c r="Q8" s="1"/>
      <c r="U8" s="75">
        <v>45758.625</v>
      </c>
      <c r="V8" s="54">
        <v>89.87</v>
      </c>
      <c r="W8" s="75">
        <v>45758.625</v>
      </c>
      <c r="X8" s="54">
        <v>101.64700000000001</v>
      </c>
      <c r="Y8" s="125">
        <v>45758.625</v>
      </c>
      <c r="Z8" s="54">
        <v>119.4</v>
      </c>
      <c r="AA8" s="75">
        <v>45853.625</v>
      </c>
      <c r="AB8" s="54">
        <v>99.713999999999999</v>
      </c>
      <c r="AF8" s="15" t="s">
        <v>14</v>
      </c>
      <c r="AG8" s="4" t="s">
        <v>23</v>
      </c>
      <c r="AH8" s="1" t="s">
        <v>23</v>
      </c>
      <c r="AI8" s="1" t="s">
        <v>23</v>
      </c>
      <c r="AJ8" s="1" t="s">
        <v>23</v>
      </c>
      <c r="AK8" s="1" t="s">
        <v>23</v>
      </c>
      <c r="AL8" s="5" t="s">
        <v>23</v>
      </c>
      <c r="AQ8" s="1"/>
      <c r="AU8" s="1"/>
      <c r="AY8" s="1"/>
      <c r="AZ8" s="1"/>
      <c r="BA8" s="1"/>
      <c r="BB8" s="1"/>
      <c r="BC8" s="1"/>
      <c r="BE8" s="75">
        <v>45758.625</v>
      </c>
      <c r="BF8" s="54">
        <v>76.739999999999995</v>
      </c>
      <c r="BG8" s="75">
        <v>45903.625</v>
      </c>
      <c r="BH8" s="54">
        <v>99.6796875</v>
      </c>
      <c r="BI8" s="75">
        <v>45758.625</v>
      </c>
      <c r="BJ8" s="54">
        <v>105.23</v>
      </c>
      <c r="BK8" s="75">
        <v>45903.625</v>
      </c>
      <c r="BL8" s="54">
        <v>99.6796875</v>
      </c>
      <c r="BM8" s="75">
        <v>45882.625</v>
      </c>
      <c r="BN8" s="54">
        <v>100.125</v>
      </c>
      <c r="BO8" s="75">
        <v>45883.625</v>
      </c>
      <c r="BP8" s="54">
        <v>98.03125</v>
      </c>
    </row>
    <row r="9" spans="1:85" x14ac:dyDescent="0.3">
      <c r="A9" s="15" t="s">
        <v>15</v>
      </c>
      <c r="B9" s="4" t="s">
        <v>23</v>
      </c>
      <c r="C9" s="1" t="s">
        <v>23</v>
      </c>
      <c r="D9" s="1"/>
      <c r="E9" s="5" t="s">
        <v>23</v>
      </c>
      <c r="G9" s="1"/>
      <c r="H9" s="1"/>
      <c r="I9" s="1"/>
      <c r="J9" s="1"/>
      <c r="K9" s="1"/>
      <c r="L9" s="1"/>
      <c r="M9" s="1"/>
      <c r="N9" s="1"/>
      <c r="O9" s="1"/>
      <c r="P9" s="1"/>
      <c r="Q9" s="1"/>
      <c r="U9" s="75">
        <v>45761.625</v>
      </c>
      <c r="V9" s="54">
        <v>90.77</v>
      </c>
      <c r="W9" s="75">
        <v>45761.625</v>
      </c>
      <c r="X9" s="54">
        <v>101.59</v>
      </c>
      <c r="Y9" s="125">
        <v>45761.625</v>
      </c>
      <c r="Z9" s="54">
        <v>119.64</v>
      </c>
      <c r="AA9" s="75">
        <v>45854.625</v>
      </c>
      <c r="AB9" s="54">
        <v>99.841999999999999</v>
      </c>
      <c r="AF9" s="15" t="s">
        <v>15</v>
      </c>
      <c r="AG9" s="4" t="s">
        <v>23</v>
      </c>
      <c r="AH9" s="1" t="s">
        <v>23</v>
      </c>
      <c r="AI9" s="1"/>
      <c r="AJ9" s="1"/>
      <c r="AK9" s="1"/>
      <c r="AL9" s="5" t="s">
        <v>23</v>
      </c>
      <c r="AQ9" s="1"/>
      <c r="AU9" s="1"/>
      <c r="AV9" s="53"/>
      <c r="AW9" s="1"/>
      <c r="AX9" s="53"/>
      <c r="AY9" s="1"/>
      <c r="AZ9" s="1"/>
      <c r="BA9" s="1"/>
      <c r="BB9" s="1"/>
      <c r="BC9" s="1"/>
      <c r="BE9" s="75">
        <v>45761.625</v>
      </c>
      <c r="BF9" s="54">
        <v>77.12</v>
      </c>
      <c r="BG9" s="75">
        <v>45904.625</v>
      </c>
      <c r="BH9" s="54">
        <v>99.9140625</v>
      </c>
      <c r="BI9" s="75">
        <v>45761.625</v>
      </c>
      <c r="BJ9" s="54">
        <v>105.89</v>
      </c>
      <c r="BK9" s="75">
        <v>45904.625</v>
      </c>
      <c r="BL9" s="54">
        <v>99.9140625</v>
      </c>
      <c r="BM9" s="75">
        <v>45883.625</v>
      </c>
      <c r="BN9" s="54">
        <v>99.703125</v>
      </c>
      <c r="BO9" s="75">
        <v>45884.625</v>
      </c>
      <c r="BP9" s="54">
        <v>97.375</v>
      </c>
    </row>
    <row r="10" spans="1:85" ht="15" thickBot="1" x14ac:dyDescent="0.35">
      <c r="A10" s="16" t="s">
        <v>28</v>
      </c>
      <c r="B10" s="11" cm="1">
        <f t="array" ref="B10">_xll.BDP(B4,"px_last")</f>
        <v>92.17</v>
      </c>
      <c r="C10" s="21" cm="1">
        <f t="array" ref="C10">_xll.BDP(C4,"px_last")</f>
        <v>101.262</v>
      </c>
      <c r="D10" s="21" cm="1">
        <f t="array" ref="D10">_xll.BDP(D4,"px_last")</f>
        <v>121.59</v>
      </c>
      <c r="E10" s="22" cm="1">
        <f t="array" ref="E10">_xll.BDP(E4,"px_last")</f>
        <v>100.194</v>
      </c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U10" s="75">
        <v>45762.625</v>
      </c>
      <c r="V10" s="54">
        <v>91.01</v>
      </c>
      <c r="W10" s="75">
        <v>45762.625</v>
      </c>
      <c r="X10" s="54">
        <v>101.6</v>
      </c>
      <c r="Y10" s="125">
        <v>45762.625</v>
      </c>
      <c r="Z10" s="54">
        <v>119.88</v>
      </c>
      <c r="AA10" s="75">
        <v>45855.625</v>
      </c>
      <c r="AB10" s="54">
        <v>99.9</v>
      </c>
      <c r="AF10" s="16" t="s">
        <v>28</v>
      </c>
      <c r="AG10" s="11" cm="1">
        <f t="array" ref="AG10">_xll.BDP(AG4,"px_last")</f>
        <v>80.510000000000005</v>
      </c>
      <c r="AH10" s="21" cm="1">
        <f t="array" ref="AH10">_xll.BDP(AH4,"px_last")</f>
        <v>100.2578125</v>
      </c>
      <c r="AI10" s="21" cm="1">
        <f t="array" ref="AI10">_xll.BDP(AI4,"px_last")</f>
        <v>112.42</v>
      </c>
      <c r="AJ10" s="21" cm="1">
        <f t="array" ref="AJ10">_xll.BDP(AJ4,"px_last")</f>
        <v>100.2578125</v>
      </c>
      <c r="AK10" s="21" cm="1">
        <f t="array" ref="AK10">_xll.BDP(AK4,"px_last")</f>
        <v>102.078125</v>
      </c>
      <c r="AL10" s="22" cm="1">
        <f t="array" ref="AL10">_xll.BDP(AL4,"px_last")</f>
        <v>102.4375</v>
      </c>
      <c r="AM10" s="1"/>
      <c r="AN10" s="53"/>
      <c r="AO10" s="1"/>
      <c r="AP10" s="53"/>
      <c r="AQ10" s="1"/>
      <c r="AR10" s="53"/>
      <c r="AS10" s="1"/>
      <c r="AT10" s="53"/>
      <c r="AU10" s="1"/>
      <c r="AV10" s="53"/>
      <c r="AW10" s="1"/>
      <c r="AX10" s="53"/>
      <c r="AY10" s="1"/>
      <c r="AZ10" s="1"/>
      <c r="BA10" s="1"/>
      <c r="BB10" s="1"/>
      <c r="BC10" s="1"/>
      <c r="BE10" s="75">
        <v>45762.625</v>
      </c>
      <c r="BF10" s="54">
        <v>77.33</v>
      </c>
      <c r="BG10" s="75">
        <v>45905.625</v>
      </c>
      <c r="BH10" s="54">
        <v>100.1328125</v>
      </c>
      <c r="BI10" s="75">
        <v>45762.625</v>
      </c>
      <c r="BJ10" s="54">
        <v>106.45</v>
      </c>
      <c r="BK10" s="75">
        <v>45905.625</v>
      </c>
      <c r="BL10" s="54">
        <v>100.1328125</v>
      </c>
      <c r="BM10" s="75">
        <v>45884.625</v>
      </c>
      <c r="BN10" s="54">
        <v>99.4375</v>
      </c>
      <c r="BO10" s="75">
        <v>45887.625</v>
      </c>
      <c r="BP10" s="54">
        <v>97.078125</v>
      </c>
      <c r="BW10" s="169" t="s">
        <v>116</v>
      </c>
      <c r="BX10" s="58">
        <f>_xlfn.STDEV.P(BS13:BS49)</f>
        <v>89871.764980712222</v>
      </c>
      <c r="BY10" s="58">
        <f>_xlfn.STDEV.P(BT13:BT49)</f>
        <v>95551.626628972663</v>
      </c>
    </row>
    <row r="11" spans="1:85" ht="15" thickBot="1" x14ac:dyDescent="0.35"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U11" s="75">
        <v>45763.625</v>
      </c>
      <c r="V11" s="54">
        <v>91.18</v>
      </c>
      <c r="W11" s="75">
        <v>45763.625</v>
      </c>
      <c r="X11" s="54">
        <v>101.705</v>
      </c>
      <c r="Y11" s="125">
        <v>45763.625</v>
      </c>
      <c r="Z11" s="54">
        <v>120.07</v>
      </c>
      <c r="AA11" s="75">
        <v>45856.625</v>
      </c>
      <c r="AB11" s="54">
        <v>99.805999999999997</v>
      </c>
      <c r="AF11" s="54"/>
      <c r="AH11" s="1"/>
      <c r="AI11" s="1"/>
      <c r="AJ11" s="1"/>
      <c r="AK11" s="1"/>
      <c r="AL11" s="1"/>
      <c r="AM11" s="1"/>
      <c r="AN11" s="53"/>
      <c r="AO11" s="1"/>
      <c r="AP11" s="53"/>
      <c r="AQ11" s="1"/>
      <c r="AR11" s="53"/>
      <c r="AS11" s="1"/>
      <c r="AT11" s="53"/>
      <c r="AU11" s="1"/>
      <c r="AV11" s="53"/>
      <c r="AW11" s="1"/>
      <c r="AX11" s="53"/>
      <c r="AY11" s="1"/>
      <c r="AZ11" s="1"/>
      <c r="BA11" s="1"/>
      <c r="BB11" s="1"/>
      <c r="BC11" s="1"/>
      <c r="BE11" s="75">
        <v>45763.625</v>
      </c>
      <c r="BF11" s="54">
        <v>77.319999999999993</v>
      </c>
      <c r="BG11" s="75">
        <v>45908.625</v>
      </c>
      <c r="BH11" s="54">
        <v>100.265625</v>
      </c>
      <c r="BI11" s="75">
        <v>45763.625</v>
      </c>
      <c r="BJ11" s="54">
        <v>106.9</v>
      </c>
      <c r="BK11" s="75">
        <v>45908.625</v>
      </c>
      <c r="BL11" s="54">
        <v>100.265625</v>
      </c>
      <c r="BM11" s="75">
        <v>45887.625</v>
      </c>
      <c r="BN11" s="54">
        <v>99.3125</v>
      </c>
      <c r="BO11" s="75">
        <v>45888.625</v>
      </c>
      <c r="BP11" s="54">
        <v>97.640625</v>
      </c>
      <c r="BW11" s="169" t="s">
        <v>117</v>
      </c>
      <c r="BX11" s="169">
        <v>1</v>
      </c>
      <c r="BY11" s="169">
        <f>BX10/BY10</f>
        <v>0.94055714330939266</v>
      </c>
    </row>
    <row r="12" spans="1:85" ht="15" thickBot="1" x14ac:dyDescent="0.35">
      <c r="A12" s="39" t="s">
        <v>22</v>
      </c>
      <c r="B12" s="135" t="s">
        <v>0</v>
      </c>
      <c r="C12" s="136"/>
      <c r="D12" s="136"/>
      <c r="E12" s="141" t="s">
        <v>1</v>
      </c>
      <c r="F12" s="142"/>
      <c r="G12" s="143"/>
      <c r="H12" s="138" t="s">
        <v>1</v>
      </c>
      <c r="I12" s="139"/>
      <c r="J12" s="140"/>
      <c r="K12" s="144" t="s">
        <v>0</v>
      </c>
      <c r="L12" s="145"/>
      <c r="M12" s="146"/>
      <c r="N12" s="39" t="s">
        <v>111</v>
      </c>
      <c r="O12" s="39" t="s">
        <v>109</v>
      </c>
      <c r="P12" s="39" t="s">
        <v>110</v>
      </c>
      <c r="Q12" s="39" t="s">
        <v>107</v>
      </c>
      <c r="R12" s="39" t="s">
        <v>16</v>
      </c>
      <c r="S12" s="163"/>
      <c r="U12" s="75">
        <v>45764.625</v>
      </c>
      <c r="V12" s="54">
        <v>91.48</v>
      </c>
      <c r="W12" s="75">
        <v>45764.625</v>
      </c>
      <c r="X12" s="54">
        <v>101.895</v>
      </c>
      <c r="Y12" s="125">
        <v>45764.625</v>
      </c>
      <c r="Z12" s="54">
        <v>120.5</v>
      </c>
      <c r="AA12" s="75">
        <v>45859.625</v>
      </c>
      <c r="AB12" s="54">
        <v>100.142</v>
      </c>
      <c r="AF12" s="39" t="s">
        <v>22</v>
      </c>
      <c r="AG12" s="135" t="s">
        <v>0</v>
      </c>
      <c r="AH12" s="136"/>
      <c r="AI12" s="136"/>
      <c r="AJ12" s="141" t="s">
        <v>1</v>
      </c>
      <c r="AK12" s="142"/>
      <c r="AL12" s="143"/>
      <c r="AM12" s="138" t="s">
        <v>1</v>
      </c>
      <c r="AN12" s="149"/>
      <c r="AO12" s="140"/>
      <c r="AP12" s="150" t="s">
        <v>0</v>
      </c>
      <c r="AQ12" s="151"/>
      <c r="AR12" s="152"/>
      <c r="AS12" s="138" t="s">
        <v>0</v>
      </c>
      <c r="AT12" s="149"/>
      <c r="AU12" s="140"/>
      <c r="AV12" s="147" t="s">
        <v>0</v>
      </c>
      <c r="AW12" s="145"/>
      <c r="AX12" s="148"/>
      <c r="AY12" s="39" t="s">
        <v>16</v>
      </c>
      <c r="AZ12" s="39" t="s">
        <v>64</v>
      </c>
      <c r="BA12" s="39" t="s">
        <v>67</v>
      </c>
      <c r="BB12" s="39" t="s">
        <v>107</v>
      </c>
      <c r="BC12" s="39" t="s">
        <v>16</v>
      </c>
      <c r="BE12" s="75">
        <v>45764.625</v>
      </c>
      <c r="BF12" s="54">
        <v>77.77</v>
      </c>
      <c r="BG12" s="75">
        <v>45909.625</v>
      </c>
      <c r="BH12" s="54">
        <v>100.09375</v>
      </c>
      <c r="BI12" s="75">
        <v>45764.625</v>
      </c>
      <c r="BJ12" s="54">
        <v>106.75</v>
      </c>
      <c r="BK12" s="75">
        <v>45909.625</v>
      </c>
      <c r="BL12" s="54">
        <v>100.09375</v>
      </c>
      <c r="BM12" s="75">
        <v>45888.625</v>
      </c>
      <c r="BN12" s="54">
        <v>99.59375</v>
      </c>
      <c r="BO12" s="75">
        <v>45889.625</v>
      </c>
      <c r="BP12" s="54">
        <v>97.796875</v>
      </c>
      <c r="BR12" s="168" t="s">
        <v>22</v>
      </c>
      <c r="BS12" s="169" t="s">
        <v>112</v>
      </c>
      <c r="BT12" s="169" t="s">
        <v>113</v>
      </c>
      <c r="BU12" s="169" t="s">
        <v>114</v>
      </c>
      <c r="BV12" s="169" t="s">
        <v>115</v>
      </c>
      <c r="BW12" s="58" t="s">
        <v>118</v>
      </c>
      <c r="BX12" s="58" t="s">
        <v>119</v>
      </c>
      <c r="BZ12" s="54" t="s">
        <v>120</v>
      </c>
      <c r="CA12" s="54" t="s">
        <v>121</v>
      </c>
      <c r="CE12" s="133" t="s">
        <v>22</v>
      </c>
      <c r="CF12" s="54" t="s">
        <v>120</v>
      </c>
      <c r="CG12" s="54" t="s">
        <v>121</v>
      </c>
    </row>
    <row r="13" spans="1:85" ht="15" thickBot="1" x14ac:dyDescent="0.35">
      <c r="A13" s="16"/>
      <c r="B13" s="11" t="s">
        <v>17</v>
      </c>
      <c r="C13" s="21" t="s">
        <v>21</v>
      </c>
      <c r="D13" s="22" t="s">
        <v>20</v>
      </c>
      <c r="E13" s="11" t="s">
        <v>17</v>
      </c>
      <c r="F13" s="21" t="s">
        <v>21</v>
      </c>
      <c r="G13" s="22" t="s">
        <v>20</v>
      </c>
      <c r="H13" s="11" t="s">
        <v>17</v>
      </c>
      <c r="I13" s="21" t="s">
        <v>21</v>
      </c>
      <c r="J13" s="22" t="s">
        <v>20</v>
      </c>
      <c r="K13" s="11" t="s">
        <v>17</v>
      </c>
      <c r="L13" s="21" t="s">
        <v>21</v>
      </c>
      <c r="M13" s="22" t="s">
        <v>20</v>
      </c>
      <c r="N13" s="99"/>
      <c r="O13" s="99"/>
      <c r="P13" s="99"/>
      <c r="Q13" s="99"/>
      <c r="R13" s="99"/>
      <c r="S13" s="162"/>
      <c r="U13" s="75">
        <v>45769.625</v>
      </c>
      <c r="V13" s="54">
        <v>91.4</v>
      </c>
      <c r="W13" s="75">
        <v>45769.625</v>
      </c>
      <c r="X13" s="54">
        <v>101.94</v>
      </c>
      <c r="Y13" s="125">
        <v>45769.625</v>
      </c>
      <c r="Z13" s="54">
        <v>120.54</v>
      </c>
      <c r="AA13" s="75">
        <v>45860.625</v>
      </c>
      <c r="AB13" s="54">
        <v>100.247</v>
      </c>
      <c r="AF13" s="16"/>
      <c r="AG13" s="11" t="s">
        <v>17</v>
      </c>
      <c r="AH13" s="21" t="s">
        <v>21</v>
      </c>
      <c r="AI13" s="21" t="s">
        <v>20</v>
      </c>
      <c r="AJ13" s="11" t="s">
        <v>17</v>
      </c>
      <c r="AK13" s="21" t="s">
        <v>21</v>
      </c>
      <c r="AL13" s="22" t="s">
        <v>20</v>
      </c>
      <c r="AM13" s="11" t="s">
        <v>17</v>
      </c>
      <c r="AN13" s="78" t="s">
        <v>21</v>
      </c>
      <c r="AO13" s="22" t="s">
        <v>20</v>
      </c>
      <c r="AP13" s="79" t="s">
        <v>17</v>
      </c>
      <c r="AQ13" s="21" t="s">
        <v>21</v>
      </c>
      <c r="AR13" s="80" t="s">
        <v>20</v>
      </c>
      <c r="AS13" s="11" t="s">
        <v>17</v>
      </c>
      <c r="AT13" s="78" t="s">
        <v>21</v>
      </c>
      <c r="AU13" s="22" t="s">
        <v>20</v>
      </c>
      <c r="AV13" s="79" t="s">
        <v>17</v>
      </c>
      <c r="AW13" s="21" t="s">
        <v>21</v>
      </c>
      <c r="AX13" s="80" t="s">
        <v>20</v>
      </c>
      <c r="AY13" s="99"/>
      <c r="AZ13" s="99"/>
      <c r="BA13" s="99"/>
      <c r="BB13" s="99"/>
      <c r="BC13" s="99"/>
      <c r="BE13" s="75">
        <v>45768.625</v>
      </c>
      <c r="BF13" s="54">
        <v>77.31</v>
      </c>
      <c r="BG13" s="75">
        <v>45910.625</v>
      </c>
      <c r="BH13" s="54">
        <v>100.1640625</v>
      </c>
      <c r="BI13" s="75">
        <v>45768.625</v>
      </c>
      <c r="BJ13" s="54">
        <v>105.6</v>
      </c>
      <c r="BK13" s="75">
        <v>45910.625</v>
      </c>
      <c r="BL13" s="54">
        <v>100.1640625</v>
      </c>
      <c r="BM13" s="75">
        <v>45889.625</v>
      </c>
      <c r="BN13" s="54">
        <v>99.71875</v>
      </c>
      <c r="BO13" s="75">
        <v>45890.625</v>
      </c>
      <c r="BP13" s="54">
        <v>97.328125</v>
      </c>
      <c r="BR13" s="161">
        <f>VLOOKUP(AF14,$A$14:$A$86,1)</f>
        <v>45896.625</v>
      </c>
      <c r="BS13" s="58">
        <f>VLOOKUP(BR13,A14:R86,18)</f>
        <v>140849.48499550507</v>
      </c>
      <c r="BT13" s="58">
        <f>VLOOKUP(BR13,AF14:BC50,24)</f>
        <v>0</v>
      </c>
      <c r="BW13" s="58">
        <f>$BX$11*BU13</f>
        <v>0</v>
      </c>
      <c r="BX13" s="58">
        <f>$BY$11*BV13</f>
        <v>0</v>
      </c>
      <c r="BZ13" s="58">
        <f>SUM($BW$13:BW13)</f>
        <v>0</v>
      </c>
      <c r="CA13" s="58">
        <f>SUM($BW$13:BX13)</f>
        <v>0</v>
      </c>
      <c r="CE13" s="133">
        <v>45896.625</v>
      </c>
      <c r="CF13" s="54">
        <v>0</v>
      </c>
      <c r="CG13" s="54">
        <v>0</v>
      </c>
    </row>
    <row r="14" spans="1:85" x14ac:dyDescent="0.3">
      <c r="A14" s="158">
        <v>45846.625</v>
      </c>
      <c r="B14" s="76">
        <f>VLOOKUP($A14+$I$2,U$3:V$500,2)</f>
        <v>93.9</v>
      </c>
      <c r="C14" s="46"/>
      <c r="D14" s="47"/>
      <c r="E14" s="76">
        <f>VLOOKUP($A14+$I$2,W$3:X$500,2)</f>
        <v>101.241</v>
      </c>
      <c r="F14" s="1"/>
      <c r="G14" s="5"/>
      <c r="H14" s="76">
        <f>VLOOKUP($A14+$I$2,Y$3:Z$500,2)</f>
        <v>121.9</v>
      </c>
      <c r="I14" s="1"/>
      <c r="J14" s="5"/>
      <c r="K14" s="76">
        <f>VLOOKUP($A14+$I$2,AA$3:AB$500,2)</f>
        <v>99.76</v>
      </c>
      <c r="L14" s="1"/>
      <c r="M14" s="5"/>
      <c r="N14" s="82">
        <v>0</v>
      </c>
      <c r="O14" s="82"/>
      <c r="P14" s="82"/>
      <c r="Q14" s="82">
        <f>$G$5*SUM($O$14:O14)-$H$5*SUM($P$14:P14)</f>
        <v>0</v>
      </c>
      <c r="R14" s="82">
        <f>N14+Q14</f>
        <v>0</v>
      </c>
      <c r="S14" s="162"/>
      <c r="U14" s="75">
        <v>45770.625</v>
      </c>
      <c r="V14" s="54">
        <v>92.29</v>
      </c>
      <c r="W14" s="75">
        <v>45770.625</v>
      </c>
      <c r="X14" s="54">
        <v>101.694</v>
      </c>
      <c r="Y14" s="125">
        <v>45770.625</v>
      </c>
      <c r="Z14" s="54">
        <v>120.5</v>
      </c>
      <c r="AA14" s="75">
        <v>45861.625</v>
      </c>
      <c r="AB14" s="54">
        <v>100.22499999999999</v>
      </c>
      <c r="AF14" s="131">
        <v>45896.625</v>
      </c>
      <c r="AG14" s="45">
        <f>VLOOKUP($AF14+$J$1,BE:BF,2)</f>
        <v>80.97</v>
      </c>
      <c r="AH14" s="46"/>
      <c r="AI14" s="46"/>
      <c r="AJ14" s="45">
        <f>VLOOKUP($AF14+$J$1,BG:BH,2)</f>
        <v>99.6484375</v>
      </c>
      <c r="AK14" s="46"/>
      <c r="AL14" s="47"/>
      <c r="AM14" s="45">
        <f>VLOOKUP($AF14+$J$1,BI:BJ,2)</f>
        <v>110.03</v>
      </c>
      <c r="AN14" s="46"/>
      <c r="AO14" s="47"/>
      <c r="AP14" s="45">
        <f>VLOOKUP($AF14+$J$1,BK:BL,2)</f>
        <v>99.6484375</v>
      </c>
      <c r="AQ14" s="46"/>
      <c r="AR14" s="47"/>
      <c r="AS14" s="45">
        <f>VLOOKUP($AF14+$J$1,BM:BN,2)</f>
        <v>100.125</v>
      </c>
      <c r="AT14" s="46"/>
      <c r="AU14" s="47"/>
      <c r="AV14" s="45">
        <f>VLOOKUP($AF14+$J$1,BO:BP,2)</f>
        <v>97.453125</v>
      </c>
      <c r="AW14" s="46"/>
      <c r="AX14" s="47"/>
      <c r="AY14" s="82">
        <v>0</v>
      </c>
      <c r="AZ14" s="82"/>
      <c r="BA14" s="82"/>
      <c r="BB14" s="82">
        <f>$AO$4*SUM($AZ$14:AZ14)-$AP$4*SUM($BA$14:BA14)</f>
        <v>0</v>
      </c>
      <c r="BC14" s="82">
        <f>AY14-BB14</f>
        <v>0</v>
      </c>
      <c r="BE14" s="75">
        <v>45769.625</v>
      </c>
      <c r="BF14" s="54">
        <v>77.61</v>
      </c>
      <c r="BG14" s="75">
        <v>45911.625</v>
      </c>
      <c r="BH14" s="54">
        <v>100.1640625</v>
      </c>
      <c r="BI14" s="75">
        <v>45769.625</v>
      </c>
      <c r="BJ14" s="54">
        <v>105.86</v>
      </c>
      <c r="BK14" s="75">
        <v>45911.625</v>
      </c>
      <c r="BL14" s="54">
        <v>100.1640625</v>
      </c>
      <c r="BM14" s="75">
        <v>45890.625</v>
      </c>
      <c r="BN14" s="54">
        <v>99.390625</v>
      </c>
      <c r="BO14" s="75">
        <v>45891.625</v>
      </c>
      <c r="BP14" s="54">
        <v>97.953125</v>
      </c>
      <c r="BR14" s="161">
        <f t="shared" ref="BR14:BR49" si="0">VLOOKUP(AF15,$A$14:$A$86,1)</f>
        <v>45897.625</v>
      </c>
      <c r="BS14" s="58">
        <f t="shared" ref="BS14:BS49" si="1">VLOOKUP(BR14,A15:R87,18)</f>
        <v>109511.05092858453</v>
      </c>
      <c r="BT14" s="58">
        <f t="shared" ref="BT14:BT49" si="2">VLOOKUP(BR14,AF15:BC51,24)</f>
        <v>45216.920247701892</v>
      </c>
      <c r="BU14" s="58">
        <f>BS14-BS13</f>
        <v>-31338.434066920541</v>
      </c>
      <c r="BV14" s="58">
        <f>BT14-BT13</f>
        <v>45216.920247701892</v>
      </c>
      <c r="BW14" s="58">
        <f>$BX$11*BU14</f>
        <v>-31338.434066920541</v>
      </c>
      <c r="BX14" s="58">
        <f>$BY$11*BV14</f>
        <v>42529.097337427127</v>
      </c>
      <c r="BZ14" s="58">
        <f>SUM($BW$13:BW14)</f>
        <v>-31338.434066920541</v>
      </c>
      <c r="CA14" s="58">
        <f>SUM($BW$13:BX14)</f>
        <v>11190.663270506586</v>
      </c>
      <c r="CE14" s="133">
        <v>45897.625</v>
      </c>
      <c r="CF14" s="54">
        <v>-31338.434066920541</v>
      </c>
      <c r="CG14" s="54">
        <v>11190.663270506586</v>
      </c>
    </row>
    <row r="15" spans="1:85" x14ac:dyDescent="0.3">
      <c r="A15" s="158">
        <v>45847.625</v>
      </c>
      <c r="B15" s="76">
        <f>VLOOKUP($A15+$I$2,U$3:V$500,2)</f>
        <v>94.17</v>
      </c>
      <c r="C15" s="31">
        <f t="shared" ref="C15:C21" si="3">(B15/$B$14-1)*$B$5</f>
        <v>71884.984025555314</v>
      </c>
      <c r="D15" s="32">
        <f t="shared" ref="D15:D21" si="4">-1*(A15-$A$14)/360*$B$7*$B$5</f>
        <v>-2937.5</v>
      </c>
      <c r="E15" s="76">
        <f>VLOOKUP($A15+$I$2,W$3:X$500,2)</f>
        <v>101.289</v>
      </c>
      <c r="F15" s="31">
        <f t="shared" ref="F15:F21" si="5">(E15-$E$14)/100*$C$5</f>
        <v>9600.0000000003638</v>
      </c>
      <c r="G15" s="32">
        <f t="shared" ref="G15:G21" si="6">(A15-$A$14)/360*$C$6*$C$5-(A15-$A$14)/360*$C$7*$C$5*$E$14/100</f>
        <v>-1045.8301666666666</v>
      </c>
      <c r="H15" s="76">
        <f>VLOOKUP($A15+$I$2,Y$3:Z$500,2)</f>
        <v>122</v>
      </c>
      <c r="I15" s="31">
        <f t="shared" ref="I15:I21" si="7">(H15/$H$14-1)*$D$5</f>
        <v>35274.815422478678</v>
      </c>
      <c r="J15" s="32">
        <f t="shared" ref="J15:J21" si="8">-1*(A15-$A$14)/360*$D$7*$D$5</f>
        <v>-5052.5</v>
      </c>
      <c r="K15" s="76">
        <f>VLOOKUP($A15+$I$2,AA$3:AB$500,2)</f>
        <v>99.84</v>
      </c>
      <c r="L15" s="31">
        <f t="shared" ref="L15:L21" si="9">(K15-$K$14)/100*$E$5</f>
        <v>32799.999999999302</v>
      </c>
      <c r="M15" s="32">
        <f t="shared" ref="M15:M21" si="10">(A15-$A$14)/360*$E$6*$E$5-(A15-$A$14)/360*$E$7*$E$5*$K$14/100</f>
        <v>-2300.3824444444449</v>
      </c>
      <c r="N15" s="82">
        <f t="shared" ref="N15:N21" si="11">C15+D15-F15-G15-I15-J15+L15+M15</f>
        <v>60670.616325297793</v>
      </c>
      <c r="O15" s="82"/>
      <c r="P15" s="82"/>
      <c r="Q15" s="82">
        <f>$G$5*SUM($O$14:O15)-$H$5*SUM($P$14:P15)</f>
        <v>0</v>
      </c>
      <c r="R15" s="82">
        <f t="shared" ref="R15:R78" si="12">N15+Q15</f>
        <v>60670.616325297793</v>
      </c>
      <c r="S15" s="162"/>
      <c r="U15" s="75">
        <v>45771.625</v>
      </c>
      <c r="V15" s="54">
        <v>92.32</v>
      </c>
      <c r="W15" s="75">
        <v>45771.625</v>
      </c>
      <c r="X15" s="54">
        <v>101.90300000000001</v>
      </c>
      <c r="Y15" s="125">
        <v>45771.625</v>
      </c>
      <c r="Z15" s="54">
        <v>120.87</v>
      </c>
      <c r="AA15" s="75">
        <v>45862.625</v>
      </c>
      <c r="AB15" s="54">
        <v>99.679000000000002</v>
      </c>
      <c r="AF15" s="131">
        <v>45897.625</v>
      </c>
      <c r="AG15" s="45">
        <f>VLOOKUP($AF15+$J$1,BE:BF,2)</f>
        <v>81.010000000000005</v>
      </c>
      <c r="AH15" s="46">
        <f>(AG15/$AG$14-1)*$AG$5</f>
        <v>17290.354452270672</v>
      </c>
      <c r="AI15" s="46">
        <f>-1*(AF15-$AF$14)/360*$AG$5*$AG$7</f>
        <v>-4112.5</v>
      </c>
      <c r="AJ15" s="45">
        <f>VLOOKUP($AF15+$J$1,BG:BH,2)</f>
        <v>99.6953125</v>
      </c>
      <c r="AK15" s="46">
        <f>(AJ15-$AJ$14)/100*$AH$5</f>
        <v>9140.625</v>
      </c>
      <c r="AL15" s="47">
        <f>(AF15-$AF$14)/360*$AH$5*$AH$6-(AF15-$AF$14)/360*$AH$5*$AH$7*$AJ$14/100</f>
        <v>-319.65315755208326</v>
      </c>
      <c r="AM15" s="45">
        <f>VLOOKUP($AF15+$J$1,BI:BJ,2)</f>
        <v>110.2</v>
      </c>
      <c r="AN15" s="46">
        <f>(AM15/$AM$14-1)*$AI$5</f>
        <v>55621.194219759753</v>
      </c>
      <c r="AO15" s="47">
        <f>-1*(AF15-$AF$14)/360*$AI$5*$AI$7</f>
        <v>-4230</v>
      </c>
      <c r="AP15" s="45">
        <f>VLOOKUP($AF15+$J$1,BK:BL,2)</f>
        <v>99.6953125</v>
      </c>
      <c r="AQ15" s="46">
        <f>(AP15-$AP$14)/100*$AJ$5</f>
        <v>7968.75</v>
      </c>
      <c r="AR15" s="47">
        <f>(AF15-$AF$14)/360*$AJ$5*$AJ$6-(AF15-$AF$14)/360*$AJ$5*$AJ$7*$AP$14/100</f>
        <v>-278.67198350694434</v>
      </c>
      <c r="AS15" s="45">
        <f>VLOOKUP($AF15+$J$1,BM:BN,2)</f>
        <v>100.375</v>
      </c>
      <c r="AT15" s="46">
        <f>(AS15-$AS$14)/100*$AK$5</f>
        <v>18750</v>
      </c>
      <c r="AU15" s="47">
        <f>(AF15-$AF$14)/360*$AK$5*$AK$6-(AF15-$AF$14)/360*$AK$5*$AK$7*$AS$14/100</f>
        <v>3.0651041666668561</v>
      </c>
      <c r="AV15" s="45">
        <f>VLOOKUP($AF15+$J$1,BO:BP,2)</f>
        <v>98.078125</v>
      </c>
      <c r="AW15" s="46">
        <f>(AV15-$AV$14)/100*$AL$5</f>
        <v>65625</v>
      </c>
      <c r="AX15" s="47">
        <f>(AF15-$AF$14)/360*$AL$5*$AL$6-(AF15-$AF$14)/360*$AL$5*$AL$7*$AV$14/100</f>
        <v>183.0887369791667</v>
      </c>
      <c r="AY15" s="82">
        <f>AH15+AI15-AK15-AL15-AN15-AO15+AQ15+AR15+AT15+AU15+AW15+AX15</f>
        <v>45216.920247701892</v>
      </c>
      <c r="AZ15" s="82"/>
      <c r="BA15" s="82"/>
      <c r="BB15" s="82">
        <f>$AO$4*SUM($AZ$14:AZ15)-$AP$4*SUM($BA$14:BA15)</f>
        <v>0</v>
      </c>
      <c r="BC15" s="82">
        <f t="shared" ref="BC15:BC50" si="13">AY15-BB15</f>
        <v>45216.920247701892</v>
      </c>
      <c r="BE15" s="75">
        <v>45770.625</v>
      </c>
      <c r="BF15" s="54">
        <v>78</v>
      </c>
      <c r="BG15" s="75">
        <v>45912.625</v>
      </c>
      <c r="BH15" s="54">
        <v>99.9921875</v>
      </c>
      <c r="BI15" s="75">
        <v>45770.625</v>
      </c>
      <c r="BJ15" s="54">
        <v>106.33</v>
      </c>
      <c r="BK15" s="75">
        <v>45912.625</v>
      </c>
      <c r="BL15" s="54">
        <v>99.9921875</v>
      </c>
      <c r="BM15" s="75">
        <v>45891.625</v>
      </c>
      <c r="BN15" s="54">
        <v>99.953125</v>
      </c>
      <c r="BO15" s="75">
        <v>45894.625</v>
      </c>
      <c r="BP15" s="54">
        <v>97.71875</v>
      </c>
      <c r="BR15" s="161">
        <f t="shared" si="0"/>
        <v>45898.625</v>
      </c>
      <c r="BS15" s="58">
        <f t="shared" si="1"/>
        <v>123023.9432775483</v>
      </c>
      <c r="BT15" s="58">
        <f t="shared" si="2"/>
        <v>12757.181868719301</v>
      </c>
      <c r="BU15" s="58">
        <f t="shared" ref="BU15:BU49" si="14">BS15-BS14</f>
        <v>13512.892348963767</v>
      </c>
      <c r="BV15" s="58">
        <f t="shared" ref="BV15:BV49" si="15">BT15-BT14</f>
        <v>-32459.738378982591</v>
      </c>
      <c r="BW15" s="58">
        <f>$BX$11*BU15</f>
        <v>13512.892348963767</v>
      </c>
      <c r="BX15" s="58">
        <f>$BY$11*BV15</f>
        <v>-30530.238802306121</v>
      </c>
      <c r="BZ15" s="58">
        <f>SUM($BW$13:BW15)</f>
        <v>-17825.541717956774</v>
      </c>
      <c r="CA15" s="58">
        <f>SUM($BW$13:BX15)</f>
        <v>-5826.6831828357681</v>
      </c>
      <c r="CE15" s="133">
        <v>45898.625</v>
      </c>
      <c r="CF15" s="54">
        <v>-17825.541717956774</v>
      </c>
      <c r="CG15" s="54">
        <v>-5826.6831828357681</v>
      </c>
    </row>
    <row r="16" spans="1:85" x14ac:dyDescent="0.3">
      <c r="A16" s="158">
        <v>45848.625</v>
      </c>
      <c r="B16" s="76">
        <f t="shared" ref="B16:B21" si="16">VLOOKUP($A16+$I$2,U$3:V$500,2)</f>
        <v>94.22</v>
      </c>
      <c r="C16" s="31">
        <f t="shared" si="3"/>
        <v>85197.018104365969</v>
      </c>
      <c r="D16" s="32">
        <f t="shared" si="4"/>
        <v>-5875</v>
      </c>
      <c r="E16" s="76">
        <f t="shared" ref="E16:E21" si="17">VLOOKUP($A16+$I$2,W$3:X$500,2)</f>
        <v>101.181</v>
      </c>
      <c r="F16" s="31">
        <f t="shared" si="5"/>
        <v>-12000.000000000455</v>
      </c>
      <c r="G16" s="32">
        <f t="shared" si="6"/>
        <v>-2091.6603333333333</v>
      </c>
      <c r="H16" s="76">
        <f t="shared" ref="H16:H21" si="18">VLOOKUP($A16+$I$2,Y$3:Z$500,2)</f>
        <v>121.86</v>
      </c>
      <c r="I16" s="31">
        <f t="shared" si="7"/>
        <v>-14109.926168992426</v>
      </c>
      <c r="J16" s="32">
        <f t="shared" si="8"/>
        <v>-10105</v>
      </c>
      <c r="K16" s="76">
        <f t="shared" ref="K16:K21" si="19">VLOOKUP($A16+$I$2,AA$3:AB$500,2)</f>
        <v>99.671999999999997</v>
      </c>
      <c r="L16" s="31">
        <f t="shared" si="9"/>
        <v>-36080.000000003311</v>
      </c>
      <c r="M16" s="32">
        <f t="shared" si="10"/>
        <v>-4600.7648888888898</v>
      </c>
      <c r="N16" s="82">
        <f t="shared" si="11"/>
        <v>76947.839717799972</v>
      </c>
      <c r="O16" s="82"/>
      <c r="P16" s="82"/>
      <c r="Q16" s="82">
        <f>$G$5*SUM($O$14:O16)-$H$5*SUM($P$14:P16)</f>
        <v>0</v>
      </c>
      <c r="R16" s="82">
        <f t="shared" si="12"/>
        <v>76947.839717799972</v>
      </c>
      <c r="S16" s="162"/>
      <c r="U16" s="75">
        <v>45772.625</v>
      </c>
      <c r="V16" s="54">
        <v>92.35</v>
      </c>
      <c r="W16" s="75">
        <v>45772.625</v>
      </c>
      <c r="X16" s="54">
        <v>101.78100000000001</v>
      </c>
      <c r="Y16" s="125">
        <v>45772.625</v>
      </c>
      <c r="Z16" s="54">
        <v>120.71</v>
      </c>
      <c r="AA16" s="75">
        <v>45863.625</v>
      </c>
      <c r="AB16" s="54">
        <v>99.524000000000001</v>
      </c>
      <c r="AF16" s="131">
        <v>45898.625</v>
      </c>
      <c r="AG16" s="45">
        <f t="shared" ref="AG16:AG39" si="20">VLOOKUP($AF16+$J$1,BE:BF,2)</f>
        <v>80.86</v>
      </c>
      <c r="AH16" s="46">
        <f t="shared" ref="AH16:AH50" si="21">(AG16/$AG$14-1)*$AG$5</f>
        <v>-47548.474743732695</v>
      </c>
      <c r="AI16" s="46">
        <f t="shared" ref="AI16:AI38" si="22">-1*(AF16-$AF$14)/360*$AG$5*$AG$7</f>
        <v>-8225</v>
      </c>
      <c r="AJ16" s="45">
        <f t="shared" ref="AJ16:AJ39" si="23">VLOOKUP($AF16+$J$1,BG:BH,2)</f>
        <v>99.703125</v>
      </c>
      <c r="AK16" s="46">
        <f t="shared" ref="AK16:AK50" si="24">(AJ16-$AJ$14)/100*$AH$5</f>
        <v>10664.062500000002</v>
      </c>
      <c r="AL16" s="47">
        <f t="shared" ref="AL16:AL38" si="25">(AF16-$AF$14)/360*$AH$5*$AH$6-(AF16-$AF$14)/360*$AH$5*$AH$7*$AJ$14/100</f>
        <v>-639.30631510416652</v>
      </c>
      <c r="AM16" s="45">
        <f t="shared" ref="AM16:AM39" si="26">VLOOKUP($AF16+$J$1,BI:BJ,2)</f>
        <v>109.83</v>
      </c>
      <c r="AN16" s="46">
        <f t="shared" ref="AN16:AN50" si="27">(AM16/$AM$14-1)*$AI$5</f>
        <v>-65436.699082070059</v>
      </c>
      <c r="AO16" s="47">
        <f t="shared" ref="AO16:AO38" si="28">-1*(AF16-$AF$14)/360*$AI$5*$AI$7</f>
        <v>-8460</v>
      </c>
      <c r="AP16" s="45">
        <f t="shared" ref="AP16:AP39" si="29">VLOOKUP($AF16+$J$1,BK:BL,2)</f>
        <v>99.703125</v>
      </c>
      <c r="AQ16" s="46">
        <f t="shared" ref="AQ16:AQ50" si="30">(AP16-$AP$14)/100*$AJ$5</f>
        <v>9296.875</v>
      </c>
      <c r="AR16" s="47">
        <f t="shared" ref="AR16:AR38" si="31">(AF16-$AF$14)/360*$AJ$5*$AJ$6-(AF16-$AF$14)/360*$AJ$5*$AJ$7*$AP$14/100</f>
        <v>-557.34396701388869</v>
      </c>
      <c r="AS16" s="45">
        <f t="shared" ref="AS16:AS39" si="32">VLOOKUP($AF16+$J$1,BM:BN,2)</f>
        <v>100.21875</v>
      </c>
      <c r="AT16" s="46">
        <f t="shared" ref="AT16:AT50" si="33">(AS16-$AS$14)/100*$AK$5</f>
        <v>7031.25</v>
      </c>
      <c r="AU16" s="47">
        <f t="shared" ref="AU16:AU38" si="34">(AF16-$AF$14)/360*$AK$5*$AK$6-(AF16-$AF$14)/360*$AK$5*$AK$7*$AS$14/100</f>
        <v>6.1302083333337123</v>
      </c>
      <c r="AV16" s="45">
        <f t="shared" ref="AV16:AV39" si="35">VLOOKUP($AF16+$J$1,BO:BP,2)</f>
        <v>97.34375</v>
      </c>
      <c r="AW16" s="46">
        <f t="shared" ref="AW16:AW50" si="36">(AV16-$AV$14)/100*$AL$5</f>
        <v>-11484.375000000002</v>
      </c>
      <c r="AX16" s="47">
        <f t="shared" ref="AX16:AX38" si="37">(AF16-$AF$14)/360*$AL$5*$AL$6-(AF16-$AF$14)/360*$AL$5*$AL$7*$AV$14/100</f>
        <v>366.17747395833339</v>
      </c>
      <c r="AY16" s="82">
        <f t="shared" ref="AY16:AY38" si="38">AH16+AI16-AK16-AL16-AN16-AO16+AQ16+AR16+AT16+AU16+AW16+AX16</f>
        <v>12757.181868719301</v>
      </c>
      <c r="AZ16" s="82"/>
      <c r="BA16" s="82"/>
      <c r="BB16" s="82">
        <f>$AO$4*SUM($AZ$14:AZ16)-$AP$4*SUM($BA$14:BA16)</f>
        <v>0</v>
      </c>
      <c r="BC16" s="82">
        <f t="shared" si="13"/>
        <v>12757.181868719301</v>
      </c>
      <c r="BE16" s="75">
        <v>45771.625</v>
      </c>
      <c r="BF16" s="54">
        <v>78.62</v>
      </c>
      <c r="BG16" s="75">
        <v>45915.625</v>
      </c>
      <c r="BH16" s="54">
        <v>100.09375</v>
      </c>
      <c r="BI16" s="75">
        <v>45771.625</v>
      </c>
      <c r="BJ16" s="54">
        <v>107.38</v>
      </c>
      <c r="BK16" s="75">
        <v>45915.625</v>
      </c>
      <c r="BL16" s="54">
        <v>100.09375</v>
      </c>
      <c r="BM16" s="75">
        <v>45894.625</v>
      </c>
      <c r="BN16" s="54">
        <v>99.765625</v>
      </c>
      <c r="BO16" s="75">
        <v>45895.625</v>
      </c>
      <c r="BP16" s="54">
        <v>97.59375</v>
      </c>
      <c r="BR16" s="161">
        <f t="shared" si="0"/>
        <v>45901.625</v>
      </c>
      <c r="BS16" s="58">
        <f t="shared" si="1"/>
        <v>121357.88231489121</v>
      </c>
      <c r="BT16" s="58">
        <f t="shared" si="2"/>
        <v>-622.97558570776073</v>
      </c>
      <c r="BU16" s="58">
        <f t="shared" si="14"/>
        <v>-1666.0609626570949</v>
      </c>
      <c r="BV16" s="58">
        <f t="shared" si="15"/>
        <v>-13380.157454427062</v>
      </c>
      <c r="BW16" s="58">
        <f>$BX$11*BU16</f>
        <v>-1666.0609626570949</v>
      </c>
      <c r="BX16" s="58">
        <f>$BY$11*BV16</f>
        <v>-12584.802672365793</v>
      </c>
      <c r="BZ16" s="58">
        <f>SUM($BW$13:BW16)</f>
        <v>-19491.602680613869</v>
      </c>
      <c r="CA16" s="58">
        <f>SUM($BW$13:BX16)</f>
        <v>-20077.546817858656</v>
      </c>
      <c r="CE16" s="133">
        <v>45901.625</v>
      </c>
      <c r="CF16" s="54">
        <v>-19491.602680613869</v>
      </c>
      <c r="CG16" s="54">
        <v>-20077.546817858656</v>
      </c>
    </row>
    <row r="17" spans="1:85" x14ac:dyDescent="0.3">
      <c r="A17" s="158">
        <v>45849.625</v>
      </c>
      <c r="B17" s="76">
        <f t="shared" si="16"/>
        <v>94.12</v>
      </c>
      <c r="C17" s="31">
        <f t="shared" si="3"/>
        <v>58572.949946750217</v>
      </c>
      <c r="D17" s="32">
        <f t="shared" si="4"/>
        <v>-8812.4999999999982</v>
      </c>
      <c r="E17" s="76">
        <f t="shared" si="17"/>
        <v>101.123</v>
      </c>
      <c r="F17" s="31">
        <f t="shared" si="5"/>
        <v>-23599.999999999</v>
      </c>
      <c r="G17" s="32">
        <f t="shared" si="6"/>
        <v>-3137.490499999999</v>
      </c>
      <c r="H17" s="76">
        <f t="shared" si="18"/>
        <v>121.72</v>
      </c>
      <c r="I17" s="31">
        <f t="shared" si="7"/>
        <v>-63494.667760463533</v>
      </c>
      <c r="J17" s="32">
        <f t="shared" si="8"/>
        <v>-15157.499999999998</v>
      </c>
      <c r="K17" s="76">
        <f t="shared" si="19"/>
        <v>99.567999999999998</v>
      </c>
      <c r="L17" s="31">
        <f t="shared" si="9"/>
        <v>-78720.000000002983</v>
      </c>
      <c r="M17" s="32">
        <f t="shared" si="10"/>
        <v>-6901.1473333333324</v>
      </c>
      <c r="N17" s="82">
        <f t="shared" si="11"/>
        <v>69528.960873876451</v>
      </c>
      <c r="O17" s="82"/>
      <c r="P17" s="82"/>
      <c r="Q17" s="82">
        <f>$G$5*SUM($O$14:O17)-$H$5*SUM($P$14:P17)</f>
        <v>0</v>
      </c>
      <c r="R17" s="82">
        <f t="shared" si="12"/>
        <v>69528.960873876451</v>
      </c>
      <c r="S17" s="162"/>
      <c r="U17" s="75">
        <v>45776.625</v>
      </c>
      <c r="V17" s="54">
        <v>92.23</v>
      </c>
      <c r="W17" s="75">
        <v>45775.625</v>
      </c>
      <c r="X17" s="54">
        <v>101.74299999999999</v>
      </c>
      <c r="Y17" s="125">
        <v>45775.625</v>
      </c>
      <c r="Z17" s="54">
        <v>120.57</v>
      </c>
      <c r="AA17" s="75">
        <v>45866.625</v>
      </c>
      <c r="AB17" s="54">
        <v>99.715000000000003</v>
      </c>
      <c r="AF17" s="131">
        <v>45901.625</v>
      </c>
      <c r="AG17" s="45">
        <f t="shared" si="20"/>
        <v>80.86</v>
      </c>
      <c r="AH17" s="46">
        <f t="shared" si="21"/>
        <v>-47548.474743732695</v>
      </c>
      <c r="AI17" s="46">
        <f t="shared" si="22"/>
        <v>-20562.499999999996</v>
      </c>
      <c r="AJ17" s="45">
        <f t="shared" si="23"/>
        <v>99.6796875</v>
      </c>
      <c r="AK17" s="46">
        <f t="shared" si="24"/>
        <v>6093.75</v>
      </c>
      <c r="AL17" s="47">
        <f t="shared" si="25"/>
        <v>-1598.2657877604161</v>
      </c>
      <c r="AM17" s="45">
        <f t="shared" si="26"/>
        <v>109.83</v>
      </c>
      <c r="AN17" s="46">
        <f t="shared" si="27"/>
        <v>-65436.699082070059</v>
      </c>
      <c r="AO17" s="47">
        <f t="shared" si="28"/>
        <v>-21150</v>
      </c>
      <c r="AP17" s="45">
        <f t="shared" si="29"/>
        <v>99.6796875</v>
      </c>
      <c r="AQ17" s="46">
        <f t="shared" si="30"/>
        <v>5312.5</v>
      </c>
      <c r="AR17" s="47">
        <f t="shared" si="31"/>
        <v>-1393.3599175347208</v>
      </c>
      <c r="AS17" s="45">
        <f t="shared" si="32"/>
        <v>100.171875</v>
      </c>
      <c r="AT17" s="46">
        <f t="shared" si="33"/>
        <v>3515.625</v>
      </c>
      <c r="AU17" s="47">
        <f t="shared" si="34"/>
        <v>15.32552083333394</v>
      </c>
      <c r="AV17" s="45">
        <f t="shared" si="35"/>
        <v>97.234375</v>
      </c>
      <c r="AW17" s="46">
        <f t="shared" si="36"/>
        <v>-22968.750000000004</v>
      </c>
      <c r="AX17" s="47">
        <f t="shared" si="37"/>
        <v>915.44368489583303</v>
      </c>
      <c r="AY17" s="82">
        <f t="shared" si="38"/>
        <v>-622.97558570776073</v>
      </c>
      <c r="AZ17" s="82"/>
      <c r="BA17" s="82"/>
      <c r="BB17" s="82">
        <f>$AO$4*SUM($AZ$14:AZ17)-$AP$4*SUM($BA$14:BA17)</f>
        <v>0</v>
      </c>
      <c r="BC17" s="82">
        <f t="shared" si="13"/>
        <v>-622.97558570776073</v>
      </c>
      <c r="BE17" s="75">
        <v>45772.625</v>
      </c>
      <c r="BF17" s="54">
        <v>78.77</v>
      </c>
      <c r="BG17" s="75">
        <v>45916.625</v>
      </c>
      <c r="BH17" s="54">
        <v>100.15625</v>
      </c>
      <c r="BI17" s="75">
        <v>45772.625</v>
      </c>
      <c r="BJ17" s="54">
        <v>107.99</v>
      </c>
      <c r="BK17" s="75">
        <v>45916.625</v>
      </c>
      <c r="BL17" s="54">
        <v>100.15625</v>
      </c>
      <c r="BM17" s="75">
        <v>45895.625</v>
      </c>
      <c r="BN17" s="54">
        <v>99.984375</v>
      </c>
      <c r="BO17" s="75">
        <v>45896.625</v>
      </c>
      <c r="BP17" s="54">
        <v>97.453125</v>
      </c>
      <c r="BR17" s="161">
        <f t="shared" si="0"/>
        <v>45902.625</v>
      </c>
      <c r="BS17" s="58">
        <f t="shared" si="1"/>
        <v>129016.78571010823</v>
      </c>
      <c r="BT17" s="58">
        <f t="shared" si="2"/>
        <v>-68580.005564924082</v>
      </c>
      <c r="BU17" s="58">
        <f t="shared" si="14"/>
        <v>7658.9033952170284</v>
      </c>
      <c r="BV17" s="58">
        <f t="shared" si="15"/>
        <v>-67957.029979216328</v>
      </c>
      <c r="BW17" s="58">
        <f>$BX$11*BU17</f>
        <v>7658.9033952170284</v>
      </c>
      <c r="BX17" s="58">
        <f>$BY$11*BV17</f>
        <v>-63917.469985042466</v>
      </c>
      <c r="BZ17" s="58">
        <f>SUM($BW$13:BW17)</f>
        <v>-11832.69928539684</v>
      </c>
      <c r="CA17" s="58">
        <f>SUM($BW$13:BX17)</f>
        <v>-76336.113407684097</v>
      </c>
      <c r="CE17" s="133">
        <v>45902.625</v>
      </c>
      <c r="CF17" s="54">
        <v>-11832.69928539684</v>
      </c>
      <c r="CG17" s="54">
        <v>-76336.113407684097</v>
      </c>
    </row>
    <row r="18" spans="1:85" x14ac:dyDescent="0.3">
      <c r="A18" s="158">
        <v>45852.625</v>
      </c>
      <c r="B18" s="76">
        <f t="shared" si="16"/>
        <v>94.05</v>
      </c>
      <c r="C18" s="31">
        <f t="shared" si="3"/>
        <v>39936.102236420855</v>
      </c>
      <c r="D18" s="32">
        <f t="shared" si="4"/>
        <v>-17624.999999999996</v>
      </c>
      <c r="E18" s="76">
        <f t="shared" si="17"/>
        <v>101.181</v>
      </c>
      <c r="F18" s="31">
        <f t="shared" si="5"/>
        <v>-12000.000000000455</v>
      </c>
      <c r="G18" s="32">
        <f t="shared" si="6"/>
        <v>-6274.9809999999979</v>
      </c>
      <c r="H18" s="76">
        <f t="shared" si="18"/>
        <v>121.74</v>
      </c>
      <c r="I18" s="31">
        <f t="shared" si="7"/>
        <v>-56439.704675969704</v>
      </c>
      <c r="J18" s="32">
        <f t="shared" si="8"/>
        <v>-30314.999999999996</v>
      </c>
      <c r="K18" s="76">
        <f t="shared" si="19"/>
        <v>99.611999999999995</v>
      </c>
      <c r="L18" s="31">
        <f t="shared" si="9"/>
        <v>-60680.000000004242</v>
      </c>
      <c r="M18" s="32">
        <f t="shared" si="10"/>
        <v>-13802.294666666665</v>
      </c>
      <c r="N18" s="82">
        <f t="shared" si="11"/>
        <v>52858.493245720092</v>
      </c>
      <c r="O18" s="82"/>
      <c r="P18" s="82"/>
      <c r="Q18" s="82">
        <f>$G$5*SUM($O$14:O18)-$H$5*SUM($P$14:P18)</f>
        <v>0</v>
      </c>
      <c r="R18" s="82">
        <f t="shared" si="12"/>
        <v>52858.493245720092</v>
      </c>
      <c r="S18" s="162"/>
      <c r="U18" s="75">
        <v>45777.625</v>
      </c>
      <c r="V18" s="54">
        <v>91.86</v>
      </c>
      <c r="W18" s="75">
        <v>45776.625</v>
      </c>
      <c r="X18" s="54">
        <v>101.75</v>
      </c>
      <c r="Y18" s="125">
        <v>45777.625</v>
      </c>
      <c r="Z18" s="54">
        <v>120.56</v>
      </c>
      <c r="AA18" s="75">
        <v>45867.625</v>
      </c>
      <c r="AB18" s="54">
        <v>99.623999999999995</v>
      </c>
      <c r="AF18" s="131">
        <v>45902.625</v>
      </c>
      <c r="AG18" s="45">
        <f t="shared" si="20"/>
        <v>80.39</v>
      </c>
      <c r="AH18" s="46">
        <f t="shared" si="21"/>
        <v>-250710.1395578587</v>
      </c>
      <c r="AI18" s="46">
        <f t="shared" si="22"/>
        <v>-24675</v>
      </c>
      <c r="AJ18" s="45">
        <f t="shared" si="23"/>
        <v>99.53125</v>
      </c>
      <c r="AK18" s="46">
        <f t="shared" si="24"/>
        <v>-22851.5625</v>
      </c>
      <c r="AL18" s="47">
        <f t="shared" si="25"/>
        <v>-1917.9189453125</v>
      </c>
      <c r="AM18" s="45">
        <f t="shared" si="26"/>
        <v>109.05</v>
      </c>
      <c r="AN18" s="46">
        <f t="shared" si="27"/>
        <v>-320639.82550213812</v>
      </c>
      <c r="AO18" s="47">
        <f t="shared" si="28"/>
        <v>-25380</v>
      </c>
      <c r="AP18" s="45">
        <f t="shared" si="29"/>
        <v>99.53125</v>
      </c>
      <c r="AQ18" s="46">
        <f t="shared" si="30"/>
        <v>-19921.875</v>
      </c>
      <c r="AR18" s="47">
        <f t="shared" si="31"/>
        <v>-1672.0319010416661</v>
      </c>
      <c r="AS18" s="45">
        <f t="shared" si="32"/>
        <v>99.859375</v>
      </c>
      <c r="AT18" s="46">
        <f t="shared" si="33"/>
        <v>-19921.875</v>
      </c>
      <c r="AU18" s="47">
        <f t="shared" si="34"/>
        <v>18.390625</v>
      </c>
      <c r="AV18" s="45">
        <f t="shared" si="35"/>
        <v>96.65625</v>
      </c>
      <c r="AW18" s="46">
        <f t="shared" si="36"/>
        <v>-83671.875</v>
      </c>
      <c r="AX18" s="47">
        <f t="shared" si="37"/>
        <v>1098.5324218750011</v>
      </c>
      <c r="AY18" s="82">
        <f t="shared" si="38"/>
        <v>-28666.566464574746</v>
      </c>
      <c r="AZ18" s="82">
        <v>0.38332100000000002</v>
      </c>
      <c r="BA18" s="82">
        <v>0.384434</v>
      </c>
      <c r="BB18" s="82">
        <f>$AO$4*SUM($AZ$14:AZ18)-$AP$4*SUM($BA$14:BA18)</f>
        <v>39913.439100349337</v>
      </c>
      <c r="BC18" s="82">
        <f t="shared" si="13"/>
        <v>-68580.005564924082</v>
      </c>
      <c r="BE18" s="75">
        <v>45775.625</v>
      </c>
      <c r="BF18" s="54">
        <v>78.81</v>
      </c>
      <c r="BG18" s="75">
        <v>45917.625</v>
      </c>
      <c r="BH18" s="54">
        <v>99.953125</v>
      </c>
      <c r="BI18" s="75">
        <v>45775.625</v>
      </c>
      <c r="BJ18" s="54">
        <v>108.24</v>
      </c>
      <c r="BK18" s="75">
        <v>45917.625</v>
      </c>
      <c r="BL18" s="54">
        <v>99.953125</v>
      </c>
      <c r="BM18" s="75">
        <v>45896.625</v>
      </c>
      <c r="BN18" s="54">
        <v>100.125</v>
      </c>
      <c r="BO18" s="75">
        <v>45897.625</v>
      </c>
      <c r="BP18" s="54">
        <v>98.078125</v>
      </c>
      <c r="BR18" s="161">
        <f t="shared" si="0"/>
        <v>45903.625</v>
      </c>
      <c r="BS18" s="58">
        <f t="shared" si="1"/>
        <v>106248.92721230641</v>
      </c>
      <c r="BT18" s="58">
        <f t="shared" si="2"/>
        <v>-54753.005578996301</v>
      </c>
      <c r="BU18" s="58">
        <f t="shared" si="14"/>
        <v>-22767.858497801819</v>
      </c>
      <c r="BV18" s="58">
        <f t="shared" si="15"/>
        <v>13826.999985927781</v>
      </c>
      <c r="BW18" s="58">
        <f>$BX$11*BU18</f>
        <v>-22767.858497801819</v>
      </c>
      <c r="BX18" s="58">
        <f>$BY$11*BV18</f>
        <v>13005.083607303246</v>
      </c>
      <c r="BZ18" s="58">
        <f>SUM($BW$13:BW18)</f>
        <v>-34600.557783198659</v>
      </c>
      <c r="CA18" s="58">
        <f>SUM($BW$13:BX18)</f>
        <v>-86098.888298182675</v>
      </c>
      <c r="CE18" s="133">
        <v>45903.625</v>
      </c>
      <c r="CF18" s="54">
        <v>-34600.557783198659</v>
      </c>
      <c r="CG18" s="54">
        <v>-86098.888298182675</v>
      </c>
    </row>
    <row r="19" spans="1:85" x14ac:dyDescent="0.3">
      <c r="A19" s="158">
        <v>45853.625</v>
      </c>
      <c r="B19" s="76">
        <f t="shared" si="16"/>
        <v>94.05</v>
      </c>
      <c r="C19" s="31">
        <f t="shared" si="3"/>
        <v>39936.102236420855</v>
      </c>
      <c r="D19" s="32">
        <f t="shared" si="4"/>
        <v>-20562.5</v>
      </c>
      <c r="E19" s="76">
        <f t="shared" si="17"/>
        <v>101.23699999999999</v>
      </c>
      <c r="F19" s="31">
        <f t="shared" si="5"/>
        <v>-800.00000000097771</v>
      </c>
      <c r="G19" s="32">
        <f t="shared" si="6"/>
        <v>-7320.8111666666646</v>
      </c>
      <c r="H19" s="76">
        <f t="shared" si="18"/>
        <v>121.85</v>
      </c>
      <c r="I19" s="31">
        <f t="shared" si="7"/>
        <v>-17637.407711244112</v>
      </c>
      <c r="J19" s="32">
        <f t="shared" si="8"/>
        <v>-35367.5</v>
      </c>
      <c r="K19" s="76">
        <f t="shared" si="19"/>
        <v>99.713999999999999</v>
      </c>
      <c r="L19" s="31">
        <f t="shared" si="9"/>
        <v>-18860.000000002656</v>
      </c>
      <c r="M19" s="32">
        <f t="shared" si="10"/>
        <v>-16102.677111111112</v>
      </c>
      <c r="N19" s="82">
        <f t="shared" si="11"/>
        <v>45536.64400321884</v>
      </c>
      <c r="O19" s="82"/>
      <c r="P19" s="82"/>
      <c r="Q19" s="82">
        <f>$G$5*SUM($O$14:O19)-$H$5*SUM($P$14:P19)</f>
        <v>0</v>
      </c>
      <c r="R19" s="82">
        <f t="shared" si="12"/>
        <v>45536.64400321884</v>
      </c>
      <c r="S19" s="162"/>
      <c r="U19" s="75">
        <v>45778.625</v>
      </c>
      <c r="V19" s="54">
        <v>92.17</v>
      </c>
      <c r="W19" s="75">
        <v>45777.625</v>
      </c>
      <c r="X19" s="54">
        <v>101.923</v>
      </c>
      <c r="Y19" s="125">
        <v>45778.625</v>
      </c>
      <c r="Z19" s="54">
        <v>120.75</v>
      </c>
      <c r="AA19" s="75">
        <v>45868.625</v>
      </c>
      <c r="AB19" s="54">
        <v>99.552999999999997</v>
      </c>
      <c r="AF19" s="131">
        <v>45903.625</v>
      </c>
      <c r="AG19" s="45">
        <f t="shared" si="20"/>
        <v>80.61</v>
      </c>
      <c r="AH19" s="46">
        <f t="shared" si="21"/>
        <v>-155613.19007039719</v>
      </c>
      <c r="AI19" s="46">
        <f t="shared" si="22"/>
        <v>-28787.5</v>
      </c>
      <c r="AJ19" s="45">
        <f t="shared" si="23"/>
        <v>99.6796875</v>
      </c>
      <c r="AK19" s="46">
        <f t="shared" si="24"/>
        <v>6093.75</v>
      </c>
      <c r="AL19" s="47">
        <f t="shared" si="25"/>
        <v>-2237.5721028645839</v>
      </c>
      <c r="AM19" s="45">
        <f t="shared" si="26"/>
        <v>109.7</v>
      </c>
      <c r="AN19" s="46">
        <f t="shared" si="27"/>
        <v>-107970.5534854134</v>
      </c>
      <c r="AO19" s="47">
        <f t="shared" si="28"/>
        <v>-29609.999999999996</v>
      </c>
      <c r="AP19" s="45">
        <f t="shared" si="29"/>
        <v>99.6796875</v>
      </c>
      <c r="AQ19" s="46">
        <f t="shared" si="30"/>
        <v>5312.5</v>
      </c>
      <c r="AR19" s="47">
        <f t="shared" si="31"/>
        <v>-1950.7038845486113</v>
      </c>
      <c r="AS19" s="45">
        <f t="shared" si="32"/>
        <v>100.234375</v>
      </c>
      <c r="AT19" s="46">
        <f t="shared" si="33"/>
        <v>8203.125</v>
      </c>
      <c r="AU19" s="47">
        <f t="shared" si="34"/>
        <v>21.455729166667879</v>
      </c>
      <c r="AV19" s="45">
        <f t="shared" si="35"/>
        <v>97.671875</v>
      </c>
      <c r="AW19" s="46">
        <f t="shared" si="36"/>
        <v>22968.750000000004</v>
      </c>
      <c r="AX19" s="47">
        <f t="shared" si="37"/>
        <v>1281.6211588541682</v>
      </c>
      <c r="AY19" s="82">
        <f t="shared" si="38"/>
        <v>-14839.566478646962</v>
      </c>
      <c r="AZ19" s="82"/>
      <c r="BA19" s="82"/>
      <c r="BB19" s="82">
        <f>$AO$4*SUM($AZ$14:AZ19)-$AP$4*SUM($BA$14:BA19)</f>
        <v>39913.439100349337</v>
      </c>
      <c r="BC19" s="82">
        <f t="shared" si="13"/>
        <v>-54753.005578996301</v>
      </c>
      <c r="BE19" s="75">
        <v>45776.625</v>
      </c>
      <c r="BF19" s="54">
        <v>79.02</v>
      </c>
      <c r="BG19" s="75">
        <v>45918.625</v>
      </c>
      <c r="BH19" s="54">
        <v>99.7890625</v>
      </c>
      <c r="BI19" s="75">
        <v>45776.625</v>
      </c>
      <c r="BJ19" s="54">
        <v>108.49</v>
      </c>
      <c r="BK19" s="75">
        <v>45918.625</v>
      </c>
      <c r="BL19" s="54">
        <v>99.7890625</v>
      </c>
      <c r="BM19" s="75">
        <v>45897.625</v>
      </c>
      <c r="BN19" s="54">
        <v>100.375</v>
      </c>
      <c r="BO19" s="75">
        <v>45898.625</v>
      </c>
      <c r="BP19" s="54">
        <v>97.34375</v>
      </c>
      <c r="BR19" s="161">
        <f t="shared" si="0"/>
        <v>45904.625</v>
      </c>
      <c r="BS19" s="58">
        <f t="shared" si="1"/>
        <v>90683.290057258215</v>
      </c>
      <c r="BT19" s="58">
        <f t="shared" si="2"/>
        <v>-112927.88124716537</v>
      </c>
      <c r="BU19" s="58">
        <f t="shared" si="14"/>
        <v>-15565.6371550482</v>
      </c>
      <c r="BV19" s="58">
        <f t="shared" si="15"/>
        <v>-58174.875668169065</v>
      </c>
      <c r="BW19" s="58">
        <f>$BX$11*BU19</f>
        <v>-15565.6371550482</v>
      </c>
      <c r="BX19" s="58">
        <f>$BY$11*BV19</f>
        <v>-54716.794870832193</v>
      </c>
      <c r="BZ19" s="58">
        <f>SUM($BW$13:BW19)</f>
        <v>-50166.194938246859</v>
      </c>
      <c r="CA19" s="58">
        <f>SUM($BW$13:BX19)</f>
        <v>-156381.32032406307</v>
      </c>
      <c r="CE19" s="133">
        <v>45904.625</v>
      </c>
      <c r="CF19" s="54">
        <v>-50166.194938246859</v>
      </c>
      <c r="CG19" s="54">
        <v>-156381.32032406307</v>
      </c>
    </row>
    <row r="20" spans="1:85" x14ac:dyDescent="0.3">
      <c r="A20" s="158">
        <v>45854.625</v>
      </c>
      <c r="B20" s="76">
        <f t="shared" si="16"/>
        <v>93.96</v>
      </c>
      <c r="C20" s="31">
        <f t="shared" si="3"/>
        <v>15974.440894567233</v>
      </c>
      <c r="D20" s="32">
        <f t="shared" si="4"/>
        <v>-23500</v>
      </c>
      <c r="E20" s="76">
        <f t="shared" si="17"/>
        <v>101.31</v>
      </c>
      <c r="F20" s="31">
        <f t="shared" si="5"/>
        <v>13800.000000000522</v>
      </c>
      <c r="G20" s="32">
        <f t="shared" si="6"/>
        <v>-8366.641333333333</v>
      </c>
      <c r="H20" s="76">
        <f t="shared" si="18"/>
        <v>121.87</v>
      </c>
      <c r="I20" s="31">
        <f t="shared" si="7"/>
        <v>-10582.444626745513</v>
      </c>
      <c r="J20" s="32">
        <f t="shared" si="8"/>
        <v>-40420</v>
      </c>
      <c r="K20" s="76">
        <f t="shared" si="19"/>
        <v>99.841999999999999</v>
      </c>
      <c r="L20" s="31">
        <f t="shared" si="9"/>
        <v>33619.999999997388</v>
      </c>
      <c r="M20" s="32">
        <f t="shared" si="10"/>
        <v>-18403.059555555559</v>
      </c>
      <c r="N20" s="82">
        <f t="shared" si="11"/>
        <v>53260.467299087381</v>
      </c>
      <c r="O20" s="82"/>
      <c r="P20" s="82"/>
      <c r="Q20" s="82">
        <f>$G$5*SUM($O$14:O20)-$H$5*SUM($P$14:P20)</f>
        <v>0</v>
      </c>
      <c r="R20" s="82">
        <f t="shared" si="12"/>
        <v>53260.467299087381</v>
      </c>
      <c r="S20" s="162"/>
      <c r="U20" s="75">
        <v>45779.625</v>
      </c>
      <c r="V20" s="54">
        <v>92.25</v>
      </c>
      <c r="W20" s="75">
        <v>45779.625</v>
      </c>
      <c r="X20" s="54">
        <v>101.658</v>
      </c>
      <c r="Y20" s="125">
        <v>45779.625</v>
      </c>
      <c r="Z20" s="54">
        <v>120.42</v>
      </c>
      <c r="AA20" s="75">
        <v>45869.625</v>
      </c>
      <c r="AB20" s="54">
        <v>99.549000000000007</v>
      </c>
      <c r="AF20" s="131">
        <v>45904.625</v>
      </c>
      <c r="AG20" s="45">
        <f t="shared" si="20"/>
        <v>80.819999999999993</v>
      </c>
      <c r="AH20" s="46">
        <f t="shared" si="21"/>
        <v>-64838.829195999482</v>
      </c>
      <c r="AI20" s="46">
        <f t="shared" si="22"/>
        <v>-32900</v>
      </c>
      <c r="AJ20" s="45">
        <f t="shared" si="23"/>
        <v>99.9140625</v>
      </c>
      <c r="AK20" s="46">
        <f t="shared" si="24"/>
        <v>51796.875000000007</v>
      </c>
      <c r="AL20" s="47">
        <f t="shared" si="25"/>
        <v>-2557.2252604166661</v>
      </c>
      <c r="AM20" s="45">
        <f t="shared" si="26"/>
        <v>110.45</v>
      </c>
      <c r="AN20" s="46">
        <f t="shared" si="27"/>
        <v>137417.06807234432</v>
      </c>
      <c r="AO20" s="47">
        <f t="shared" si="28"/>
        <v>-33840</v>
      </c>
      <c r="AP20" s="45">
        <f t="shared" si="29"/>
        <v>99.9140625</v>
      </c>
      <c r="AQ20" s="46">
        <f t="shared" si="30"/>
        <v>45156.25</v>
      </c>
      <c r="AR20" s="47">
        <f t="shared" si="31"/>
        <v>-2229.3758680555547</v>
      </c>
      <c r="AS20" s="45">
        <f t="shared" si="32"/>
        <v>100.71875</v>
      </c>
      <c r="AT20" s="46">
        <f t="shared" si="33"/>
        <v>44531.25</v>
      </c>
      <c r="AU20" s="47">
        <f t="shared" si="34"/>
        <v>24.520833333334849</v>
      </c>
      <c r="AV20" s="45">
        <f t="shared" si="35"/>
        <v>98.296875</v>
      </c>
      <c r="AW20" s="46">
        <f t="shared" si="36"/>
        <v>88593.75</v>
      </c>
      <c r="AX20" s="47">
        <f t="shared" si="37"/>
        <v>1464.7098958333336</v>
      </c>
      <c r="AY20" s="82">
        <f t="shared" si="38"/>
        <v>-73014.442146816029</v>
      </c>
      <c r="AZ20" s="82"/>
      <c r="BA20" s="82"/>
      <c r="BB20" s="82">
        <f>$AO$4*SUM($AZ$14:AZ20)-$AP$4*SUM($BA$14:BA20)</f>
        <v>39913.439100349337</v>
      </c>
      <c r="BC20" s="82">
        <f t="shared" si="13"/>
        <v>-112927.88124716537</v>
      </c>
      <c r="BE20" s="75">
        <v>45777.625</v>
      </c>
      <c r="BF20" s="54">
        <v>78.599999999999994</v>
      </c>
      <c r="BG20" s="75">
        <v>45919.625</v>
      </c>
      <c r="BH20" s="54">
        <v>99.7734375</v>
      </c>
      <c r="BI20" s="75">
        <v>45777.625</v>
      </c>
      <c r="BJ20" s="54">
        <v>108</v>
      </c>
      <c r="BK20" s="75">
        <v>45919.625</v>
      </c>
      <c r="BL20" s="54">
        <v>99.7734375</v>
      </c>
      <c r="BM20" s="75">
        <v>45898.625</v>
      </c>
      <c r="BN20" s="54">
        <v>100.21875</v>
      </c>
      <c r="BO20" s="75">
        <v>45901.625</v>
      </c>
      <c r="BP20" s="54">
        <v>97.234375</v>
      </c>
      <c r="BR20" s="161">
        <f t="shared" si="0"/>
        <v>45905.625</v>
      </c>
      <c r="BS20" s="58">
        <f t="shared" si="1"/>
        <v>74303.433500671643</v>
      </c>
      <c r="BT20" s="58">
        <f t="shared" si="2"/>
        <v>-141464.29486208732</v>
      </c>
      <c r="BU20" s="58">
        <f t="shared" si="14"/>
        <v>-16379.856556586572</v>
      </c>
      <c r="BV20" s="58">
        <f t="shared" si="15"/>
        <v>-28536.413614921956</v>
      </c>
      <c r="BW20" s="58">
        <f>$BX$11*BU20</f>
        <v>-16379.856556586572</v>
      </c>
      <c r="BX20" s="58">
        <f>$BY$11*BV20</f>
        <v>-26840.127669946254</v>
      </c>
      <c r="BZ20" s="58">
        <f>SUM($BW$13:BW20)</f>
        <v>-66546.051494833431</v>
      </c>
      <c r="CA20" s="58">
        <f>SUM($BW$13:BX20)</f>
        <v>-199601.3045505959</v>
      </c>
      <c r="CE20" s="133">
        <v>45905.625</v>
      </c>
      <c r="CF20" s="54">
        <v>-66546.051494833431</v>
      </c>
      <c r="CG20" s="54">
        <v>-199601.3045505959</v>
      </c>
    </row>
    <row r="21" spans="1:85" x14ac:dyDescent="0.3">
      <c r="A21" s="158">
        <v>45855.625</v>
      </c>
      <c r="B21" s="76">
        <f t="shared" si="16"/>
        <v>94.08</v>
      </c>
      <c r="C21" s="31">
        <f t="shared" si="3"/>
        <v>47923.322683701699</v>
      </c>
      <c r="D21" s="32">
        <f t="shared" si="4"/>
        <v>-26437.5</v>
      </c>
      <c r="E21" s="76">
        <f t="shared" si="17"/>
        <v>101.328</v>
      </c>
      <c r="F21" s="31">
        <f t="shared" si="5"/>
        <v>17400.000000000658</v>
      </c>
      <c r="G21" s="32">
        <f t="shared" si="6"/>
        <v>-9412.4714999999978</v>
      </c>
      <c r="H21" s="76">
        <f t="shared" si="18"/>
        <v>120.13</v>
      </c>
      <c r="I21" s="31">
        <f t="shared" si="7"/>
        <v>-624364.23297785642</v>
      </c>
      <c r="J21" s="32">
        <f t="shared" si="8"/>
        <v>-45472.5</v>
      </c>
      <c r="K21" s="76">
        <f t="shared" si="19"/>
        <v>99.9</v>
      </c>
      <c r="L21" s="31">
        <f t="shared" si="9"/>
        <v>57400.000000000233</v>
      </c>
      <c r="M21" s="32">
        <f t="shared" si="10"/>
        <v>-20703.442000000003</v>
      </c>
      <c r="N21" s="82">
        <f t="shared" si="11"/>
        <v>720031.58516155765</v>
      </c>
      <c r="O21" s="82"/>
      <c r="P21" s="82">
        <v>1.9446000000000001</v>
      </c>
      <c r="Q21" s="82">
        <f>$G$5*SUM($O$14:O21)-$H$5*SUM($P$14:P21)</f>
        <v>-685953.76080000005</v>
      </c>
      <c r="R21" s="82">
        <f t="shared" si="12"/>
        <v>34077.824361557607</v>
      </c>
      <c r="S21" s="162"/>
      <c r="U21" s="75">
        <v>45783.625</v>
      </c>
      <c r="V21" s="54">
        <v>92.25</v>
      </c>
      <c r="W21" s="75">
        <v>45782.625</v>
      </c>
      <c r="X21" s="54">
        <v>101.652</v>
      </c>
      <c r="Y21" s="125">
        <v>45783.625</v>
      </c>
      <c r="Z21" s="54">
        <v>120.4</v>
      </c>
      <c r="AA21" s="75">
        <v>45870.625</v>
      </c>
      <c r="AB21" s="54">
        <v>99.751000000000005</v>
      </c>
      <c r="AF21" s="131">
        <v>45905.625</v>
      </c>
      <c r="AG21" s="45">
        <f t="shared" si="20"/>
        <v>80.87</v>
      </c>
      <c r="AH21" s="46">
        <f t="shared" si="21"/>
        <v>-43225.886130665029</v>
      </c>
      <c r="AI21" s="46">
        <f t="shared" si="22"/>
        <v>-37012.5</v>
      </c>
      <c r="AJ21" s="45">
        <f t="shared" si="23"/>
        <v>100.1328125</v>
      </c>
      <c r="AK21" s="46">
        <f t="shared" si="24"/>
        <v>94453.125</v>
      </c>
      <c r="AL21" s="47">
        <f t="shared" si="25"/>
        <v>-2876.87841796875</v>
      </c>
      <c r="AM21" s="45">
        <f t="shared" si="26"/>
        <v>111.17</v>
      </c>
      <c r="AN21" s="46">
        <f t="shared" si="27"/>
        <v>372989.18476779177</v>
      </c>
      <c r="AO21" s="47">
        <f t="shared" si="28"/>
        <v>-38070</v>
      </c>
      <c r="AP21" s="45">
        <f t="shared" si="29"/>
        <v>100.1328125</v>
      </c>
      <c r="AQ21" s="46">
        <f t="shared" si="30"/>
        <v>82343.75</v>
      </c>
      <c r="AR21" s="47">
        <f t="shared" si="31"/>
        <v>-2508.0478515625018</v>
      </c>
      <c r="AS21" s="45">
        <f t="shared" si="32"/>
        <v>101.3125</v>
      </c>
      <c r="AT21" s="46">
        <f t="shared" si="33"/>
        <v>89062.5</v>
      </c>
      <c r="AU21" s="47">
        <f t="shared" si="34"/>
        <v>27.585937500001819</v>
      </c>
      <c r="AV21" s="45">
        <f t="shared" si="35"/>
        <v>99.6875</v>
      </c>
      <c r="AW21" s="46">
        <f t="shared" si="36"/>
        <v>234609.375</v>
      </c>
      <c r="AX21" s="47">
        <f t="shared" si="37"/>
        <v>1647.7986328125007</v>
      </c>
      <c r="AY21" s="82">
        <f t="shared" si="38"/>
        <v>-101550.85576173798</v>
      </c>
      <c r="AZ21" s="82"/>
      <c r="BA21" s="82"/>
      <c r="BB21" s="82">
        <f>$AO$4*SUM($AZ$14:AZ21)-$AP$4*SUM($BA$14:BA21)</f>
        <v>39913.439100349337</v>
      </c>
      <c r="BC21" s="82">
        <f t="shared" si="13"/>
        <v>-141464.29486208732</v>
      </c>
      <c r="BE21" s="75">
        <v>45778.625</v>
      </c>
      <c r="BF21" s="54">
        <v>78.3</v>
      </c>
      <c r="BG21" s="75">
        <v>45922.625</v>
      </c>
      <c r="BH21" s="54">
        <v>99.65625</v>
      </c>
      <c r="BI21" s="75">
        <v>45778.625</v>
      </c>
      <c r="BJ21" s="54">
        <v>107.17</v>
      </c>
      <c r="BK21" s="75">
        <v>45922.625</v>
      </c>
      <c r="BL21" s="54">
        <v>99.65625</v>
      </c>
      <c r="BM21" s="75">
        <v>45901.625</v>
      </c>
      <c r="BN21" s="54">
        <v>100.171875</v>
      </c>
      <c r="BO21" s="75">
        <v>45902.625</v>
      </c>
      <c r="BP21" s="54">
        <v>96.65625</v>
      </c>
      <c r="BR21" s="161">
        <f t="shared" si="0"/>
        <v>45908.625</v>
      </c>
      <c r="BS21" s="58">
        <f t="shared" si="1"/>
        <v>65592.368060628069</v>
      </c>
      <c r="BT21" s="58">
        <f t="shared" si="2"/>
        <v>-105414.76552654452</v>
      </c>
      <c r="BU21" s="58">
        <f t="shared" si="14"/>
        <v>-8711.0654400435742</v>
      </c>
      <c r="BV21" s="58">
        <f t="shared" si="15"/>
        <v>36049.5293355428</v>
      </c>
      <c r="BW21" s="58">
        <f>$BX$11*BU21</f>
        <v>-8711.0654400435742</v>
      </c>
      <c r="BX21" s="58">
        <f>$BY$11*BV21</f>
        <v>33906.642329486283</v>
      </c>
      <c r="BZ21" s="58">
        <f>SUM($BW$13:BW21)</f>
        <v>-75257.116934877005</v>
      </c>
      <c r="CA21" s="58">
        <f>SUM($BW$13:BX21)</f>
        <v>-174405.72766115319</v>
      </c>
      <c r="CE21" s="133">
        <v>45908.625</v>
      </c>
      <c r="CF21" s="54">
        <v>-75257.116934877005</v>
      </c>
      <c r="CG21" s="54">
        <v>-174405.72766115319</v>
      </c>
    </row>
    <row r="22" spans="1:85" x14ac:dyDescent="0.3">
      <c r="A22" s="158">
        <v>45856.625</v>
      </c>
      <c r="B22" s="76">
        <f t="shared" ref="B22:B85" si="39">VLOOKUP($A22+$I$2,U$3:V$500,2)</f>
        <v>94.09</v>
      </c>
      <c r="C22" s="31">
        <f t="shared" ref="C22:C85" si="40">(B22/$B$14-1)*$B$5</f>
        <v>50585.72949946938</v>
      </c>
      <c r="D22" s="32">
        <f t="shared" ref="D22:D85" si="41">-1*(A22-$A$14)/360*$B$7*$B$5</f>
        <v>-29374.999999999996</v>
      </c>
      <c r="E22" s="76">
        <f t="shared" ref="E22:E85" si="42">VLOOKUP($A22+$I$2,W$3:X$500,2)</f>
        <v>101.28</v>
      </c>
      <c r="F22" s="31">
        <f t="shared" ref="F22:F85" si="43">(E22-$E$14)/100*$C$5</f>
        <v>7800.0000000002956</v>
      </c>
      <c r="G22" s="32">
        <f t="shared" ref="G22:G85" si="44">(A22-$A$14)/360*$C$6*$C$5-(A22-$A$14)/360*$C$7*$C$5*$E$14/100</f>
        <v>-10458.301666666663</v>
      </c>
      <c r="H22" s="76">
        <f t="shared" ref="H22:H85" si="45">VLOOKUP($A22+$I$2,Y$3:Z$500,2)</f>
        <v>120.01</v>
      </c>
      <c r="I22" s="31">
        <f t="shared" ref="I22:I85" si="46">(H22/$H$14-1)*$D$5</f>
        <v>-666694.01148482412</v>
      </c>
      <c r="J22" s="32">
        <f t="shared" ref="J22:J85" si="47">-1*(A22-$A$14)/360*$D$7*$D$5</f>
        <v>-50524.999999999993</v>
      </c>
      <c r="K22" s="76">
        <f t="shared" ref="K22:K85" si="48">VLOOKUP($A22+$I$2,AA$3:AB$500,2)</f>
        <v>99.805999999999997</v>
      </c>
      <c r="L22" s="31">
        <f t="shared" ref="L22:L85" si="49">(K22-$K$14)/100*$E$5</f>
        <v>18859.999999996831</v>
      </c>
      <c r="M22" s="32">
        <f t="shared" ref="M22:M85" si="50">(A22-$A$14)/360*$E$6*$E$5-(A22-$A$14)/360*$E$7*$E$5*$K$14/100</f>
        <v>-23003.824444444439</v>
      </c>
      <c r="N22" s="82">
        <f t="shared" ref="N22:N85" si="51">C22+D22-F22-G22-I22-J22+L22+M22</f>
        <v>736944.21820651239</v>
      </c>
      <c r="O22" s="82"/>
      <c r="P22" s="82"/>
      <c r="Q22" s="82">
        <f>$G$5*SUM($O$14:O22)-$H$5*SUM($P$14:P22)</f>
        <v>-685953.76080000005</v>
      </c>
      <c r="R22" s="82">
        <f t="shared" si="12"/>
        <v>50990.457406512345</v>
      </c>
      <c r="S22" s="162"/>
      <c r="U22" s="75">
        <v>45784.625</v>
      </c>
      <c r="V22" s="54">
        <v>92.3</v>
      </c>
      <c r="W22" s="75">
        <v>45783.625</v>
      </c>
      <c r="X22" s="54">
        <v>101.666</v>
      </c>
      <c r="Y22" s="125">
        <v>45785.625</v>
      </c>
      <c r="Z22" s="54">
        <v>120.69</v>
      </c>
      <c r="AA22" s="75">
        <v>45873.625</v>
      </c>
      <c r="AB22" s="54">
        <v>99.884</v>
      </c>
      <c r="AF22" s="131">
        <v>45908.625</v>
      </c>
      <c r="AG22" s="45">
        <f t="shared" si="20"/>
        <v>80.87</v>
      </c>
      <c r="AH22" s="46">
        <f t="shared" si="21"/>
        <v>-43225.886130665029</v>
      </c>
      <c r="AI22" s="46">
        <f t="shared" si="22"/>
        <v>-49350</v>
      </c>
      <c r="AJ22" s="45">
        <f t="shared" si="23"/>
        <v>100.265625</v>
      </c>
      <c r="AK22" s="46">
        <f t="shared" si="24"/>
        <v>120351.5625</v>
      </c>
      <c r="AL22" s="47">
        <f t="shared" si="25"/>
        <v>-3835.837890625</v>
      </c>
      <c r="AM22" s="45">
        <f t="shared" si="26"/>
        <v>111.56</v>
      </c>
      <c r="AN22" s="46">
        <f t="shared" si="27"/>
        <v>500590.7479778218</v>
      </c>
      <c r="AO22" s="47">
        <f t="shared" si="28"/>
        <v>-50760</v>
      </c>
      <c r="AP22" s="45">
        <f t="shared" si="29"/>
        <v>100.265625</v>
      </c>
      <c r="AQ22" s="46">
        <f t="shared" si="30"/>
        <v>104921.875</v>
      </c>
      <c r="AR22" s="47">
        <f t="shared" si="31"/>
        <v>-3344.0638020833321</v>
      </c>
      <c r="AS22" s="45">
        <f t="shared" si="32"/>
        <v>101.6875</v>
      </c>
      <c r="AT22" s="46">
        <f t="shared" si="33"/>
        <v>117187.5</v>
      </c>
      <c r="AU22" s="47">
        <f t="shared" si="34"/>
        <v>36.78125</v>
      </c>
      <c r="AV22" s="45">
        <f t="shared" si="35"/>
        <v>101</v>
      </c>
      <c r="AW22" s="46">
        <f t="shared" si="36"/>
        <v>372421.875</v>
      </c>
      <c r="AX22" s="47">
        <f t="shared" si="37"/>
        <v>2197.0648437500022</v>
      </c>
      <c r="AY22" s="82">
        <f t="shared" si="38"/>
        <v>-65501.326426195184</v>
      </c>
      <c r="AZ22" s="82"/>
      <c r="BA22" s="82"/>
      <c r="BB22" s="82">
        <f>$AO$4*SUM($AZ$14:AZ22)-$AP$4*SUM($BA$14:BA22)</f>
        <v>39913.439100349337</v>
      </c>
      <c r="BC22" s="82">
        <f t="shared" si="13"/>
        <v>-105414.76552654452</v>
      </c>
      <c r="BE22" s="75">
        <v>45779.625</v>
      </c>
      <c r="BF22" s="54">
        <v>78.540000000000006</v>
      </c>
      <c r="BG22" s="75">
        <v>45923.625</v>
      </c>
      <c r="BH22" s="54">
        <v>99.796875</v>
      </c>
      <c r="BI22" s="75">
        <v>45779.625</v>
      </c>
      <c r="BJ22" s="54">
        <v>106.91</v>
      </c>
      <c r="BK22" s="75">
        <v>45923.625</v>
      </c>
      <c r="BL22" s="54">
        <v>99.796875</v>
      </c>
      <c r="BM22" s="75">
        <v>45902.625</v>
      </c>
      <c r="BN22" s="54">
        <v>99.859375</v>
      </c>
      <c r="BO22" s="75">
        <v>45903.625</v>
      </c>
      <c r="BP22" s="54">
        <v>97.671875</v>
      </c>
      <c r="BR22" s="161">
        <f t="shared" si="0"/>
        <v>45909.625</v>
      </c>
      <c r="BS22" s="58">
        <f t="shared" si="1"/>
        <v>43316.193147450918</v>
      </c>
      <c r="BT22" s="58">
        <f t="shared" si="2"/>
        <v>-155567.97894688469</v>
      </c>
      <c r="BU22" s="58">
        <f t="shared" si="14"/>
        <v>-22276.17491317715</v>
      </c>
      <c r="BV22" s="58">
        <f t="shared" si="15"/>
        <v>-50153.213420340166</v>
      </c>
      <c r="BW22" s="58">
        <f>$BX$11*BU22</f>
        <v>-22276.17491317715</v>
      </c>
      <c r="BX22" s="58">
        <f>$BY$11*BV22</f>
        <v>-47171.963142421439</v>
      </c>
      <c r="BZ22" s="58">
        <f>SUM($BW$13:BW22)</f>
        <v>-97533.291848054156</v>
      </c>
      <c r="CA22" s="58">
        <f>SUM($BW$13:BX22)</f>
        <v>-243853.86571675178</v>
      </c>
      <c r="CE22" s="133">
        <v>45909.625</v>
      </c>
      <c r="CF22" s="54">
        <v>-97533.291848054156</v>
      </c>
      <c r="CG22" s="54">
        <v>-243853.86571675178</v>
      </c>
    </row>
    <row r="23" spans="1:85" x14ac:dyDescent="0.3">
      <c r="A23" s="158">
        <v>45859.625</v>
      </c>
      <c r="B23" s="76">
        <f t="shared" si="39"/>
        <v>94.13</v>
      </c>
      <c r="C23" s="31">
        <f t="shared" si="40"/>
        <v>61235.356762512347</v>
      </c>
      <c r="D23" s="32">
        <f t="shared" si="41"/>
        <v>-38187.499999999993</v>
      </c>
      <c r="E23" s="76">
        <f t="shared" si="42"/>
        <v>101.45</v>
      </c>
      <c r="F23" s="31">
        <f t="shared" si="43"/>
        <v>41800.00000000064</v>
      </c>
      <c r="G23" s="32">
        <f t="shared" si="44"/>
        <v>-13595.792166666666</v>
      </c>
      <c r="H23" s="76">
        <f t="shared" si="45"/>
        <v>120.31</v>
      </c>
      <c r="I23" s="31">
        <f t="shared" si="46"/>
        <v>-560869.56521739287</v>
      </c>
      <c r="J23" s="32">
        <f t="shared" si="47"/>
        <v>-65682.499999999985</v>
      </c>
      <c r="K23" s="76">
        <f t="shared" si="48"/>
        <v>100.142</v>
      </c>
      <c r="L23" s="31">
        <f t="shared" si="49"/>
        <v>156619.99999999625</v>
      </c>
      <c r="M23" s="32">
        <f t="shared" si="50"/>
        <v>-29904.971777777781</v>
      </c>
      <c r="N23" s="82">
        <f t="shared" si="51"/>
        <v>748110.74236878974</v>
      </c>
      <c r="O23" s="82"/>
      <c r="P23" s="82"/>
      <c r="Q23" s="82">
        <f>$G$5*SUM($O$14:O23)-$H$5*SUM($P$14:P23)</f>
        <v>-685953.76080000005</v>
      </c>
      <c r="R23" s="82">
        <f t="shared" si="12"/>
        <v>62156.981568789692</v>
      </c>
      <c r="S23" s="162"/>
      <c r="U23" s="75">
        <v>45785.625</v>
      </c>
      <c r="V23" s="54">
        <v>92.52</v>
      </c>
      <c r="W23" s="75">
        <v>45784.625</v>
      </c>
      <c r="X23" s="54">
        <v>101.788</v>
      </c>
      <c r="Y23" s="125">
        <v>45786.625</v>
      </c>
      <c r="Z23" s="54">
        <v>120.68</v>
      </c>
      <c r="AA23" s="75">
        <v>45874.625</v>
      </c>
      <c r="AB23" s="54">
        <v>99.923000000000002</v>
      </c>
      <c r="AF23" s="131">
        <v>45909.625</v>
      </c>
      <c r="AG23" s="45">
        <f t="shared" si="20"/>
        <v>80.78</v>
      </c>
      <c r="AH23" s="46">
        <f t="shared" si="21"/>
        <v>-82129.183648262377</v>
      </c>
      <c r="AI23" s="46">
        <f t="shared" si="22"/>
        <v>-53462.499999999993</v>
      </c>
      <c r="AJ23" s="45">
        <f t="shared" si="23"/>
        <v>100.09375</v>
      </c>
      <c r="AK23" s="46">
        <f t="shared" si="24"/>
        <v>86835.937499999985</v>
      </c>
      <c r="AL23" s="47">
        <f t="shared" si="25"/>
        <v>-4155.4910481770821</v>
      </c>
      <c r="AM23" s="45">
        <f t="shared" si="26"/>
        <v>111.36</v>
      </c>
      <c r="AN23" s="46">
        <f t="shared" si="27"/>
        <v>435154.04889575572</v>
      </c>
      <c r="AO23" s="47">
        <f t="shared" si="28"/>
        <v>-54989.999999999985</v>
      </c>
      <c r="AP23" s="45">
        <f t="shared" si="29"/>
        <v>100.09375</v>
      </c>
      <c r="AQ23" s="46">
        <f t="shared" si="30"/>
        <v>75703.125</v>
      </c>
      <c r="AR23" s="47">
        <f t="shared" si="31"/>
        <v>-3622.7357855902774</v>
      </c>
      <c r="AS23" s="45">
        <f t="shared" si="32"/>
        <v>101.390625</v>
      </c>
      <c r="AT23" s="46">
        <f t="shared" si="33"/>
        <v>94921.875</v>
      </c>
      <c r="AU23" s="47">
        <f t="shared" si="34"/>
        <v>39.846354166667879</v>
      </c>
      <c r="AV23" s="45">
        <f t="shared" si="35"/>
        <v>100.4375</v>
      </c>
      <c r="AW23" s="46">
        <f t="shared" si="36"/>
        <v>313359.375</v>
      </c>
      <c r="AX23" s="47">
        <f t="shared" si="37"/>
        <v>2380.1535807291657</v>
      </c>
      <c r="AY23" s="82">
        <f t="shared" si="38"/>
        <v>-115654.53984653535</v>
      </c>
      <c r="AZ23" s="82"/>
      <c r="BA23" s="82"/>
      <c r="BB23" s="82">
        <f>$AO$4*SUM($AZ$14:AZ23)-$AP$4*SUM($BA$14:BA23)</f>
        <v>39913.439100349337</v>
      </c>
      <c r="BC23" s="82">
        <f t="shared" si="13"/>
        <v>-155567.97894688469</v>
      </c>
      <c r="BE23" s="75">
        <v>45782.625</v>
      </c>
      <c r="BF23" s="54">
        <v>78.510000000000005</v>
      </c>
      <c r="BG23" s="75">
        <v>45924.625</v>
      </c>
      <c r="BH23" s="54">
        <v>99.6015625</v>
      </c>
      <c r="BI23" s="75">
        <v>45782.625</v>
      </c>
      <c r="BJ23" s="54">
        <v>106.76</v>
      </c>
      <c r="BK23" s="75">
        <v>45924.625</v>
      </c>
      <c r="BL23" s="54">
        <v>99.6015625</v>
      </c>
      <c r="BM23" s="75">
        <v>45903.625</v>
      </c>
      <c r="BN23" s="54">
        <v>100.234375</v>
      </c>
      <c r="BO23" s="75">
        <v>45904.625</v>
      </c>
      <c r="BP23" s="54">
        <v>98.296875</v>
      </c>
      <c r="BR23" s="161">
        <f t="shared" si="0"/>
        <v>45910.625</v>
      </c>
      <c r="BS23" s="58">
        <f t="shared" si="1"/>
        <v>6506.9001736791106</v>
      </c>
      <c r="BT23" s="58">
        <f t="shared" si="2"/>
        <v>-162609.92823870503</v>
      </c>
      <c r="BU23" s="58">
        <f t="shared" si="14"/>
        <v>-36809.292973771808</v>
      </c>
      <c r="BV23" s="58">
        <f t="shared" si="15"/>
        <v>-7041.9492918203468</v>
      </c>
      <c r="BW23" s="58">
        <f>$BX$11*BU23</f>
        <v>-36809.292973771808</v>
      </c>
      <c r="BX23" s="58">
        <f>$BY$11*BV23</f>
        <v>-6623.3557092441461</v>
      </c>
      <c r="BZ23" s="58">
        <f>SUM($BW$13:BW23)</f>
        <v>-134342.58482182596</v>
      </c>
      <c r="CA23" s="58">
        <f>SUM($BW$13:BX23)</f>
        <v>-287286.51439976774</v>
      </c>
      <c r="CE23" s="133">
        <v>45910.625</v>
      </c>
      <c r="CF23" s="54">
        <v>-134342.58482182596</v>
      </c>
      <c r="CG23" s="54">
        <v>-287286.51439976774</v>
      </c>
    </row>
    <row r="24" spans="1:85" x14ac:dyDescent="0.3">
      <c r="A24" s="158">
        <v>45860.625</v>
      </c>
      <c r="B24" s="76">
        <f t="shared" si="39"/>
        <v>94.13</v>
      </c>
      <c r="C24" s="31">
        <f t="shared" si="40"/>
        <v>61235.356762512347</v>
      </c>
      <c r="D24" s="32">
        <f t="shared" si="41"/>
        <v>-41125</v>
      </c>
      <c r="E24" s="76">
        <f t="shared" si="42"/>
        <v>101.5</v>
      </c>
      <c r="F24" s="31">
        <f t="shared" si="43"/>
        <v>51800.000000000065</v>
      </c>
      <c r="G24" s="32">
        <f t="shared" si="44"/>
        <v>-14641.622333333329</v>
      </c>
      <c r="H24" s="76">
        <f t="shared" si="45"/>
        <v>120.48</v>
      </c>
      <c r="I24" s="31">
        <f t="shared" si="46"/>
        <v>-500902.37899918098</v>
      </c>
      <c r="J24" s="32">
        <f t="shared" si="47"/>
        <v>-70735</v>
      </c>
      <c r="K24" s="76">
        <f t="shared" si="48"/>
        <v>100.247</v>
      </c>
      <c r="L24" s="31">
        <f t="shared" si="49"/>
        <v>199669.99999999785</v>
      </c>
      <c r="M24" s="32">
        <f t="shared" si="50"/>
        <v>-32205.354222222224</v>
      </c>
      <c r="N24" s="82">
        <f t="shared" si="51"/>
        <v>722054.00387280225</v>
      </c>
      <c r="O24" s="82"/>
      <c r="P24" s="82"/>
      <c r="Q24" s="82">
        <f>$G$5*SUM($O$14:O24)-$H$5*SUM($P$14:P24)</f>
        <v>-685953.76080000005</v>
      </c>
      <c r="R24" s="82">
        <f t="shared" si="12"/>
        <v>36100.243072802201</v>
      </c>
      <c r="S24" s="162"/>
      <c r="U24" s="75">
        <v>45786.625</v>
      </c>
      <c r="V24" s="54">
        <v>92.56</v>
      </c>
      <c r="W24" s="75">
        <v>45785.625</v>
      </c>
      <c r="X24" s="54">
        <v>101.69499999999999</v>
      </c>
      <c r="Y24" s="125">
        <v>45789.625</v>
      </c>
      <c r="Z24" s="54">
        <v>120.3</v>
      </c>
      <c r="AA24" s="75">
        <v>45875.625</v>
      </c>
      <c r="AB24" s="54">
        <v>99.869</v>
      </c>
      <c r="AF24" s="131">
        <v>45910.625</v>
      </c>
      <c r="AG24" s="45">
        <f t="shared" si="20"/>
        <v>80.84</v>
      </c>
      <c r="AH24" s="46">
        <f t="shared" si="21"/>
        <v>-56193.651969864142</v>
      </c>
      <c r="AI24" s="46">
        <f t="shared" si="22"/>
        <v>-57575</v>
      </c>
      <c r="AJ24" s="45">
        <f t="shared" si="23"/>
        <v>100.1640625</v>
      </c>
      <c r="AK24" s="46">
        <f t="shared" si="24"/>
        <v>100546.875</v>
      </c>
      <c r="AL24" s="47">
        <f t="shared" si="25"/>
        <v>-4475.1442057291679</v>
      </c>
      <c r="AM24" s="45">
        <f t="shared" si="26"/>
        <v>111.69</v>
      </c>
      <c r="AN24" s="46">
        <f t="shared" si="27"/>
        <v>543124.60238116514</v>
      </c>
      <c r="AO24" s="47">
        <f t="shared" si="28"/>
        <v>-59219.999999999993</v>
      </c>
      <c r="AP24" s="45">
        <f t="shared" si="29"/>
        <v>100.1640625</v>
      </c>
      <c r="AQ24" s="46">
        <f t="shared" si="30"/>
        <v>87656.25</v>
      </c>
      <c r="AR24" s="47">
        <f t="shared" si="31"/>
        <v>-3901.4077690972226</v>
      </c>
      <c r="AS24" s="45">
        <f t="shared" si="32"/>
        <v>101.6875</v>
      </c>
      <c r="AT24" s="46">
        <f t="shared" si="33"/>
        <v>117187.5</v>
      </c>
      <c r="AU24" s="47">
        <f t="shared" si="34"/>
        <v>42.911458333335759</v>
      </c>
      <c r="AV24" s="45">
        <f t="shared" si="35"/>
        <v>100.953125</v>
      </c>
      <c r="AW24" s="46">
        <f t="shared" si="36"/>
        <v>367500.00000000006</v>
      </c>
      <c r="AX24" s="47">
        <f t="shared" si="37"/>
        <v>2563.2423177083365</v>
      </c>
      <c r="AY24" s="82">
        <f t="shared" si="38"/>
        <v>-122696.4891383557</v>
      </c>
      <c r="AZ24" s="82"/>
      <c r="BA24" s="82"/>
      <c r="BB24" s="82">
        <f>$AO$4*SUM($AZ$14:AZ24)-$AP$4*SUM($BA$14:BA24)</f>
        <v>39913.439100349337</v>
      </c>
      <c r="BC24" s="82">
        <f t="shared" si="13"/>
        <v>-162609.92823870503</v>
      </c>
      <c r="BE24" s="75">
        <v>45783.625</v>
      </c>
      <c r="BF24" s="54">
        <v>78.45</v>
      </c>
      <c r="BG24" s="75">
        <v>45925.625</v>
      </c>
      <c r="BH24" s="54">
        <v>99.390625</v>
      </c>
      <c r="BI24" s="75">
        <v>45783.625</v>
      </c>
      <c r="BJ24" s="54">
        <v>106.97</v>
      </c>
      <c r="BK24" s="75">
        <v>45925.625</v>
      </c>
      <c r="BL24" s="54">
        <v>99.390625</v>
      </c>
      <c r="BM24" s="75">
        <v>45904.625</v>
      </c>
      <c r="BN24" s="54">
        <v>100.71875</v>
      </c>
      <c r="BO24" s="75">
        <v>45905.625</v>
      </c>
      <c r="BP24" s="54">
        <v>99.6875</v>
      </c>
      <c r="BR24" s="161">
        <f t="shared" si="0"/>
        <v>45911.625</v>
      </c>
      <c r="BS24" s="58">
        <f t="shared" si="1"/>
        <v>14395.108923095191</v>
      </c>
      <c r="BT24" s="58">
        <f t="shared" si="2"/>
        <v>-158527.06357556127</v>
      </c>
      <c r="BU24" s="58">
        <f t="shared" si="14"/>
        <v>7888.2087494160805</v>
      </c>
      <c r="BV24" s="58">
        <f t="shared" si="15"/>
        <v>4082.8646631437587</v>
      </c>
      <c r="BW24" s="58">
        <f>$BX$11*BU24</f>
        <v>7888.2087494160805</v>
      </c>
      <c r="BX24" s="58">
        <f>$BY$11*BV24</f>
        <v>3840.1675240853592</v>
      </c>
      <c r="BZ24" s="58">
        <f>SUM($BW$13:BW24)</f>
        <v>-126454.37607240988</v>
      </c>
      <c r="CA24" s="58">
        <f>SUM($BW$13:BX24)</f>
        <v>-275558.13812626631</v>
      </c>
      <c r="CE24" s="133">
        <v>45911.625</v>
      </c>
      <c r="CF24" s="54">
        <v>-126454.37607240988</v>
      </c>
      <c r="CG24" s="54">
        <v>-275558.13812626631</v>
      </c>
    </row>
    <row r="25" spans="1:85" x14ac:dyDescent="0.3">
      <c r="A25" s="158">
        <v>45861.625</v>
      </c>
      <c r="B25" s="76">
        <f t="shared" si="39"/>
        <v>94.21</v>
      </c>
      <c r="C25" s="31">
        <f t="shared" si="40"/>
        <v>82534.611288603846</v>
      </c>
      <c r="D25" s="32">
        <f t="shared" si="41"/>
        <v>-44062.499999999993</v>
      </c>
      <c r="E25" s="76">
        <f t="shared" si="42"/>
        <v>101.505</v>
      </c>
      <c r="F25" s="31">
        <f t="shared" si="43"/>
        <v>52799.999999999156</v>
      </c>
      <c r="G25" s="32">
        <f t="shared" si="44"/>
        <v>-15687.452499999992</v>
      </c>
      <c r="H25" s="76">
        <f t="shared" si="45"/>
        <v>120.5</v>
      </c>
      <c r="I25" s="31">
        <f t="shared" si="46"/>
        <v>-493847.41591468715</v>
      </c>
      <c r="J25" s="32">
        <f t="shared" si="47"/>
        <v>-75787.499999999985</v>
      </c>
      <c r="K25" s="76">
        <f t="shared" si="48"/>
        <v>100.22499999999999</v>
      </c>
      <c r="L25" s="31">
        <f t="shared" si="49"/>
        <v>190649.99999999558</v>
      </c>
      <c r="M25" s="32">
        <f t="shared" si="50"/>
        <v>-34505.736666666664</v>
      </c>
      <c r="N25" s="82">
        <f t="shared" si="51"/>
        <v>727138.74303662067</v>
      </c>
      <c r="O25" s="82"/>
      <c r="P25" s="82"/>
      <c r="Q25" s="82">
        <f>$G$5*SUM($O$14:O25)-$H$5*SUM($P$14:P25)</f>
        <v>-685953.76080000005</v>
      </c>
      <c r="R25" s="82">
        <f t="shared" si="12"/>
        <v>41184.982236620621</v>
      </c>
      <c r="S25" s="162"/>
      <c r="U25" s="75">
        <v>45789.625</v>
      </c>
      <c r="V25" s="54">
        <v>92.85</v>
      </c>
      <c r="W25" s="75">
        <v>45786.625</v>
      </c>
      <c r="X25" s="54">
        <v>101.578</v>
      </c>
      <c r="Y25" s="125">
        <v>45790.625</v>
      </c>
      <c r="Z25" s="54">
        <v>120.31</v>
      </c>
      <c r="AA25" s="75">
        <v>45876.625</v>
      </c>
      <c r="AB25" s="54">
        <v>99.838999999999999</v>
      </c>
      <c r="AF25" s="131">
        <v>45911.625</v>
      </c>
      <c r="AG25" s="45">
        <f t="shared" si="20"/>
        <v>81.040000000000006</v>
      </c>
      <c r="AH25" s="46">
        <f t="shared" si="21"/>
        <v>30258.120291469793</v>
      </c>
      <c r="AI25" s="46">
        <f t="shared" si="22"/>
        <v>-61687.499999999993</v>
      </c>
      <c r="AJ25" s="45">
        <f t="shared" si="23"/>
        <v>100.1640625</v>
      </c>
      <c r="AK25" s="46">
        <f t="shared" si="24"/>
        <v>100546.875</v>
      </c>
      <c r="AL25" s="47">
        <f t="shared" si="25"/>
        <v>-4794.7973632812536</v>
      </c>
      <c r="AM25" s="45">
        <f t="shared" si="26"/>
        <v>112.21</v>
      </c>
      <c r="AN25" s="46">
        <f t="shared" si="27"/>
        <v>713260.01999454643</v>
      </c>
      <c r="AO25" s="47">
        <f t="shared" si="28"/>
        <v>-63449.999999999993</v>
      </c>
      <c r="AP25" s="45">
        <f t="shared" si="29"/>
        <v>100.1640625</v>
      </c>
      <c r="AQ25" s="46">
        <f t="shared" si="30"/>
        <v>87656.25</v>
      </c>
      <c r="AR25" s="47">
        <f t="shared" si="31"/>
        <v>-4180.0797526041679</v>
      </c>
      <c r="AS25" s="45">
        <f t="shared" si="32"/>
        <v>101.890625</v>
      </c>
      <c r="AT25" s="46">
        <f t="shared" si="33"/>
        <v>132421.875</v>
      </c>
      <c r="AU25" s="47">
        <f t="shared" si="34"/>
        <v>45.976562500001819</v>
      </c>
      <c r="AV25" s="45">
        <f t="shared" si="35"/>
        <v>101.640625</v>
      </c>
      <c r="AW25" s="46">
        <f t="shared" si="36"/>
        <v>439687.5</v>
      </c>
      <c r="AX25" s="47">
        <f t="shared" si="37"/>
        <v>2746.3310546875</v>
      </c>
      <c r="AY25" s="82">
        <f t="shared" si="38"/>
        <v>-118613.62447521195</v>
      </c>
      <c r="AZ25" s="82"/>
      <c r="BA25" s="82"/>
      <c r="BB25" s="82">
        <f>$AO$4*SUM($AZ$14:AZ25)-$AP$4*SUM($BA$14:BA25)</f>
        <v>39913.439100349337</v>
      </c>
      <c r="BC25" s="82">
        <f t="shared" si="13"/>
        <v>-158527.06357556127</v>
      </c>
      <c r="BE25" s="75">
        <v>45784.625</v>
      </c>
      <c r="BF25" s="54">
        <v>78.52</v>
      </c>
      <c r="BG25" s="75">
        <v>45926.625</v>
      </c>
      <c r="BH25" s="54">
        <v>99.3828125</v>
      </c>
      <c r="BI25" s="75">
        <v>45784.625</v>
      </c>
      <c r="BJ25" s="54">
        <v>107.19</v>
      </c>
      <c r="BK25" s="75">
        <v>45926.625</v>
      </c>
      <c r="BL25" s="54">
        <v>99.3828125</v>
      </c>
      <c r="BM25" s="75">
        <v>45905.625</v>
      </c>
      <c r="BN25" s="54">
        <v>101.3125</v>
      </c>
      <c r="BO25" s="75">
        <v>45908.625</v>
      </c>
      <c r="BP25" s="54">
        <v>101</v>
      </c>
      <c r="BR25" s="161">
        <f t="shared" si="0"/>
        <v>45912.625</v>
      </c>
      <c r="BS25" s="58">
        <f t="shared" si="1"/>
        <v>41613.732562482444</v>
      </c>
      <c r="BT25" s="58">
        <f t="shared" si="2"/>
        <v>-198029.56338284176</v>
      </c>
      <c r="BU25" s="58">
        <f t="shared" si="14"/>
        <v>27218.623639387253</v>
      </c>
      <c r="BV25" s="58">
        <f t="shared" si="15"/>
        <v>-39502.499807280488</v>
      </c>
      <c r="BW25" s="58">
        <f>$BX$11*BU25</f>
        <v>27218.623639387253</v>
      </c>
      <c r="BX25" s="58">
        <f>$BY$11*BV25</f>
        <v>-37154.358372315568</v>
      </c>
      <c r="BZ25" s="58">
        <f>SUM($BW$13:BW25)</f>
        <v>-99235.75243302263</v>
      </c>
      <c r="CA25" s="58">
        <f>SUM($BW$13:BX25)</f>
        <v>-285493.87285919464</v>
      </c>
      <c r="CE25" s="133">
        <v>45912.625</v>
      </c>
      <c r="CF25" s="54">
        <v>-99235.75243302263</v>
      </c>
      <c r="CG25" s="54">
        <v>-285493.87285919464</v>
      </c>
    </row>
    <row r="26" spans="1:85" x14ac:dyDescent="0.3">
      <c r="A26" s="158">
        <v>45862.625</v>
      </c>
      <c r="B26" s="76">
        <f t="shared" si="39"/>
        <v>94.34</v>
      </c>
      <c r="C26" s="31">
        <f t="shared" si="40"/>
        <v>117145.89989350043</v>
      </c>
      <c r="D26" s="32">
        <f t="shared" si="41"/>
        <v>-47000</v>
      </c>
      <c r="E26" s="76">
        <f t="shared" si="42"/>
        <v>101.15300000000001</v>
      </c>
      <c r="F26" s="31">
        <f t="shared" si="43"/>
        <v>-17599.99999999877</v>
      </c>
      <c r="G26" s="32">
        <f t="shared" si="44"/>
        <v>-16733.282666666666</v>
      </c>
      <c r="H26" s="76">
        <f t="shared" si="45"/>
        <v>120.16</v>
      </c>
      <c r="I26" s="31">
        <f t="shared" si="46"/>
        <v>-613781.78835111088</v>
      </c>
      <c r="J26" s="32">
        <f t="shared" si="47"/>
        <v>-80840</v>
      </c>
      <c r="K26" s="76">
        <f t="shared" si="48"/>
        <v>99.679000000000002</v>
      </c>
      <c r="L26" s="31">
        <f t="shared" si="49"/>
        <v>-33210.000000001259</v>
      </c>
      <c r="M26" s="32">
        <f t="shared" si="50"/>
        <v>-36806.119111111118</v>
      </c>
      <c r="N26" s="82">
        <f t="shared" si="51"/>
        <v>729084.85180016432</v>
      </c>
      <c r="O26" s="82"/>
      <c r="P26" s="82"/>
      <c r="Q26" s="82">
        <f>$G$5*SUM($O$14:O26)-$H$5*SUM($P$14:P26)</f>
        <v>-685953.76080000005</v>
      </c>
      <c r="R26" s="82">
        <f t="shared" si="12"/>
        <v>43131.091000164277</v>
      </c>
      <c r="S26" s="162"/>
      <c r="U26" s="75">
        <v>45790.625</v>
      </c>
      <c r="V26" s="54">
        <v>93.02</v>
      </c>
      <c r="W26" s="75">
        <v>45789.625</v>
      </c>
      <c r="X26" s="54">
        <v>101.15600000000001</v>
      </c>
      <c r="Y26" s="125">
        <v>45791.625</v>
      </c>
      <c r="Z26" s="54">
        <v>120.27</v>
      </c>
      <c r="AA26" s="75">
        <v>45877.625</v>
      </c>
      <c r="AB26" s="54">
        <v>99.611000000000004</v>
      </c>
      <c r="AF26" s="131">
        <v>45912.625</v>
      </c>
      <c r="AG26" s="45">
        <f t="shared" si="20"/>
        <v>80.959999999999994</v>
      </c>
      <c r="AH26" s="46">
        <f t="shared" si="21"/>
        <v>-4322.5886130676681</v>
      </c>
      <c r="AI26" s="46">
        <f t="shared" si="22"/>
        <v>-65800</v>
      </c>
      <c r="AJ26" s="45">
        <f t="shared" si="23"/>
        <v>99.9921875</v>
      </c>
      <c r="AK26" s="46">
        <f t="shared" si="24"/>
        <v>67031.25</v>
      </c>
      <c r="AL26" s="47">
        <f t="shared" si="25"/>
        <v>-5114.4505208333321</v>
      </c>
      <c r="AM26" s="45">
        <f t="shared" si="26"/>
        <v>112.01</v>
      </c>
      <c r="AN26" s="46">
        <f t="shared" si="27"/>
        <v>647823.32091248035</v>
      </c>
      <c r="AO26" s="47">
        <f t="shared" si="28"/>
        <v>-67680</v>
      </c>
      <c r="AP26" s="45">
        <f t="shared" si="29"/>
        <v>99.9921875</v>
      </c>
      <c r="AQ26" s="46">
        <f t="shared" si="30"/>
        <v>58437.5</v>
      </c>
      <c r="AR26" s="47">
        <f t="shared" si="31"/>
        <v>-4458.7517361111095</v>
      </c>
      <c r="AS26" s="45">
        <f t="shared" si="32"/>
        <v>101.546875</v>
      </c>
      <c r="AT26" s="46">
        <f t="shared" si="33"/>
        <v>106640.625</v>
      </c>
      <c r="AU26" s="47">
        <f t="shared" si="34"/>
        <v>49.041666666669698</v>
      </c>
      <c r="AV26" s="45">
        <f t="shared" si="35"/>
        <v>101.171875</v>
      </c>
      <c r="AW26" s="46">
        <f t="shared" si="36"/>
        <v>390468.75</v>
      </c>
      <c r="AX26" s="47">
        <f t="shared" si="37"/>
        <v>2929.4197916666672</v>
      </c>
      <c r="AY26" s="82">
        <f t="shared" si="38"/>
        <v>-158116.12428249244</v>
      </c>
      <c r="AZ26" s="82"/>
      <c r="BA26" s="82"/>
      <c r="BB26" s="82">
        <f>$AO$4*SUM($AZ$14:AZ26)-$AP$4*SUM($BA$14:BA26)</f>
        <v>39913.439100349337</v>
      </c>
      <c r="BC26" s="82">
        <f t="shared" si="13"/>
        <v>-198029.56338284176</v>
      </c>
      <c r="BE26" s="75">
        <v>45785.625</v>
      </c>
      <c r="BF26" s="54">
        <v>78.5</v>
      </c>
      <c r="BG26" s="75">
        <v>45929.625</v>
      </c>
      <c r="BH26" s="54">
        <v>99.4921875</v>
      </c>
      <c r="BI26" s="75">
        <v>45785.625</v>
      </c>
      <c r="BJ26" s="54">
        <v>106.65</v>
      </c>
      <c r="BK26" s="75">
        <v>45929.625</v>
      </c>
      <c r="BL26" s="54">
        <v>99.4921875</v>
      </c>
      <c r="BM26" s="75">
        <v>45908.625</v>
      </c>
      <c r="BN26" s="54">
        <v>101.6875</v>
      </c>
      <c r="BO26" s="75">
        <v>45909.625</v>
      </c>
      <c r="BP26" s="54">
        <v>100.4375</v>
      </c>
      <c r="BR26" s="161">
        <f t="shared" si="0"/>
        <v>45915.625</v>
      </c>
      <c r="BS26" s="58">
        <f t="shared" si="1"/>
        <v>33492.704933410801</v>
      </c>
      <c r="BT26" s="58">
        <f t="shared" si="2"/>
        <v>-173848.15613034973</v>
      </c>
      <c r="BU26" s="58">
        <f t="shared" si="14"/>
        <v>-8121.0276290716429</v>
      </c>
      <c r="BV26" s="58">
        <f t="shared" si="15"/>
        <v>24181.407252492034</v>
      </c>
      <c r="BW26" s="58">
        <f>$BX$11*BU26</f>
        <v>-8121.0276290716429</v>
      </c>
      <c r="BX26" s="58">
        <f>$BY$11*BV26</f>
        <v>22743.995326604938</v>
      </c>
      <c r="BZ26" s="58">
        <f>SUM($BW$13:BW26)</f>
        <v>-107356.78006209427</v>
      </c>
      <c r="CA26" s="58">
        <f>SUM($BW$13:BX26)</f>
        <v>-270870.90516166133</v>
      </c>
      <c r="CE26" s="133">
        <v>45915.625</v>
      </c>
      <c r="CF26" s="54">
        <v>-107356.78006209427</v>
      </c>
      <c r="CG26" s="54">
        <v>-270870.90516166133</v>
      </c>
    </row>
    <row r="27" spans="1:85" x14ac:dyDescent="0.3">
      <c r="A27" s="158">
        <v>45863.625</v>
      </c>
      <c r="B27" s="76">
        <f t="shared" si="39"/>
        <v>94.27</v>
      </c>
      <c r="C27" s="31">
        <f t="shared" si="40"/>
        <v>98509.052183171079</v>
      </c>
      <c r="D27" s="32">
        <f t="shared" si="41"/>
        <v>-49937.499999999993</v>
      </c>
      <c r="E27" s="76">
        <f t="shared" si="42"/>
        <v>101.054</v>
      </c>
      <c r="F27" s="31">
        <f t="shared" si="43"/>
        <v>-37399.99999999952</v>
      </c>
      <c r="G27" s="32">
        <f t="shared" si="44"/>
        <v>-17779.112833333322</v>
      </c>
      <c r="H27" s="76">
        <f t="shared" si="45"/>
        <v>120.06</v>
      </c>
      <c r="I27" s="31">
        <f t="shared" si="46"/>
        <v>-649056.60377358471</v>
      </c>
      <c r="J27" s="32">
        <f t="shared" si="47"/>
        <v>-85892.499999999985</v>
      </c>
      <c r="K27" s="76">
        <f t="shared" si="48"/>
        <v>99.524000000000001</v>
      </c>
      <c r="L27" s="31">
        <f t="shared" si="49"/>
        <v>-96760.000000001732</v>
      </c>
      <c r="M27" s="32">
        <f t="shared" si="50"/>
        <v>-39106.501555555536</v>
      </c>
      <c r="N27" s="82">
        <f t="shared" si="51"/>
        <v>702833.26723453135</v>
      </c>
      <c r="O27" s="82"/>
      <c r="P27" s="82"/>
      <c r="Q27" s="82">
        <f>$G$5*SUM($O$14:O27)-$H$5*SUM($P$14:P27)</f>
        <v>-685953.76080000005</v>
      </c>
      <c r="R27" s="82">
        <f t="shared" si="12"/>
        <v>16879.5064345313</v>
      </c>
      <c r="S27" s="162"/>
      <c r="U27" s="75">
        <v>45791.625</v>
      </c>
      <c r="V27" s="54">
        <v>92.87</v>
      </c>
      <c r="W27" s="75">
        <v>45790.625</v>
      </c>
      <c r="X27" s="54">
        <v>101.125</v>
      </c>
      <c r="Y27" s="125">
        <v>45792.625</v>
      </c>
      <c r="Z27" s="54">
        <v>120.4</v>
      </c>
      <c r="AA27" s="75">
        <v>45880.625</v>
      </c>
      <c r="AB27" s="54">
        <v>99.561999999999998</v>
      </c>
      <c r="AF27" s="131">
        <v>45915.625</v>
      </c>
      <c r="AG27" s="45">
        <f t="shared" si="20"/>
        <v>81.19</v>
      </c>
      <c r="AH27" s="46">
        <f t="shared" si="21"/>
        <v>95096.94948746539</v>
      </c>
      <c r="AI27" s="46">
        <f t="shared" si="22"/>
        <v>-78137.5</v>
      </c>
      <c r="AJ27" s="45">
        <f t="shared" si="23"/>
        <v>100.09375</v>
      </c>
      <c r="AK27" s="46">
        <f t="shared" si="24"/>
        <v>86835.937499999985</v>
      </c>
      <c r="AL27" s="47">
        <f t="shared" si="25"/>
        <v>-6073.4099934895785</v>
      </c>
      <c r="AM27" s="45">
        <f t="shared" si="26"/>
        <v>112.36</v>
      </c>
      <c r="AN27" s="46">
        <f t="shared" si="27"/>
        <v>762337.54430609406</v>
      </c>
      <c r="AO27" s="47">
        <f t="shared" si="28"/>
        <v>-80370</v>
      </c>
      <c r="AP27" s="45">
        <f t="shared" si="29"/>
        <v>100.09375</v>
      </c>
      <c r="AQ27" s="46">
        <f t="shared" si="30"/>
        <v>75703.125</v>
      </c>
      <c r="AR27" s="47">
        <f t="shared" si="31"/>
        <v>-5294.7676866319453</v>
      </c>
      <c r="AS27" s="45">
        <f t="shared" si="32"/>
        <v>101.71875</v>
      </c>
      <c r="AT27" s="46">
        <f t="shared" si="33"/>
        <v>119531.25</v>
      </c>
      <c r="AU27" s="47">
        <f t="shared" si="34"/>
        <v>58.236979166671517</v>
      </c>
      <c r="AV27" s="45">
        <f t="shared" si="35"/>
        <v>101.4375</v>
      </c>
      <c r="AW27" s="46">
        <f t="shared" si="36"/>
        <v>418359.37499999994</v>
      </c>
      <c r="AX27" s="47">
        <f t="shared" si="37"/>
        <v>3478.6860026041686</v>
      </c>
      <c r="AY27" s="82">
        <f t="shared" si="38"/>
        <v>-133934.71703000038</v>
      </c>
      <c r="AZ27" s="82"/>
      <c r="BA27" s="82"/>
      <c r="BB27" s="82">
        <f>$AO$4*SUM($AZ$14:AZ27)-$AP$4*SUM($BA$14:BA27)</f>
        <v>39913.439100349337</v>
      </c>
      <c r="BC27" s="82">
        <f t="shared" si="13"/>
        <v>-173848.15613034973</v>
      </c>
      <c r="BE27" s="75">
        <v>45786.625</v>
      </c>
      <c r="BF27" s="54">
        <v>78.55</v>
      </c>
      <c r="BG27" s="75">
        <v>45930.625</v>
      </c>
      <c r="BH27" s="54">
        <v>99.5078125</v>
      </c>
      <c r="BI27" s="75">
        <v>45786.625</v>
      </c>
      <c r="BJ27" s="54">
        <v>106.61</v>
      </c>
      <c r="BK27" s="75">
        <v>45930.625</v>
      </c>
      <c r="BL27" s="54">
        <v>99.5078125</v>
      </c>
      <c r="BM27" s="75">
        <v>45909.625</v>
      </c>
      <c r="BN27" s="54">
        <v>101.390625</v>
      </c>
      <c r="BO27" s="75">
        <v>45910.625</v>
      </c>
      <c r="BP27" s="54">
        <v>100.953125</v>
      </c>
      <c r="BR27" s="161">
        <f t="shared" si="0"/>
        <v>45916.625</v>
      </c>
      <c r="BS27" s="58">
        <f t="shared" si="1"/>
        <v>21886.603851248568</v>
      </c>
      <c r="BT27" s="58">
        <f t="shared" si="2"/>
        <v>-150001.95325252769</v>
      </c>
      <c r="BU27" s="58">
        <f t="shared" si="14"/>
        <v>-11606.101082162233</v>
      </c>
      <c r="BV27" s="58">
        <f t="shared" si="15"/>
        <v>23846.202877822041</v>
      </c>
      <c r="BW27" s="58">
        <f>$BX$11*BU27</f>
        <v>-11606.101082162233</v>
      </c>
      <c r="BX27" s="58">
        <f>$BY$11*BV27</f>
        <v>22428.716457540519</v>
      </c>
      <c r="BZ27" s="58">
        <f>SUM($BW$13:BW27)</f>
        <v>-118962.88114425651</v>
      </c>
      <c r="CA27" s="58">
        <f>SUM($BW$13:BX27)</f>
        <v>-260048.28978628304</v>
      </c>
      <c r="CE27" s="133">
        <v>45916.625</v>
      </c>
      <c r="CF27" s="54">
        <v>-118962.88114425651</v>
      </c>
      <c r="CG27" s="54">
        <v>-260048.28978628304</v>
      </c>
    </row>
    <row r="28" spans="1:85" x14ac:dyDescent="0.3">
      <c r="A28" s="158">
        <v>45866.625</v>
      </c>
      <c r="B28" s="76">
        <f t="shared" si="39"/>
        <v>94.37</v>
      </c>
      <c r="C28" s="31">
        <f t="shared" si="40"/>
        <v>125133.12034078683</v>
      </c>
      <c r="D28" s="32">
        <f t="shared" si="41"/>
        <v>-58749.999999999993</v>
      </c>
      <c r="E28" s="76">
        <f t="shared" si="42"/>
        <v>101.17</v>
      </c>
      <c r="F28" s="31">
        <f t="shared" si="43"/>
        <v>-14199.999999999591</v>
      </c>
      <c r="G28" s="32">
        <f t="shared" si="44"/>
        <v>-20916.603333333325</v>
      </c>
      <c r="H28" s="76">
        <f t="shared" si="45"/>
        <v>120.25</v>
      </c>
      <c r="I28" s="31">
        <f t="shared" si="46"/>
        <v>-582034.45447087905</v>
      </c>
      <c r="J28" s="32">
        <f t="shared" si="47"/>
        <v>-101049.99999999999</v>
      </c>
      <c r="K28" s="76">
        <f t="shared" si="48"/>
        <v>99.715000000000003</v>
      </c>
      <c r="L28" s="31">
        <f t="shared" si="49"/>
        <v>-18450.000000000698</v>
      </c>
      <c r="M28" s="32">
        <f t="shared" si="50"/>
        <v>-46007.648888888878</v>
      </c>
      <c r="N28" s="82">
        <f t="shared" si="51"/>
        <v>720126.52925610926</v>
      </c>
      <c r="O28" s="82"/>
      <c r="P28" s="82"/>
      <c r="Q28" s="82">
        <f>$G$5*SUM($O$14:O28)-$H$5*SUM($P$14:P28)</f>
        <v>-685953.76080000005</v>
      </c>
      <c r="R28" s="82">
        <f t="shared" si="12"/>
        <v>34172.768456109217</v>
      </c>
      <c r="S28" s="162"/>
      <c r="U28" s="75">
        <v>45792.625</v>
      </c>
      <c r="V28" s="54">
        <v>92.74</v>
      </c>
      <c r="W28" s="75">
        <v>45791.625</v>
      </c>
      <c r="X28" s="54">
        <v>101.087</v>
      </c>
      <c r="Y28" s="125">
        <v>45793.625</v>
      </c>
      <c r="Z28" s="54">
        <v>120.73</v>
      </c>
      <c r="AA28" s="75">
        <v>45881.625</v>
      </c>
      <c r="AB28" s="54">
        <v>99.405000000000001</v>
      </c>
      <c r="AF28" s="131">
        <v>45916.625</v>
      </c>
      <c r="AG28" s="45">
        <f t="shared" si="20"/>
        <v>81.13</v>
      </c>
      <c r="AH28" s="46">
        <f t="shared" si="21"/>
        <v>69161.417809067148</v>
      </c>
      <c r="AI28" s="46">
        <f t="shared" si="22"/>
        <v>-82249.999999999985</v>
      </c>
      <c r="AJ28" s="45">
        <f t="shared" si="23"/>
        <v>100.15625</v>
      </c>
      <c r="AK28" s="46">
        <f t="shared" si="24"/>
        <v>99023.4375</v>
      </c>
      <c r="AL28" s="47">
        <f t="shared" si="25"/>
        <v>-6393.0631510416642</v>
      </c>
      <c r="AM28" s="45">
        <f t="shared" si="26"/>
        <v>112.26</v>
      </c>
      <c r="AN28" s="46">
        <f t="shared" si="27"/>
        <v>729619.19476506498</v>
      </c>
      <c r="AO28" s="47">
        <f t="shared" si="28"/>
        <v>-84600</v>
      </c>
      <c r="AP28" s="45">
        <f t="shared" si="29"/>
        <v>100.15625</v>
      </c>
      <c r="AQ28" s="46">
        <f t="shared" si="30"/>
        <v>86328.125</v>
      </c>
      <c r="AR28" s="47">
        <f t="shared" si="31"/>
        <v>-5573.4396701388832</v>
      </c>
      <c r="AS28" s="45">
        <f t="shared" si="32"/>
        <v>101.765625</v>
      </c>
      <c r="AT28" s="46">
        <f t="shared" si="33"/>
        <v>123046.875</v>
      </c>
      <c r="AU28" s="47">
        <f t="shared" si="34"/>
        <v>61.302083333335759</v>
      </c>
      <c r="AV28" s="45">
        <f t="shared" si="35"/>
        <v>101.578125</v>
      </c>
      <c r="AW28" s="46">
        <f t="shared" si="36"/>
        <v>433125</v>
      </c>
      <c r="AX28" s="47">
        <f t="shared" si="37"/>
        <v>3661.7747395833321</v>
      </c>
      <c r="AY28" s="82">
        <f t="shared" si="38"/>
        <v>-110088.51415217835</v>
      </c>
      <c r="AZ28" s="82"/>
      <c r="BA28" s="82"/>
      <c r="BB28" s="82">
        <f>$AO$4*SUM($AZ$14:AZ28)-$AP$4*SUM($BA$14:BA28)</f>
        <v>39913.439100349337</v>
      </c>
      <c r="BC28" s="82">
        <f t="shared" si="13"/>
        <v>-150001.95325252769</v>
      </c>
      <c r="BE28" s="75">
        <v>45789.625</v>
      </c>
      <c r="BF28" s="54">
        <v>79.33</v>
      </c>
      <c r="BG28" s="75">
        <v>45931.625</v>
      </c>
      <c r="BH28" s="54">
        <v>99.765625</v>
      </c>
      <c r="BI28" s="75">
        <v>45789.625</v>
      </c>
      <c r="BJ28" s="54">
        <v>106.59</v>
      </c>
      <c r="BK28" s="75">
        <v>45931.625</v>
      </c>
      <c r="BL28" s="54">
        <v>99.765625</v>
      </c>
      <c r="BM28" s="75">
        <v>45910.625</v>
      </c>
      <c r="BN28" s="54">
        <v>101.6875</v>
      </c>
      <c r="BO28" s="75">
        <v>45911.625</v>
      </c>
      <c r="BP28" s="54">
        <v>101.640625</v>
      </c>
      <c r="BR28" s="161">
        <f t="shared" si="0"/>
        <v>45917.625</v>
      </c>
      <c r="BS28" s="58">
        <f t="shared" si="1"/>
        <v>39389.197294270649</v>
      </c>
      <c r="BT28" s="58">
        <f t="shared" si="2"/>
        <v>-154973.20305980439</v>
      </c>
      <c r="BU28" s="58">
        <f t="shared" si="14"/>
        <v>17502.59344302208</v>
      </c>
      <c r="BV28" s="58">
        <f t="shared" si="15"/>
        <v>-4971.2498072767048</v>
      </c>
      <c r="BW28" s="58">
        <f>$BX$11*BU28</f>
        <v>17502.59344302208</v>
      </c>
      <c r="BX28" s="58">
        <f>$BY$11*BV28</f>
        <v>-4675.7445174095465</v>
      </c>
      <c r="BZ28" s="58">
        <f>SUM($BW$13:BW28)</f>
        <v>-101460.28770123443</v>
      </c>
      <c r="CA28" s="58">
        <f>SUM($BW$13:BX28)</f>
        <v>-247221.4408606705</v>
      </c>
      <c r="CE28" s="133">
        <v>45917.625</v>
      </c>
      <c r="CF28" s="54">
        <v>-101460.28770123443</v>
      </c>
      <c r="CG28" s="54">
        <v>-247221.4408606705</v>
      </c>
    </row>
    <row r="29" spans="1:85" x14ac:dyDescent="0.3">
      <c r="A29" s="158">
        <v>45867.625</v>
      </c>
      <c r="B29" s="76">
        <f t="shared" si="39"/>
        <v>94.46</v>
      </c>
      <c r="C29" s="31">
        <f t="shared" si="40"/>
        <v>149094.78168264046</v>
      </c>
      <c r="D29" s="32">
        <f t="shared" si="41"/>
        <v>-61687.5</v>
      </c>
      <c r="E29" s="76">
        <f t="shared" si="42"/>
        <v>101.105</v>
      </c>
      <c r="F29" s="31">
        <f t="shared" si="43"/>
        <v>-27199.999999999134</v>
      </c>
      <c r="G29" s="32">
        <f t="shared" si="44"/>
        <v>-21962.433499999999</v>
      </c>
      <c r="H29" s="76">
        <f t="shared" si="45"/>
        <v>120.32</v>
      </c>
      <c r="I29" s="31">
        <f t="shared" si="46"/>
        <v>-557342.08367514587</v>
      </c>
      <c r="J29" s="32">
        <f t="shared" si="47"/>
        <v>-106102.5</v>
      </c>
      <c r="K29" s="76">
        <f t="shared" si="48"/>
        <v>99.623999999999995</v>
      </c>
      <c r="L29" s="31">
        <f t="shared" si="49"/>
        <v>-55760.00000000406</v>
      </c>
      <c r="M29" s="32">
        <f t="shared" si="50"/>
        <v>-48308.031333333332</v>
      </c>
      <c r="N29" s="82">
        <f t="shared" si="51"/>
        <v>695946.26752444811</v>
      </c>
      <c r="O29" s="82"/>
      <c r="P29" s="82"/>
      <c r="Q29" s="82">
        <f>$G$5*SUM($O$14:O29)-$H$5*SUM($P$14:P29)</f>
        <v>-685953.76080000005</v>
      </c>
      <c r="R29" s="82">
        <f t="shared" si="12"/>
        <v>9992.5067244480597</v>
      </c>
      <c r="S29" s="162"/>
      <c r="U29" s="75">
        <v>45793.625</v>
      </c>
      <c r="V29" s="54">
        <v>92.96</v>
      </c>
      <c r="W29" s="75">
        <v>45792.625</v>
      </c>
      <c r="X29" s="54">
        <v>101.241</v>
      </c>
      <c r="Y29" s="125">
        <v>45796.625</v>
      </c>
      <c r="Z29" s="54">
        <v>120.66</v>
      </c>
      <c r="AA29" s="75">
        <v>45882.625</v>
      </c>
      <c r="AB29" s="54">
        <v>99.745000000000005</v>
      </c>
      <c r="AF29" s="131">
        <v>45917.625</v>
      </c>
      <c r="AG29" s="45">
        <f t="shared" si="20"/>
        <v>81.05</v>
      </c>
      <c r="AH29" s="46">
        <f t="shared" si="21"/>
        <v>34580.708904533574</v>
      </c>
      <c r="AI29" s="46">
        <f t="shared" si="22"/>
        <v>-86362.5</v>
      </c>
      <c r="AJ29" s="45">
        <f t="shared" si="23"/>
        <v>99.953125</v>
      </c>
      <c r="AK29" s="46">
        <f t="shared" si="24"/>
        <v>59414.0625</v>
      </c>
      <c r="AL29" s="47">
        <f t="shared" si="25"/>
        <v>-6712.71630859375</v>
      </c>
      <c r="AM29" s="45">
        <f t="shared" si="26"/>
        <v>112.06</v>
      </c>
      <c r="AN29" s="46">
        <f t="shared" si="27"/>
        <v>664182.49568299891</v>
      </c>
      <c r="AO29" s="47">
        <f t="shared" si="28"/>
        <v>-88830</v>
      </c>
      <c r="AP29" s="45">
        <f t="shared" si="29"/>
        <v>99.953125</v>
      </c>
      <c r="AQ29" s="46">
        <f t="shared" si="30"/>
        <v>51796.875</v>
      </c>
      <c r="AR29" s="47">
        <f t="shared" si="31"/>
        <v>-5852.1116536458285</v>
      </c>
      <c r="AS29" s="45">
        <f t="shared" si="32"/>
        <v>101.5</v>
      </c>
      <c r="AT29" s="46">
        <f t="shared" si="33"/>
        <v>103125</v>
      </c>
      <c r="AU29" s="47">
        <f t="shared" si="34"/>
        <v>64.3671875</v>
      </c>
      <c r="AV29" s="45">
        <f t="shared" si="35"/>
        <v>101.375</v>
      </c>
      <c r="AW29" s="46">
        <f t="shared" si="36"/>
        <v>411796.87499999994</v>
      </c>
      <c r="AX29" s="47">
        <f t="shared" si="37"/>
        <v>3844.8634765624993</v>
      </c>
      <c r="AY29" s="82">
        <f t="shared" si="38"/>
        <v>-115059.76395945506</v>
      </c>
      <c r="AZ29" s="82"/>
      <c r="BA29" s="82"/>
      <c r="BB29" s="82">
        <f>$AO$4*SUM($AZ$14:AZ29)-$AP$4*SUM($BA$14:BA29)</f>
        <v>39913.439100349337</v>
      </c>
      <c r="BC29" s="82">
        <f t="shared" si="13"/>
        <v>-154973.20305980439</v>
      </c>
      <c r="BE29" s="75">
        <v>45790.625</v>
      </c>
      <c r="BF29" s="54">
        <v>79.47</v>
      </c>
      <c r="BG29" s="75">
        <v>45932.625</v>
      </c>
      <c r="BH29" s="54">
        <v>99.78125</v>
      </c>
      <c r="BI29" s="75">
        <v>45790.625</v>
      </c>
      <c r="BJ29" s="54">
        <v>106.68</v>
      </c>
      <c r="BK29" s="75">
        <v>45932.625</v>
      </c>
      <c r="BL29" s="54">
        <v>99.78125</v>
      </c>
      <c r="BM29" s="75">
        <v>45911.625</v>
      </c>
      <c r="BN29" s="54">
        <v>101.890625</v>
      </c>
      <c r="BO29" s="75">
        <v>45912.625</v>
      </c>
      <c r="BP29" s="54">
        <v>101.171875</v>
      </c>
      <c r="BR29" s="161">
        <f t="shared" si="0"/>
        <v>45918.625</v>
      </c>
      <c r="BS29" s="58">
        <f t="shared" si="1"/>
        <v>72364.591231070284</v>
      </c>
      <c r="BT29" s="58">
        <f t="shared" si="2"/>
        <v>-137858.83156503038</v>
      </c>
      <c r="BU29" s="58">
        <f t="shared" si="14"/>
        <v>32975.393936799635</v>
      </c>
      <c r="BV29" s="58">
        <f t="shared" si="15"/>
        <v>17114.371494774008</v>
      </c>
      <c r="BW29" s="58">
        <f>$BX$11*BU29</f>
        <v>32975.393936799635</v>
      </c>
      <c r="BX29" s="58">
        <f>$BY$11*BV29</f>
        <v>16097.044362660341</v>
      </c>
      <c r="BZ29" s="58">
        <f>SUM($BW$13:BW29)</f>
        <v>-68484.89376443479</v>
      </c>
      <c r="CA29" s="58">
        <f>SUM($BW$13:BX29)</f>
        <v>-198149.00256121051</v>
      </c>
      <c r="CE29" s="133">
        <v>45918.625</v>
      </c>
      <c r="CF29" s="54">
        <v>-68484.89376443479</v>
      </c>
      <c r="CG29" s="54">
        <v>-198149.00256121051</v>
      </c>
    </row>
    <row r="30" spans="1:85" x14ac:dyDescent="0.3">
      <c r="A30" s="159">
        <v>45868.625</v>
      </c>
      <c r="B30" s="76">
        <f t="shared" si="39"/>
        <v>94.48</v>
      </c>
      <c r="C30" s="31">
        <f t="shared" si="40"/>
        <v>154419.5953141647</v>
      </c>
      <c r="D30" s="32">
        <f t="shared" si="41"/>
        <v>-64624.999999999993</v>
      </c>
      <c r="E30" s="76">
        <f t="shared" si="42"/>
        <v>101.048</v>
      </c>
      <c r="F30" s="31">
        <f t="shared" si="43"/>
        <v>-38599.999999999571</v>
      </c>
      <c r="G30" s="32">
        <f t="shared" si="44"/>
        <v>-23008.263666666662</v>
      </c>
      <c r="H30" s="76">
        <f t="shared" si="45"/>
        <v>120.21</v>
      </c>
      <c r="I30" s="31">
        <f t="shared" si="46"/>
        <v>-596144.38063987147</v>
      </c>
      <c r="J30" s="32">
        <f t="shared" si="47"/>
        <v>-111154.99999999999</v>
      </c>
      <c r="K30" s="76">
        <f t="shared" si="48"/>
        <v>99.552999999999997</v>
      </c>
      <c r="L30" s="31">
        <f t="shared" si="49"/>
        <v>-84870.000000003216</v>
      </c>
      <c r="M30" s="32">
        <f t="shared" si="50"/>
        <v>-50608.41377777778</v>
      </c>
      <c r="N30" s="82">
        <f t="shared" si="51"/>
        <v>723223.82584292127</v>
      </c>
      <c r="O30" s="82"/>
      <c r="P30" s="82"/>
      <c r="Q30" s="82">
        <f>$G$5*SUM($O$14:O30)-$H$5*SUM($P$14:P30)</f>
        <v>-685953.76080000005</v>
      </c>
      <c r="R30" s="82">
        <f t="shared" si="12"/>
        <v>37270.065042921226</v>
      </c>
      <c r="S30" s="162"/>
      <c r="U30" s="75">
        <v>45796.625</v>
      </c>
      <c r="V30" s="54">
        <v>92.89</v>
      </c>
      <c r="W30" s="75">
        <v>45793.625</v>
      </c>
      <c r="X30" s="54">
        <v>101.34</v>
      </c>
      <c r="Y30" s="125">
        <v>45797.625</v>
      </c>
      <c r="Z30" s="54">
        <v>120.68</v>
      </c>
      <c r="AA30" s="75">
        <v>45883.625</v>
      </c>
      <c r="AB30" s="54">
        <v>99.620999999999995</v>
      </c>
      <c r="AF30" s="131">
        <v>45918.625</v>
      </c>
      <c r="AG30" s="45">
        <f t="shared" si="20"/>
        <v>81.23</v>
      </c>
      <c r="AH30" s="46">
        <f t="shared" si="21"/>
        <v>112387.30393973606</v>
      </c>
      <c r="AI30" s="46">
        <f t="shared" si="22"/>
        <v>-90475</v>
      </c>
      <c r="AJ30" s="45">
        <f t="shared" si="23"/>
        <v>99.7890625</v>
      </c>
      <c r="AK30" s="46">
        <f t="shared" si="24"/>
        <v>27421.875</v>
      </c>
      <c r="AL30" s="47">
        <f t="shared" si="25"/>
        <v>-7032.3694661458358</v>
      </c>
      <c r="AM30" s="45">
        <f t="shared" si="26"/>
        <v>111.83</v>
      </c>
      <c r="AN30" s="46">
        <f t="shared" si="27"/>
        <v>588930.29173861851</v>
      </c>
      <c r="AO30" s="47">
        <f t="shared" si="28"/>
        <v>-93060</v>
      </c>
      <c r="AP30" s="45">
        <f t="shared" si="29"/>
        <v>99.7890625</v>
      </c>
      <c r="AQ30" s="46">
        <f t="shared" si="30"/>
        <v>23906.25</v>
      </c>
      <c r="AR30" s="47">
        <f t="shared" si="31"/>
        <v>-6130.783637152781</v>
      </c>
      <c r="AS30" s="45">
        <f t="shared" si="32"/>
        <v>101.09375</v>
      </c>
      <c r="AT30" s="46">
        <f t="shared" si="33"/>
        <v>72656.25</v>
      </c>
      <c r="AU30" s="47">
        <f t="shared" si="34"/>
        <v>67.432291666671517</v>
      </c>
      <c r="AV30" s="45">
        <f t="shared" si="35"/>
        <v>100.328125</v>
      </c>
      <c r="AW30" s="46">
        <f t="shared" si="36"/>
        <v>301875</v>
      </c>
      <c r="AX30" s="47">
        <f t="shared" si="37"/>
        <v>4027.9522135416701</v>
      </c>
      <c r="AY30" s="82">
        <f t="shared" si="38"/>
        <v>-97945.392464681063</v>
      </c>
      <c r="AZ30" s="82"/>
      <c r="BA30" s="82"/>
      <c r="BB30" s="82">
        <f>$AO$4*SUM($AZ$14:AZ30)-$AP$4*SUM($BA$14:BA30)</f>
        <v>39913.439100349337</v>
      </c>
      <c r="BC30" s="82">
        <f t="shared" si="13"/>
        <v>-137858.83156503038</v>
      </c>
      <c r="BE30" s="75">
        <v>45791.625</v>
      </c>
      <c r="BF30" s="54">
        <v>79.180000000000007</v>
      </c>
      <c r="BG30" s="75">
        <v>45933.625</v>
      </c>
      <c r="BH30" s="54">
        <v>99.6015625</v>
      </c>
      <c r="BI30" s="75">
        <v>45791.625</v>
      </c>
      <c r="BJ30" s="54">
        <v>106.18</v>
      </c>
      <c r="BK30" s="75">
        <v>45933.625</v>
      </c>
      <c r="BL30" s="54">
        <v>99.6015625</v>
      </c>
      <c r="BM30" s="75">
        <v>45912.625</v>
      </c>
      <c r="BN30" s="54">
        <v>101.546875</v>
      </c>
      <c r="BO30" s="75">
        <v>45915.625</v>
      </c>
      <c r="BP30" s="54">
        <v>101.4375</v>
      </c>
      <c r="BR30" s="161">
        <f t="shared" si="0"/>
        <v>45919.625</v>
      </c>
      <c r="BS30" s="58">
        <f t="shared" si="1"/>
        <v>38277.557411050278</v>
      </c>
      <c r="BT30" s="58">
        <f t="shared" si="2"/>
        <v>-121896.79112370535</v>
      </c>
      <c r="BU30" s="58">
        <f t="shared" si="14"/>
        <v>-34087.033820020006</v>
      </c>
      <c r="BV30" s="58">
        <f t="shared" si="15"/>
        <v>15962.040441325036</v>
      </c>
      <c r="BW30" s="58">
        <f>$BX$11*BU30</f>
        <v>-34087.033820020006</v>
      </c>
      <c r="BX30" s="58">
        <f>$BY$11*BV30</f>
        <v>15013.211158881673</v>
      </c>
      <c r="BZ30" s="58">
        <f>SUM($BW$13:BW30)</f>
        <v>-102571.9275844548</v>
      </c>
      <c r="CA30" s="58">
        <f>SUM($BW$13:BX30)</f>
        <v>-217222.82522234885</v>
      </c>
      <c r="CE30" s="133">
        <v>45919.625</v>
      </c>
      <c r="CF30" s="54">
        <v>-102571.9275844548</v>
      </c>
      <c r="CG30" s="54">
        <v>-217222.82522234885</v>
      </c>
    </row>
    <row r="31" spans="1:85" x14ac:dyDescent="0.3">
      <c r="A31" s="159">
        <v>45869.625</v>
      </c>
      <c r="B31" s="76">
        <f t="shared" si="39"/>
        <v>94.45</v>
      </c>
      <c r="C31" s="31">
        <f t="shared" si="40"/>
        <v>146432.37486687832</v>
      </c>
      <c r="D31" s="32">
        <f t="shared" si="41"/>
        <v>-67562.499999999985</v>
      </c>
      <c r="E31" s="76">
        <f t="shared" si="42"/>
        <v>101.02200000000001</v>
      </c>
      <c r="F31" s="31">
        <f t="shared" si="43"/>
        <v>-43799.999999998814</v>
      </c>
      <c r="G31" s="32">
        <f t="shared" si="44"/>
        <v>-24054.093833333325</v>
      </c>
      <c r="H31" s="76">
        <f t="shared" si="45"/>
        <v>120.26</v>
      </c>
      <c r="I31" s="31">
        <f t="shared" si="46"/>
        <v>-578506.97292863217</v>
      </c>
      <c r="J31" s="32">
        <f t="shared" si="47"/>
        <v>-116207.49999999999</v>
      </c>
      <c r="K31" s="76">
        <f t="shared" si="48"/>
        <v>99.549000000000007</v>
      </c>
      <c r="L31" s="31">
        <f t="shared" si="49"/>
        <v>-86509.999999999389</v>
      </c>
      <c r="M31" s="32">
        <f t="shared" si="50"/>
        <v>-52908.796222222212</v>
      </c>
      <c r="N31" s="82">
        <f t="shared" si="51"/>
        <v>702019.64540662104</v>
      </c>
      <c r="O31" s="82"/>
      <c r="P31" s="82"/>
      <c r="Q31" s="82">
        <f>$G$5*SUM($O$14:O31)-$H$5*SUM($P$14:P31)</f>
        <v>-685953.76080000005</v>
      </c>
      <c r="R31" s="82">
        <f t="shared" si="12"/>
        <v>16065.884606620995</v>
      </c>
      <c r="S31" s="162"/>
      <c r="U31" s="75">
        <v>45797.625</v>
      </c>
      <c r="V31" s="54">
        <v>93.05</v>
      </c>
      <c r="W31" s="75">
        <v>45796.625</v>
      </c>
      <c r="X31" s="54">
        <v>101.408</v>
      </c>
      <c r="Y31" s="125">
        <v>45798.625</v>
      </c>
      <c r="Z31" s="54">
        <v>120.59</v>
      </c>
      <c r="AA31" s="75">
        <v>45884.625</v>
      </c>
      <c r="AB31" s="54">
        <v>99.375</v>
      </c>
      <c r="AF31" s="131">
        <v>45919.625</v>
      </c>
      <c r="AG31" s="45">
        <f t="shared" si="20"/>
        <v>81.260000000000005</v>
      </c>
      <c r="AH31" s="46">
        <f t="shared" si="21"/>
        <v>125355.06977893518</v>
      </c>
      <c r="AI31" s="46">
        <f t="shared" si="22"/>
        <v>-94587.499999999985</v>
      </c>
      <c r="AJ31" s="45">
        <f t="shared" si="23"/>
        <v>99.7734375</v>
      </c>
      <c r="AK31" s="46">
        <f t="shared" si="24"/>
        <v>24375</v>
      </c>
      <c r="AL31" s="47">
        <f t="shared" si="25"/>
        <v>-7352.0226236979142</v>
      </c>
      <c r="AM31" s="45">
        <f t="shared" si="26"/>
        <v>111.74</v>
      </c>
      <c r="AN31" s="46">
        <f t="shared" si="27"/>
        <v>559483.77715168358</v>
      </c>
      <c r="AO31" s="47">
        <f t="shared" si="28"/>
        <v>-97290</v>
      </c>
      <c r="AP31" s="45">
        <f t="shared" si="29"/>
        <v>99.7734375</v>
      </c>
      <c r="AQ31" s="46">
        <f t="shared" si="30"/>
        <v>21250</v>
      </c>
      <c r="AR31" s="47">
        <f t="shared" si="31"/>
        <v>-6409.455620659719</v>
      </c>
      <c r="AS31" s="45">
        <f t="shared" si="32"/>
        <v>101.015625</v>
      </c>
      <c r="AT31" s="46">
        <f t="shared" si="33"/>
        <v>66796.875</v>
      </c>
      <c r="AU31" s="47">
        <f t="shared" si="34"/>
        <v>70.497395833335759</v>
      </c>
      <c r="AV31" s="45">
        <f t="shared" si="35"/>
        <v>100.125</v>
      </c>
      <c r="AW31" s="46">
        <f t="shared" si="36"/>
        <v>280546.875</v>
      </c>
      <c r="AX31" s="47">
        <f t="shared" si="37"/>
        <v>4211.0409505208336</v>
      </c>
      <c r="AY31" s="82">
        <f t="shared" si="38"/>
        <v>-81983.352023356012</v>
      </c>
      <c r="AZ31" s="82"/>
      <c r="BA31" s="82"/>
      <c r="BB31" s="82">
        <f>$AO$4*SUM($AZ$14:AZ31)-$AP$4*SUM($BA$14:BA31)</f>
        <v>39913.439100349337</v>
      </c>
      <c r="BC31" s="82">
        <f t="shared" si="13"/>
        <v>-121896.79112370535</v>
      </c>
      <c r="BE31" s="75">
        <v>45792.625</v>
      </c>
      <c r="BF31" s="54">
        <v>79.33</v>
      </c>
      <c r="BG31" s="75">
        <v>45936.625</v>
      </c>
      <c r="BH31" s="54">
        <v>99.46875</v>
      </c>
      <c r="BI31" s="75">
        <v>45792.625</v>
      </c>
      <c r="BJ31" s="54">
        <v>106.9</v>
      </c>
      <c r="BK31" s="75">
        <v>45936.625</v>
      </c>
      <c r="BL31" s="54">
        <v>99.46875</v>
      </c>
      <c r="BM31" s="75">
        <v>45915.625</v>
      </c>
      <c r="BN31" s="54">
        <v>101.71875</v>
      </c>
      <c r="BO31" s="75">
        <v>45916.625</v>
      </c>
      <c r="BP31" s="54">
        <v>101.578125</v>
      </c>
      <c r="BR31" s="161">
        <f t="shared" si="0"/>
        <v>45922.625</v>
      </c>
      <c r="BS31" s="58">
        <f t="shared" si="1"/>
        <v>45467.613763767498</v>
      </c>
      <c r="BT31" s="58">
        <f t="shared" si="2"/>
        <v>-63179.958093055393</v>
      </c>
      <c r="BU31" s="58">
        <f t="shared" si="14"/>
        <v>7190.0563527172199</v>
      </c>
      <c r="BV31" s="58">
        <f t="shared" si="15"/>
        <v>58716.833030649956</v>
      </c>
      <c r="BW31" s="58">
        <f>$BX$11*BU31</f>
        <v>7190.0563527172199</v>
      </c>
      <c r="BX31" s="58">
        <f>$BY$11*BV31</f>
        <v>55226.536739482712</v>
      </c>
      <c r="BZ31" s="58">
        <f>SUM($BW$13:BW31)</f>
        <v>-95381.871231737576</v>
      </c>
      <c r="CA31" s="58">
        <f>SUM($BW$13:BX31)</f>
        <v>-154806.23213014891</v>
      </c>
      <c r="CE31" s="133">
        <v>45922.625</v>
      </c>
      <c r="CF31" s="54">
        <v>-95381.871231737576</v>
      </c>
      <c r="CG31" s="54">
        <v>-154806.23213014891</v>
      </c>
    </row>
    <row r="32" spans="1:85" x14ac:dyDescent="0.3">
      <c r="A32" s="158">
        <v>45870.625</v>
      </c>
      <c r="B32" s="76">
        <f t="shared" si="39"/>
        <v>94.32</v>
      </c>
      <c r="C32" s="31">
        <f t="shared" si="40"/>
        <v>111821.08626197618</v>
      </c>
      <c r="D32" s="32">
        <f t="shared" si="41"/>
        <v>-70499.999999999985</v>
      </c>
      <c r="E32" s="76">
        <f t="shared" si="42"/>
        <v>101.155</v>
      </c>
      <c r="F32" s="31">
        <f t="shared" si="43"/>
        <v>-17199.999999999705</v>
      </c>
      <c r="G32" s="32">
        <f t="shared" si="44"/>
        <v>-25099.923999999992</v>
      </c>
      <c r="H32" s="76">
        <f t="shared" si="45"/>
        <v>120.22</v>
      </c>
      <c r="I32" s="31">
        <f t="shared" si="46"/>
        <v>-592616.89909762458</v>
      </c>
      <c r="J32" s="32">
        <f t="shared" si="47"/>
        <v>-121259.99999999999</v>
      </c>
      <c r="K32" s="76">
        <f t="shared" si="48"/>
        <v>99.751000000000005</v>
      </c>
      <c r="L32" s="31">
        <f t="shared" si="49"/>
        <v>-3690.0000000001396</v>
      </c>
      <c r="M32" s="32">
        <f t="shared" si="50"/>
        <v>-55209.178666666659</v>
      </c>
      <c r="N32" s="82">
        <f t="shared" si="51"/>
        <v>738598.73069293378</v>
      </c>
      <c r="O32" s="82"/>
      <c r="P32" s="82"/>
      <c r="Q32" s="82">
        <f>$G$5*SUM($O$14:O32)-$H$5*SUM($P$14:P32)</f>
        <v>-685953.76080000005</v>
      </c>
      <c r="R32" s="82">
        <f t="shared" si="12"/>
        <v>52644.969892933732</v>
      </c>
      <c r="S32" s="162"/>
      <c r="U32" s="75">
        <v>45798.625</v>
      </c>
      <c r="V32" s="54">
        <v>92.95</v>
      </c>
      <c r="W32" s="75">
        <v>45797.625</v>
      </c>
      <c r="X32" s="54">
        <v>101.352</v>
      </c>
      <c r="Y32" s="125">
        <v>45799.625</v>
      </c>
      <c r="Z32" s="54">
        <v>120.57</v>
      </c>
      <c r="AA32" s="75">
        <v>45887.625</v>
      </c>
      <c r="AB32" s="54">
        <v>99.388999999999996</v>
      </c>
      <c r="AF32" s="131">
        <v>45922.625</v>
      </c>
      <c r="AG32" s="45">
        <f t="shared" si="20"/>
        <v>81.319999999999993</v>
      </c>
      <c r="AH32" s="46">
        <f t="shared" si="21"/>
        <v>151290.60145732565</v>
      </c>
      <c r="AI32" s="46">
        <f t="shared" si="22"/>
        <v>-106924.99999999999</v>
      </c>
      <c r="AJ32" s="45">
        <f t="shared" si="23"/>
        <v>99.65625</v>
      </c>
      <c r="AK32" s="46">
        <f t="shared" si="24"/>
        <v>1523.4375</v>
      </c>
      <c r="AL32" s="47">
        <f t="shared" si="25"/>
        <v>-8310.9820963541642</v>
      </c>
      <c r="AM32" s="45">
        <f t="shared" si="26"/>
        <v>111.48</v>
      </c>
      <c r="AN32" s="46">
        <f t="shared" si="27"/>
        <v>474416.06834499695</v>
      </c>
      <c r="AO32" s="47">
        <f t="shared" si="28"/>
        <v>-109979.99999999997</v>
      </c>
      <c r="AP32" s="45">
        <f t="shared" si="29"/>
        <v>99.65625</v>
      </c>
      <c r="AQ32" s="46">
        <f t="shared" si="30"/>
        <v>1328.125</v>
      </c>
      <c r="AR32" s="47">
        <f t="shared" si="31"/>
        <v>-7245.4715711805547</v>
      </c>
      <c r="AS32" s="45">
        <f t="shared" si="32"/>
        <v>100.8125</v>
      </c>
      <c r="AT32" s="46">
        <f t="shared" si="33"/>
        <v>51562.5</v>
      </c>
      <c r="AU32" s="47">
        <f t="shared" si="34"/>
        <v>79.692708333335759</v>
      </c>
      <c r="AV32" s="45">
        <f t="shared" si="35"/>
        <v>99.734375</v>
      </c>
      <c r="AW32" s="46">
        <f t="shared" si="36"/>
        <v>239531.25</v>
      </c>
      <c r="AX32" s="47">
        <f t="shared" si="37"/>
        <v>4760.3071614583314</v>
      </c>
      <c r="AY32" s="82">
        <f t="shared" si="38"/>
        <v>-23266.518992706056</v>
      </c>
      <c r="AZ32" s="82"/>
      <c r="BA32" s="82"/>
      <c r="BB32" s="82">
        <f>$AO$4*SUM($AZ$14:AZ32)-$AP$4*SUM($BA$14:BA32)</f>
        <v>39913.439100349337</v>
      </c>
      <c r="BC32" s="82">
        <f t="shared" si="13"/>
        <v>-63179.958093055393</v>
      </c>
      <c r="BE32" s="75">
        <v>45793.625</v>
      </c>
      <c r="BF32" s="54">
        <v>79.42</v>
      </c>
      <c r="BG32" s="75">
        <v>45937.625</v>
      </c>
      <c r="BH32" s="54">
        <v>99.625</v>
      </c>
      <c r="BI32" s="75">
        <v>45793.625</v>
      </c>
      <c r="BJ32" s="54">
        <v>107.1</v>
      </c>
      <c r="BK32" s="75">
        <v>45937.625</v>
      </c>
      <c r="BL32" s="54">
        <v>99.625</v>
      </c>
      <c r="BM32" s="75">
        <v>45916.625</v>
      </c>
      <c r="BN32" s="54">
        <v>101.765625</v>
      </c>
      <c r="BO32" s="75">
        <v>45917.625</v>
      </c>
      <c r="BP32" s="54">
        <v>101.375</v>
      </c>
      <c r="BR32" s="161">
        <f t="shared" si="0"/>
        <v>45923.625</v>
      </c>
      <c r="BS32" s="58">
        <f t="shared" si="1"/>
        <v>71191.645264659484</v>
      </c>
      <c r="BT32" s="58">
        <f t="shared" si="2"/>
        <v>-70741.808700627298</v>
      </c>
      <c r="BU32" s="58">
        <f t="shared" si="14"/>
        <v>25724.031500891986</v>
      </c>
      <c r="BV32" s="58">
        <f t="shared" si="15"/>
        <v>-7561.8506075719051</v>
      </c>
      <c r="BW32" s="58">
        <f>$BX$11*BU32</f>
        <v>25724.031500891986</v>
      </c>
      <c r="BX32" s="58">
        <f>$BY$11*BV32</f>
        <v>-7112.3526055902266</v>
      </c>
      <c r="BZ32" s="58">
        <f>SUM($BW$13:BW32)</f>
        <v>-69657.83973084559</v>
      </c>
      <c r="CA32" s="58">
        <f>SUM($BW$13:BX32)</f>
        <v>-136194.55323484715</v>
      </c>
      <c r="CE32" s="133">
        <v>45923.625</v>
      </c>
      <c r="CF32" s="54">
        <v>-69657.83973084559</v>
      </c>
      <c r="CG32" s="54">
        <v>-136194.55323484715</v>
      </c>
    </row>
    <row r="33" spans="1:85" x14ac:dyDescent="0.3">
      <c r="A33" s="158">
        <v>45873.625</v>
      </c>
      <c r="B33" s="76">
        <f t="shared" si="39"/>
        <v>94.38</v>
      </c>
      <c r="C33" s="31">
        <f t="shared" si="40"/>
        <v>127795.52715654897</v>
      </c>
      <c r="D33" s="32">
        <f t="shared" si="41"/>
        <v>-79312.499999999985</v>
      </c>
      <c r="E33" s="76">
        <f t="shared" si="42"/>
        <v>101.214</v>
      </c>
      <c r="F33" s="31">
        <f t="shared" si="43"/>
        <v>-5400.0000000002046</v>
      </c>
      <c r="G33" s="32">
        <f t="shared" si="44"/>
        <v>-28237.414499999992</v>
      </c>
      <c r="H33" s="76">
        <f t="shared" si="45"/>
        <v>120.41</v>
      </c>
      <c r="I33" s="31">
        <f t="shared" si="46"/>
        <v>-525594.74979491893</v>
      </c>
      <c r="J33" s="32">
        <f t="shared" si="47"/>
        <v>-136417.49999999997</v>
      </c>
      <c r="K33" s="76">
        <f t="shared" si="48"/>
        <v>99.884</v>
      </c>
      <c r="L33" s="31">
        <f t="shared" si="49"/>
        <v>50839.999999998043</v>
      </c>
      <c r="M33" s="32">
        <f t="shared" si="50"/>
        <v>-62110.326000000015</v>
      </c>
      <c r="N33" s="82">
        <f t="shared" si="51"/>
        <v>732862.36545146606</v>
      </c>
      <c r="O33" s="82"/>
      <c r="P33" s="82"/>
      <c r="Q33" s="82">
        <f>$G$5*SUM($O$14:O33)-$H$5*SUM($P$14:P33)</f>
        <v>-685953.76080000005</v>
      </c>
      <c r="R33" s="82">
        <f t="shared" si="12"/>
        <v>46908.604651466012</v>
      </c>
      <c r="S33" s="162"/>
      <c r="U33" s="75">
        <v>45799.625</v>
      </c>
      <c r="V33" s="54">
        <v>92.82</v>
      </c>
      <c r="W33" s="75">
        <v>45798.625</v>
      </c>
      <c r="X33" s="54">
        <v>101.282</v>
      </c>
      <c r="Y33" s="125">
        <v>45800.625</v>
      </c>
      <c r="Z33" s="54">
        <v>120.79</v>
      </c>
      <c r="AA33" s="75">
        <v>45888.625</v>
      </c>
      <c r="AB33" s="54">
        <v>99.484999999999999</v>
      </c>
      <c r="AF33" s="131">
        <v>45923.625</v>
      </c>
      <c r="AG33" s="45">
        <f t="shared" si="20"/>
        <v>81.260000000000005</v>
      </c>
      <c r="AH33" s="46">
        <f t="shared" si="21"/>
        <v>125355.06977893518</v>
      </c>
      <c r="AI33" s="46">
        <f t="shared" si="22"/>
        <v>-111037.5</v>
      </c>
      <c r="AJ33" s="45">
        <f t="shared" si="23"/>
        <v>99.796875</v>
      </c>
      <c r="AK33" s="46">
        <f t="shared" si="24"/>
        <v>28945.3125</v>
      </c>
      <c r="AL33" s="47">
        <f t="shared" si="25"/>
        <v>-8630.63525390625</v>
      </c>
      <c r="AM33" s="45">
        <f t="shared" si="26"/>
        <v>111.71</v>
      </c>
      <c r="AN33" s="46">
        <f t="shared" si="27"/>
        <v>549668.27228936937</v>
      </c>
      <c r="AO33" s="47">
        <f t="shared" si="28"/>
        <v>-114210</v>
      </c>
      <c r="AP33" s="45">
        <f t="shared" si="29"/>
        <v>99.796875</v>
      </c>
      <c r="AQ33" s="46">
        <f t="shared" si="30"/>
        <v>25234.375</v>
      </c>
      <c r="AR33" s="47">
        <f t="shared" si="31"/>
        <v>-7524.1435546875</v>
      </c>
      <c r="AS33" s="45">
        <f t="shared" si="32"/>
        <v>101.140625</v>
      </c>
      <c r="AT33" s="46">
        <f t="shared" si="33"/>
        <v>76171.875</v>
      </c>
      <c r="AU33" s="47">
        <f t="shared" si="34"/>
        <v>82.7578125</v>
      </c>
      <c r="AV33" s="45">
        <f t="shared" si="35"/>
        <v>100.421875</v>
      </c>
      <c r="AW33" s="46">
        <f t="shared" si="36"/>
        <v>311718.75</v>
      </c>
      <c r="AX33" s="47">
        <f t="shared" si="37"/>
        <v>4943.3958984374985</v>
      </c>
      <c r="AY33" s="82">
        <f t="shared" si="38"/>
        <v>-30828.369600277954</v>
      </c>
      <c r="AZ33" s="82"/>
      <c r="BA33" s="82"/>
      <c r="BB33" s="82">
        <f>$AO$4*SUM($AZ$14:AZ33)-$AP$4*SUM($BA$14:BA33)</f>
        <v>39913.439100349337</v>
      </c>
      <c r="BC33" s="82">
        <f t="shared" si="13"/>
        <v>-70741.808700627298</v>
      </c>
      <c r="BE33" s="75">
        <v>45796.625</v>
      </c>
      <c r="BF33" s="54">
        <v>79.38</v>
      </c>
      <c r="BG33" s="75">
        <v>45938.625</v>
      </c>
      <c r="BH33" s="54">
        <v>99.5625</v>
      </c>
      <c r="BI33" s="75">
        <v>45796.625</v>
      </c>
      <c r="BJ33" s="54">
        <v>107.11</v>
      </c>
      <c r="BK33" s="75">
        <v>45938.625</v>
      </c>
      <c r="BL33" s="54">
        <v>99.5625</v>
      </c>
      <c r="BM33" s="75">
        <v>45917.625</v>
      </c>
      <c r="BN33" s="54">
        <v>101.5</v>
      </c>
      <c r="BO33" s="75">
        <v>45918.625</v>
      </c>
      <c r="BP33" s="54">
        <v>100.328125</v>
      </c>
      <c r="BR33" s="161">
        <f t="shared" si="0"/>
        <v>45924.625</v>
      </c>
      <c r="BS33" s="58">
        <f t="shared" si="1"/>
        <v>37590.467665056494</v>
      </c>
      <c r="BT33" s="58">
        <f t="shared" si="2"/>
        <v>-29580.262994526238</v>
      </c>
      <c r="BU33" s="58">
        <f t="shared" si="14"/>
        <v>-33601.17759960299</v>
      </c>
      <c r="BV33" s="58">
        <f t="shared" si="15"/>
        <v>41161.54570610106</v>
      </c>
      <c r="BW33" s="58">
        <f>$BX$11*BU33</f>
        <v>-33601.17759960299</v>
      </c>
      <c r="BX33" s="58">
        <f>$BY$11*BV33</f>
        <v>38714.785843529411</v>
      </c>
      <c r="BZ33" s="58">
        <f>SUM($BW$13:BW33)</f>
        <v>-103259.01733044858</v>
      </c>
      <c r="CA33" s="58">
        <f>SUM($BW$13:BX33)</f>
        <v>-131080.94499092072</v>
      </c>
      <c r="CE33" s="133">
        <v>45924.625</v>
      </c>
      <c r="CF33" s="54">
        <v>-103259.01733044858</v>
      </c>
      <c r="CG33" s="54">
        <v>-131080.94499092072</v>
      </c>
    </row>
    <row r="34" spans="1:85" x14ac:dyDescent="0.3">
      <c r="A34" s="158">
        <v>45874.625</v>
      </c>
      <c r="B34" s="76">
        <f t="shared" si="39"/>
        <v>94.45</v>
      </c>
      <c r="C34" s="31">
        <f t="shared" si="40"/>
        <v>146432.37486687832</v>
      </c>
      <c r="D34" s="32">
        <f t="shared" si="41"/>
        <v>-82250</v>
      </c>
      <c r="E34" s="76">
        <f t="shared" si="42"/>
        <v>101.217</v>
      </c>
      <c r="F34" s="31">
        <f t="shared" si="43"/>
        <v>-4800.0000000001819</v>
      </c>
      <c r="G34" s="32">
        <f t="shared" si="44"/>
        <v>-29283.244666666658</v>
      </c>
      <c r="H34" s="76">
        <f t="shared" si="45"/>
        <v>120.52</v>
      </c>
      <c r="I34" s="31">
        <f t="shared" si="46"/>
        <v>-486792.45283019333</v>
      </c>
      <c r="J34" s="32">
        <f t="shared" si="47"/>
        <v>-141470</v>
      </c>
      <c r="K34" s="76">
        <f t="shared" si="48"/>
        <v>99.923000000000002</v>
      </c>
      <c r="L34" s="31">
        <f t="shared" si="49"/>
        <v>66829.999999998647</v>
      </c>
      <c r="M34" s="32">
        <f t="shared" si="50"/>
        <v>-64410.708444444448</v>
      </c>
      <c r="N34" s="82">
        <f t="shared" si="51"/>
        <v>728947.36391929258</v>
      </c>
      <c r="O34" s="82"/>
      <c r="P34" s="82"/>
      <c r="Q34" s="82">
        <f>$G$5*SUM($O$14:O34)-$H$5*SUM($P$14:P34)</f>
        <v>-685953.76080000005</v>
      </c>
      <c r="R34" s="82">
        <f t="shared" si="12"/>
        <v>42993.603119292529</v>
      </c>
      <c r="S34" s="162"/>
      <c r="U34" s="75">
        <v>45800.625</v>
      </c>
      <c r="V34" s="54">
        <v>92.47</v>
      </c>
      <c r="W34" s="75">
        <v>45799.625</v>
      </c>
      <c r="X34" s="54">
        <v>101.363</v>
      </c>
      <c r="Y34" s="125">
        <v>45804.625</v>
      </c>
      <c r="Z34" s="54">
        <v>121.1</v>
      </c>
      <c r="AA34" s="75">
        <v>45889.625</v>
      </c>
      <c r="AB34" s="54">
        <v>99.653999999999996</v>
      </c>
      <c r="AF34" s="131">
        <v>45924.625</v>
      </c>
      <c r="AG34" s="45">
        <f t="shared" si="20"/>
        <v>81.150000000000006</v>
      </c>
      <c r="AH34" s="46">
        <f t="shared" si="21"/>
        <v>77806.595035202481</v>
      </c>
      <c r="AI34" s="46">
        <f t="shared" si="22"/>
        <v>-115150</v>
      </c>
      <c r="AJ34" s="45">
        <f t="shared" si="23"/>
        <v>99.6015625</v>
      </c>
      <c r="AK34" s="46">
        <f t="shared" si="24"/>
        <v>-9140.625</v>
      </c>
      <c r="AL34" s="47">
        <f t="shared" si="25"/>
        <v>-8950.2884114583358</v>
      </c>
      <c r="AM34" s="45">
        <f t="shared" si="26"/>
        <v>111.26</v>
      </c>
      <c r="AN34" s="46">
        <f t="shared" si="27"/>
        <v>402435.69935472665</v>
      </c>
      <c r="AO34" s="47">
        <f t="shared" si="28"/>
        <v>-118439.99999999999</v>
      </c>
      <c r="AP34" s="45">
        <f t="shared" si="29"/>
        <v>99.6015625</v>
      </c>
      <c r="AQ34" s="46">
        <f t="shared" si="30"/>
        <v>-7968.75</v>
      </c>
      <c r="AR34" s="47">
        <f t="shared" si="31"/>
        <v>-7802.8155381944453</v>
      </c>
      <c r="AS34" s="45">
        <f t="shared" si="32"/>
        <v>100.859375</v>
      </c>
      <c r="AT34" s="46">
        <f t="shared" si="33"/>
        <v>55078.125</v>
      </c>
      <c r="AU34" s="47">
        <f t="shared" si="34"/>
        <v>85.822916666671517</v>
      </c>
      <c r="AV34" s="45">
        <f t="shared" si="35"/>
        <v>100.015625</v>
      </c>
      <c r="AW34" s="46">
        <f t="shared" si="36"/>
        <v>269062.5</v>
      </c>
      <c r="AX34" s="47">
        <f t="shared" si="37"/>
        <v>5126.484635416673</v>
      </c>
      <c r="AY34" s="82">
        <f t="shared" si="38"/>
        <v>10333.176105823099</v>
      </c>
      <c r="AZ34" s="82"/>
      <c r="BA34" s="82"/>
      <c r="BB34" s="82">
        <f>$AO$4*SUM($AZ$14:AZ34)-$AP$4*SUM($BA$14:BA34)</f>
        <v>39913.439100349337</v>
      </c>
      <c r="BC34" s="82">
        <f t="shared" si="13"/>
        <v>-29580.262994526238</v>
      </c>
      <c r="BE34" s="75">
        <v>45797.625</v>
      </c>
      <c r="BF34" s="54">
        <v>79.34</v>
      </c>
      <c r="BG34" s="75">
        <v>45939.625</v>
      </c>
      <c r="BH34" s="54">
        <v>99.5078125</v>
      </c>
      <c r="BI34" s="75">
        <v>45797.625</v>
      </c>
      <c r="BJ34" s="54">
        <v>106.86</v>
      </c>
      <c r="BK34" s="75">
        <v>45939.625</v>
      </c>
      <c r="BL34" s="54">
        <v>99.5078125</v>
      </c>
      <c r="BM34" s="75">
        <v>45918.625</v>
      </c>
      <c r="BN34" s="54">
        <v>101.09375</v>
      </c>
      <c r="BO34" s="75">
        <v>45919.625</v>
      </c>
      <c r="BP34" s="54">
        <v>100.125</v>
      </c>
      <c r="BR34" s="161">
        <f t="shared" si="0"/>
        <v>45925.625</v>
      </c>
      <c r="BS34" s="58">
        <f t="shared" si="1"/>
        <v>38126.776980563591</v>
      </c>
      <c r="BT34" s="58">
        <f t="shared" si="2"/>
        <v>-72710.654497794283</v>
      </c>
      <c r="BU34" s="58">
        <f t="shared" si="14"/>
        <v>536.30931550709647</v>
      </c>
      <c r="BV34" s="58">
        <f t="shared" si="15"/>
        <v>-43130.391503268045</v>
      </c>
      <c r="BW34" s="58">
        <f>$BX$11*BU34</f>
        <v>536.30931550709647</v>
      </c>
      <c r="BX34" s="58">
        <f>$BY$11*BV34</f>
        <v>-40566.597822129494</v>
      </c>
      <c r="BZ34" s="58">
        <f>SUM($BW$13:BW34)</f>
        <v>-102722.70801494148</v>
      </c>
      <c r="CA34" s="58">
        <f>SUM($BW$13:BX34)</f>
        <v>-171111.23349754311</v>
      </c>
      <c r="CE34" s="133">
        <v>45925.625</v>
      </c>
      <c r="CF34" s="54">
        <v>-102722.70801494148</v>
      </c>
      <c r="CG34" s="54">
        <v>-171111.23349754311</v>
      </c>
    </row>
    <row r="35" spans="1:85" x14ac:dyDescent="0.3">
      <c r="A35" s="158">
        <v>45875.625</v>
      </c>
      <c r="B35" s="76">
        <f t="shared" si="39"/>
        <v>94.47</v>
      </c>
      <c r="C35" s="31">
        <f t="shared" si="40"/>
        <v>151757.1884984026</v>
      </c>
      <c r="D35" s="32">
        <f t="shared" si="41"/>
        <v>-85187.5</v>
      </c>
      <c r="E35" s="76">
        <f t="shared" si="42"/>
        <v>101.197</v>
      </c>
      <c r="F35" s="31">
        <f t="shared" si="43"/>
        <v>-8799.9999999993852</v>
      </c>
      <c r="G35" s="32">
        <f t="shared" si="44"/>
        <v>-30329.074833333332</v>
      </c>
      <c r="H35" s="76">
        <f t="shared" si="45"/>
        <v>120.41</v>
      </c>
      <c r="I35" s="31">
        <f t="shared" si="46"/>
        <v>-525594.74979491893</v>
      </c>
      <c r="J35" s="32">
        <f t="shared" si="47"/>
        <v>-146522.5</v>
      </c>
      <c r="K35" s="76">
        <f t="shared" si="48"/>
        <v>99.869</v>
      </c>
      <c r="L35" s="31">
        <f t="shared" si="49"/>
        <v>44689.999999997803</v>
      </c>
      <c r="M35" s="32">
        <f t="shared" si="50"/>
        <v>-66711.09088888891</v>
      </c>
      <c r="N35" s="82">
        <f t="shared" si="51"/>
        <v>755794.92223776306</v>
      </c>
      <c r="O35" s="82"/>
      <c r="P35" s="82"/>
      <c r="Q35" s="82">
        <f>$G$5*SUM($O$14:O35)-$H$5*SUM($P$14:P35)</f>
        <v>-685953.76080000005</v>
      </c>
      <c r="R35" s="82">
        <f t="shared" si="12"/>
        <v>69841.161437763018</v>
      </c>
      <c r="S35" s="162"/>
      <c r="U35" s="75">
        <v>45804.625</v>
      </c>
      <c r="V35" s="54">
        <v>93.11</v>
      </c>
      <c r="W35" s="75">
        <v>45800.625</v>
      </c>
      <c r="X35" s="54">
        <v>101.581</v>
      </c>
      <c r="Y35" s="125">
        <v>45805.625</v>
      </c>
      <c r="Z35" s="54">
        <v>120.98</v>
      </c>
      <c r="AA35" s="75">
        <v>45890.625</v>
      </c>
      <c r="AB35" s="54">
        <v>99.468999999999994</v>
      </c>
      <c r="AF35" s="131">
        <v>45925.625</v>
      </c>
      <c r="AG35" s="45">
        <f t="shared" si="20"/>
        <v>80.92</v>
      </c>
      <c r="AH35" s="46">
        <f t="shared" si="21"/>
        <v>-21612.943065330568</v>
      </c>
      <c r="AI35" s="46">
        <f t="shared" si="22"/>
        <v>-119262.5</v>
      </c>
      <c r="AJ35" s="45">
        <f t="shared" si="23"/>
        <v>99.390625</v>
      </c>
      <c r="AK35" s="46">
        <f t="shared" si="24"/>
        <v>-50273.4375</v>
      </c>
      <c r="AL35" s="47">
        <f t="shared" si="25"/>
        <v>-9269.9415690104142</v>
      </c>
      <c r="AM35" s="45">
        <f t="shared" si="26"/>
        <v>111.06</v>
      </c>
      <c r="AN35" s="46">
        <f t="shared" si="27"/>
        <v>336999.0002726526</v>
      </c>
      <c r="AO35" s="47">
        <f t="shared" si="28"/>
        <v>-122669.99999999999</v>
      </c>
      <c r="AP35" s="45">
        <f t="shared" si="29"/>
        <v>99.390625</v>
      </c>
      <c r="AQ35" s="46">
        <f t="shared" si="30"/>
        <v>-43828.125</v>
      </c>
      <c r="AR35" s="47">
        <f t="shared" si="31"/>
        <v>-8081.4875217013905</v>
      </c>
      <c r="AS35" s="45">
        <f t="shared" si="32"/>
        <v>100.640625</v>
      </c>
      <c r="AT35" s="46">
        <f t="shared" si="33"/>
        <v>38671.875</v>
      </c>
      <c r="AU35" s="47">
        <f t="shared" si="34"/>
        <v>88.888020833339397</v>
      </c>
      <c r="AV35" s="45">
        <f t="shared" si="35"/>
        <v>100.03125</v>
      </c>
      <c r="AW35" s="46">
        <f t="shared" si="36"/>
        <v>270703.125</v>
      </c>
      <c r="AX35" s="47">
        <f t="shared" si="37"/>
        <v>5309.5733723958328</v>
      </c>
      <c r="AY35" s="82">
        <f t="shared" si="38"/>
        <v>-32797.215397444954</v>
      </c>
      <c r="AZ35" s="82"/>
      <c r="BA35" s="82"/>
      <c r="BB35" s="82">
        <f>$AO$4*SUM($AZ$14:AZ35)-$AP$4*SUM($BA$14:BA35)</f>
        <v>39913.439100349337</v>
      </c>
      <c r="BC35" s="82">
        <f t="shared" si="13"/>
        <v>-72710.654497794283</v>
      </c>
      <c r="BE35" s="75">
        <v>45798.625</v>
      </c>
      <c r="BF35" s="54">
        <v>78.81</v>
      </c>
      <c r="BG35" s="75">
        <v>45940.625</v>
      </c>
      <c r="BH35" s="54">
        <v>99.890625</v>
      </c>
      <c r="BI35" s="75">
        <v>45798.625</v>
      </c>
      <c r="BJ35" s="54">
        <v>105.66</v>
      </c>
      <c r="BK35" s="75">
        <v>45940.625</v>
      </c>
      <c r="BL35" s="54">
        <v>99.890625</v>
      </c>
      <c r="BM35" s="75">
        <v>45919.625</v>
      </c>
      <c r="BN35" s="54">
        <v>101.015625</v>
      </c>
      <c r="BO35" s="75">
        <v>45922.625</v>
      </c>
      <c r="BP35" s="54">
        <v>99.734375</v>
      </c>
      <c r="BR35" s="161">
        <f t="shared" si="0"/>
        <v>45926.625</v>
      </c>
      <c r="BS35" s="58">
        <f t="shared" si="1"/>
        <v>80819.631518541748</v>
      </c>
      <c r="BT35" s="58">
        <f t="shared" si="2"/>
        <v>-71071.188485087609</v>
      </c>
      <c r="BU35" s="58">
        <f t="shared" si="14"/>
        <v>42692.854537978157</v>
      </c>
      <c r="BV35" s="58">
        <f t="shared" si="15"/>
        <v>1639.4660127066745</v>
      </c>
      <c r="BW35" s="58">
        <f>$BX$11*BU35</f>
        <v>42692.854537978157</v>
      </c>
      <c r="BX35" s="58">
        <f>$BY$11*BV35</f>
        <v>1542.0114694642302</v>
      </c>
      <c r="BZ35" s="58">
        <f>SUM($BW$13:BW35)</f>
        <v>-60029.853476963326</v>
      </c>
      <c r="CA35" s="58">
        <f>SUM($BW$13:BX35)</f>
        <v>-126876.36749010073</v>
      </c>
      <c r="CE35" s="133">
        <v>45926.625</v>
      </c>
      <c r="CF35" s="54">
        <v>-60029.853476963326</v>
      </c>
      <c r="CG35" s="54">
        <v>-126876.36749010073</v>
      </c>
    </row>
    <row r="36" spans="1:85" x14ac:dyDescent="0.3">
      <c r="A36" s="158">
        <v>45876.625</v>
      </c>
      <c r="B36" s="76">
        <f t="shared" si="39"/>
        <v>94.64</v>
      </c>
      <c r="C36" s="31">
        <f t="shared" si="40"/>
        <v>197018.10436634769</v>
      </c>
      <c r="D36" s="32">
        <f t="shared" si="41"/>
        <v>-88124.999999999985</v>
      </c>
      <c r="E36" s="76">
        <f t="shared" si="42"/>
        <v>101.16500000000001</v>
      </c>
      <c r="F36" s="31">
        <f t="shared" si="43"/>
        <v>-15199.999999998679</v>
      </c>
      <c r="G36" s="32">
        <f t="shared" si="44"/>
        <v>-31374.904999999984</v>
      </c>
      <c r="H36" s="76">
        <f t="shared" si="45"/>
        <v>120.52</v>
      </c>
      <c r="I36" s="31">
        <f t="shared" si="46"/>
        <v>-486792.45283019333</v>
      </c>
      <c r="J36" s="32">
        <f t="shared" si="47"/>
        <v>-151574.99999999997</v>
      </c>
      <c r="K36" s="76">
        <f t="shared" si="48"/>
        <v>99.838999999999999</v>
      </c>
      <c r="L36" s="31">
        <f t="shared" si="49"/>
        <v>32389.999999997341</v>
      </c>
      <c r="M36" s="32">
        <f t="shared" si="50"/>
        <v>-69011.473333333328</v>
      </c>
      <c r="N36" s="82">
        <f t="shared" si="51"/>
        <v>757213.98886320367</v>
      </c>
      <c r="O36" s="82"/>
      <c r="P36" s="82"/>
      <c r="Q36" s="82">
        <f>$G$5*SUM($O$14:O36)-$H$5*SUM($P$14:P36)</f>
        <v>-685953.76080000005</v>
      </c>
      <c r="R36" s="82">
        <f t="shared" si="12"/>
        <v>71260.228063203627</v>
      </c>
      <c r="S36" s="162"/>
      <c r="U36" s="75">
        <v>45805.625</v>
      </c>
      <c r="V36" s="54">
        <v>93.01</v>
      </c>
      <c r="W36" s="75">
        <v>45803.625</v>
      </c>
      <c r="X36" s="54">
        <v>101.53100000000001</v>
      </c>
      <c r="Y36" s="125">
        <v>45806.625</v>
      </c>
      <c r="Z36" s="54">
        <v>121.25</v>
      </c>
      <c r="AA36" s="75">
        <v>45891.625</v>
      </c>
      <c r="AB36" s="54">
        <v>99.596000000000004</v>
      </c>
      <c r="AF36" s="131">
        <v>45926.625</v>
      </c>
      <c r="AG36" s="45">
        <f t="shared" si="20"/>
        <v>81.08</v>
      </c>
      <c r="AH36" s="46">
        <f t="shared" si="21"/>
        <v>47548.474743732695</v>
      </c>
      <c r="AI36" s="46">
        <f t="shared" si="22"/>
        <v>-123374.99999999999</v>
      </c>
      <c r="AJ36" s="45">
        <f t="shared" si="23"/>
        <v>99.3828125</v>
      </c>
      <c r="AK36" s="46">
        <f t="shared" si="24"/>
        <v>-51796.875000000007</v>
      </c>
      <c r="AL36" s="47">
        <f t="shared" si="25"/>
        <v>-9589.5947265625073</v>
      </c>
      <c r="AM36" s="45">
        <f t="shared" si="26"/>
        <v>111.21</v>
      </c>
      <c r="AN36" s="46">
        <f t="shared" si="27"/>
        <v>386076.52458420018</v>
      </c>
      <c r="AO36" s="47">
        <f t="shared" si="28"/>
        <v>-126899.99999999999</v>
      </c>
      <c r="AP36" s="45">
        <f t="shared" si="29"/>
        <v>99.3828125</v>
      </c>
      <c r="AQ36" s="46">
        <f t="shared" si="30"/>
        <v>-45156.25</v>
      </c>
      <c r="AR36" s="47">
        <f t="shared" si="31"/>
        <v>-8360.1595052083358</v>
      </c>
      <c r="AS36" s="45">
        <f t="shared" si="32"/>
        <v>100.5625</v>
      </c>
      <c r="AT36" s="46">
        <f t="shared" si="33"/>
        <v>32812.5</v>
      </c>
      <c r="AU36" s="47">
        <f t="shared" si="34"/>
        <v>91.953125000003638</v>
      </c>
      <c r="AV36" s="45">
        <f t="shared" si="35"/>
        <v>99.90625</v>
      </c>
      <c r="AW36" s="46">
        <f t="shared" si="36"/>
        <v>257578.125</v>
      </c>
      <c r="AX36" s="47">
        <f t="shared" si="37"/>
        <v>5492.662109375</v>
      </c>
      <c r="AY36" s="82">
        <f t="shared" si="38"/>
        <v>-31157.749384738272</v>
      </c>
      <c r="AZ36" s="82"/>
      <c r="BA36" s="82"/>
      <c r="BB36" s="82">
        <f>$AO$4*SUM($AZ$14:AZ36)-$AP$4*SUM($BA$14:BA36)</f>
        <v>39913.439100349337</v>
      </c>
      <c r="BC36" s="82">
        <f t="shared" si="13"/>
        <v>-71071.188485087609</v>
      </c>
      <c r="BE36" s="75">
        <v>45799.625</v>
      </c>
      <c r="BF36" s="54">
        <v>78.97</v>
      </c>
      <c r="BG36" s="75">
        <v>45943.625</v>
      </c>
      <c r="BH36" s="54">
        <v>99.9921875</v>
      </c>
      <c r="BI36" s="75">
        <v>45799.625</v>
      </c>
      <c r="BJ36" s="54">
        <v>106.2</v>
      </c>
      <c r="BK36" s="75">
        <v>45943.625</v>
      </c>
      <c r="BL36" s="54">
        <v>99.9921875</v>
      </c>
      <c r="BM36" s="75">
        <v>45922.625</v>
      </c>
      <c r="BN36" s="54">
        <v>100.8125</v>
      </c>
      <c r="BO36" s="75">
        <v>45923.625</v>
      </c>
      <c r="BP36" s="54">
        <v>100.421875</v>
      </c>
      <c r="BR36" s="161">
        <f t="shared" si="0"/>
        <v>45929.625</v>
      </c>
      <c r="BS36" s="58">
        <f t="shared" si="1"/>
        <v>4003.7110540830763</v>
      </c>
      <c r="BT36" s="58">
        <f t="shared" si="2"/>
        <v>-31125.811158416655</v>
      </c>
      <c r="BU36" s="58">
        <f t="shared" si="14"/>
        <v>-76815.920464458672</v>
      </c>
      <c r="BV36" s="58">
        <f t="shared" si="15"/>
        <v>39945.377326670954</v>
      </c>
      <c r="BW36" s="58">
        <f>$BX$11*BU36</f>
        <v>-76815.920464458672</v>
      </c>
      <c r="BX36" s="58">
        <f>$BY$11*BV36</f>
        <v>37570.909986789418</v>
      </c>
      <c r="BZ36" s="58">
        <f>SUM($BW$13:BW36)</f>
        <v>-136845.773941422</v>
      </c>
      <c r="CA36" s="58">
        <f>SUM($BW$13:BX36)</f>
        <v>-166121.37796776998</v>
      </c>
      <c r="CE36" s="133">
        <v>45929.625</v>
      </c>
      <c r="CF36" s="54">
        <v>-136845.773941422</v>
      </c>
      <c r="CG36" s="54">
        <v>-166121.37796776998</v>
      </c>
    </row>
    <row r="37" spans="1:85" x14ac:dyDescent="0.3">
      <c r="A37" s="158">
        <v>45877.625</v>
      </c>
      <c r="B37" s="76">
        <f t="shared" si="39"/>
        <v>94.67</v>
      </c>
      <c r="C37" s="31">
        <f t="shared" si="40"/>
        <v>205005.32481362854</v>
      </c>
      <c r="D37" s="32">
        <f t="shared" si="41"/>
        <v>-91062.5</v>
      </c>
      <c r="E37" s="76">
        <f t="shared" si="42"/>
        <v>101.039</v>
      </c>
      <c r="F37" s="31">
        <f t="shared" si="43"/>
        <v>-40399.999999999636</v>
      </c>
      <c r="G37" s="32">
        <f t="shared" si="44"/>
        <v>-32420.735166666658</v>
      </c>
      <c r="H37" s="76">
        <f t="shared" si="45"/>
        <v>120.29</v>
      </c>
      <c r="I37" s="31">
        <f t="shared" si="46"/>
        <v>-567924.52830188663</v>
      </c>
      <c r="J37" s="32">
        <f t="shared" si="47"/>
        <v>-156627.5</v>
      </c>
      <c r="K37" s="76">
        <f t="shared" si="48"/>
        <v>99.611000000000004</v>
      </c>
      <c r="L37" s="31">
        <f t="shared" si="49"/>
        <v>-61090.000000000371</v>
      </c>
      <c r="M37" s="32">
        <f t="shared" si="50"/>
        <v>-71311.85577777779</v>
      </c>
      <c r="N37" s="82">
        <f t="shared" si="51"/>
        <v>778913.73250440322</v>
      </c>
      <c r="O37" s="82"/>
      <c r="P37" s="82"/>
      <c r="Q37" s="82">
        <f>$G$5*SUM($O$14:O37)-$H$5*SUM($P$14:P37)</f>
        <v>-685953.76080000005</v>
      </c>
      <c r="R37" s="82">
        <f t="shared" si="12"/>
        <v>92959.971704403171</v>
      </c>
      <c r="S37" s="162"/>
      <c r="U37" s="75">
        <v>45806.625</v>
      </c>
      <c r="V37" s="54">
        <v>93.33</v>
      </c>
      <c r="W37" s="75">
        <v>45804.625</v>
      </c>
      <c r="X37" s="54">
        <v>101.529</v>
      </c>
      <c r="Y37" s="125">
        <v>45810.625</v>
      </c>
      <c r="Z37" s="54">
        <v>121.27</v>
      </c>
      <c r="AA37" s="75">
        <v>45894.625</v>
      </c>
      <c r="AB37" s="54">
        <v>99.394999999999996</v>
      </c>
      <c r="AF37" s="131">
        <v>45929.625</v>
      </c>
      <c r="AG37" s="45">
        <f t="shared" si="20"/>
        <v>81.22</v>
      </c>
      <c r="AH37" s="46">
        <f t="shared" si="21"/>
        <v>108064.7153266645</v>
      </c>
      <c r="AI37" s="46">
        <f t="shared" si="22"/>
        <v>-135712.49999999997</v>
      </c>
      <c r="AJ37" s="45">
        <f t="shared" si="23"/>
        <v>99.4921875</v>
      </c>
      <c r="AK37" s="46">
        <f t="shared" si="24"/>
        <v>-30468.75</v>
      </c>
      <c r="AL37" s="47">
        <f t="shared" si="25"/>
        <v>-10548.55419921875</v>
      </c>
      <c r="AM37" s="45">
        <f t="shared" si="26"/>
        <v>111.58</v>
      </c>
      <c r="AN37" s="46">
        <f t="shared" si="27"/>
        <v>507134.41788603395</v>
      </c>
      <c r="AO37" s="47">
        <f t="shared" si="28"/>
        <v>-139589.99999999997</v>
      </c>
      <c r="AP37" s="45">
        <f t="shared" si="29"/>
        <v>99.4921875</v>
      </c>
      <c r="AQ37" s="46">
        <f t="shared" si="30"/>
        <v>-26562.5</v>
      </c>
      <c r="AR37" s="47">
        <f t="shared" si="31"/>
        <v>-9196.175455729157</v>
      </c>
      <c r="AS37" s="45">
        <f t="shared" si="32"/>
        <v>100.875</v>
      </c>
      <c r="AT37" s="46">
        <f t="shared" si="33"/>
        <v>56250</v>
      </c>
      <c r="AU37" s="47">
        <f t="shared" si="34"/>
        <v>101.14843750000728</v>
      </c>
      <c r="AV37" s="45">
        <f t="shared" si="35"/>
        <v>100.65625</v>
      </c>
      <c r="AW37" s="46">
        <f t="shared" si="36"/>
        <v>336328.12499999994</v>
      </c>
      <c r="AX37" s="47">
        <f t="shared" si="37"/>
        <v>6041.9283203125015</v>
      </c>
      <c r="AY37" s="82">
        <f t="shared" si="38"/>
        <v>8787.627941932682</v>
      </c>
      <c r="AZ37" s="82"/>
      <c r="BA37" s="82"/>
      <c r="BB37" s="82">
        <f>$AO$4*SUM($AZ$14:AZ37)-$AP$4*SUM($BA$14:BA37)</f>
        <v>39913.439100349337</v>
      </c>
      <c r="BC37" s="82">
        <f t="shared" si="13"/>
        <v>-31125.811158416655</v>
      </c>
      <c r="BE37" s="75">
        <v>45800.625</v>
      </c>
      <c r="BF37" s="54">
        <v>78.95</v>
      </c>
      <c r="BG37" s="75">
        <v>45944.625</v>
      </c>
      <c r="BH37" s="54">
        <v>100.1328125</v>
      </c>
      <c r="BI37" s="75">
        <v>45800.625</v>
      </c>
      <c r="BJ37" s="54">
        <v>106.28</v>
      </c>
      <c r="BK37" s="75">
        <v>45944.625</v>
      </c>
      <c r="BL37" s="54">
        <v>100.1328125</v>
      </c>
      <c r="BM37" s="75">
        <v>45923.625</v>
      </c>
      <c r="BN37" s="54">
        <v>101.140625</v>
      </c>
      <c r="BO37" s="75">
        <v>45924.625</v>
      </c>
      <c r="BP37" s="54">
        <v>100.015625</v>
      </c>
      <c r="BR37" s="161">
        <f t="shared" si="0"/>
        <v>45930.625</v>
      </c>
      <c r="BS37" s="58">
        <f t="shared" si="1"/>
        <v>911.97524452535436</v>
      </c>
      <c r="BT37" s="58">
        <f t="shared" si="2"/>
        <v>-39555.632487285744</v>
      </c>
      <c r="BU37" s="58">
        <f t="shared" si="14"/>
        <v>-3091.735809557722</v>
      </c>
      <c r="BV37" s="58">
        <f t="shared" si="15"/>
        <v>-8429.8213288690895</v>
      </c>
      <c r="BW37" s="58">
        <f>$BX$11*BU37</f>
        <v>-3091.735809557722</v>
      </c>
      <c r="BX37" s="58">
        <f>$BY$11*BV37</f>
        <v>-7928.7286676896993</v>
      </c>
      <c r="BZ37" s="58">
        <f>SUM($BW$13:BW37)</f>
        <v>-139937.50975097972</v>
      </c>
      <c r="CA37" s="58">
        <f>SUM($BW$13:BX37)</f>
        <v>-177141.84244501739</v>
      </c>
      <c r="CE37" s="133">
        <v>45930.625</v>
      </c>
      <c r="CF37" s="54">
        <v>-139937.50975097972</v>
      </c>
      <c r="CG37" s="54">
        <v>-177141.84244501739</v>
      </c>
    </row>
    <row r="38" spans="1:85" x14ac:dyDescent="0.3">
      <c r="A38" s="158">
        <v>45880.625</v>
      </c>
      <c r="B38" s="76">
        <f t="shared" si="39"/>
        <v>94.66</v>
      </c>
      <c r="C38" s="31">
        <f t="shared" si="40"/>
        <v>202342.9179978664</v>
      </c>
      <c r="D38" s="32">
        <f t="shared" si="41"/>
        <v>-99874.999999999985</v>
      </c>
      <c r="E38" s="76">
        <f t="shared" si="42"/>
        <v>101.004</v>
      </c>
      <c r="F38" s="31">
        <f t="shared" si="43"/>
        <v>-47399.999999998952</v>
      </c>
      <c r="G38" s="32">
        <f t="shared" si="44"/>
        <v>-35558.225666666644</v>
      </c>
      <c r="H38" s="76">
        <f t="shared" si="45"/>
        <v>120.27</v>
      </c>
      <c r="I38" s="31">
        <f t="shared" si="46"/>
        <v>-574979.49138638529</v>
      </c>
      <c r="J38" s="32">
        <f t="shared" si="47"/>
        <v>-171784.99999999997</v>
      </c>
      <c r="K38" s="76">
        <f t="shared" si="48"/>
        <v>99.561999999999998</v>
      </c>
      <c r="L38" s="31">
        <f t="shared" si="49"/>
        <v>-81180.00000000307</v>
      </c>
      <c r="M38" s="32">
        <f t="shared" si="50"/>
        <v>-78213.003111111073</v>
      </c>
      <c r="N38" s="82">
        <f t="shared" si="51"/>
        <v>772797.63193980313</v>
      </c>
      <c r="O38" s="82"/>
      <c r="P38" s="82"/>
      <c r="Q38" s="82">
        <f>$G$5*SUM($O$14:O38)-$H$5*SUM($P$14:P38)</f>
        <v>-685953.76080000005</v>
      </c>
      <c r="R38" s="82">
        <f t="shared" si="12"/>
        <v>86843.871139803086</v>
      </c>
      <c r="S38" s="162"/>
      <c r="U38" s="75">
        <v>45807.625</v>
      </c>
      <c r="V38" s="54">
        <v>93.44</v>
      </c>
      <c r="W38" s="75">
        <v>45805.625</v>
      </c>
      <c r="X38" s="54">
        <v>101.491</v>
      </c>
      <c r="Y38" s="125">
        <v>45811.625</v>
      </c>
      <c r="Z38" s="54">
        <v>121.47</v>
      </c>
      <c r="AA38" s="75">
        <v>45895.625</v>
      </c>
      <c r="AB38" s="54">
        <v>99.643000000000001</v>
      </c>
      <c r="AF38" s="131">
        <v>45930.625</v>
      </c>
      <c r="AG38" s="45">
        <f t="shared" si="20"/>
        <v>81.19</v>
      </c>
      <c r="AH38" s="46">
        <f t="shared" si="21"/>
        <v>95096.94948746539</v>
      </c>
      <c r="AI38" s="46">
        <f t="shared" si="22"/>
        <v>-139825</v>
      </c>
      <c r="AJ38" s="45">
        <f t="shared" si="23"/>
        <v>99.5078125</v>
      </c>
      <c r="AK38" s="46">
        <f t="shared" si="24"/>
        <v>-27421.875</v>
      </c>
      <c r="AL38" s="47">
        <f t="shared" si="25"/>
        <v>-10868.207356770828</v>
      </c>
      <c r="AM38" s="45">
        <f t="shared" si="26"/>
        <v>111.47</v>
      </c>
      <c r="AN38" s="46">
        <f t="shared" si="27"/>
        <v>471144.23339089483</v>
      </c>
      <c r="AO38" s="47">
        <f t="shared" si="28"/>
        <v>-143820</v>
      </c>
      <c r="AP38" s="45">
        <f t="shared" si="29"/>
        <v>99.5078125</v>
      </c>
      <c r="AQ38" s="46">
        <f t="shared" si="30"/>
        <v>-23906.25</v>
      </c>
      <c r="AR38" s="47">
        <f t="shared" si="31"/>
        <v>-9474.8474392361168</v>
      </c>
      <c r="AS38" s="45">
        <f t="shared" si="32"/>
        <v>100.828125</v>
      </c>
      <c r="AT38" s="46">
        <f t="shared" si="33"/>
        <v>52734.375</v>
      </c>
      <c r="AU38" s="47">
        <f t="shared" si="34"/>
        <v>104.21354166667152</v>
      </c>
      <c r="AV38" s="45">
        <f t="shared" si="35"/>
        <v>100.390625</v>
      </c>
      <c r="AW38" s="46">
        <f t="shared" si="36"/>
        <v>308437.5</v>
      </c>
      <c r="AX38" s="47">
        <f t="shared" si="37"/>
        <v>6225.0170572916759</v>
      </c>
      <c r="AY38" s="82">
        <f t="shared" si="38"/>
        <v>357.80661306359252</v>
      </c>
      <c r="AZ38" s="82"/>
      <c r="BA38" s="82"/>
      <c r="BB38" s="82">
        <f>$AO$4*SUM($AZ$14:AZ38)-$AP$4*SUM($BA$14:BA38)</f>
        <v>39913.439100349337</v>
      </c>
      <c r="BC38" s="82">
        <f t="shared" si="13"/>
        <v>-39555.632487285744</v>
      </c>
      <c r="BE38" s="75">
        <v>45804.625</v>
      </c>
      <c r="BF38" s="54">
        <v>79.430000000000007</v>
      </c>
      <c r="BG38" s="75">
        <v>45945.625</v>
      </c>
      <c r="BH38" s="54">
        <v>100.0234375</v>
      </c>
      <c r="BI38" s="75">
        <v>45804.625</v>
      </c>
      <c r="BJ38" s="54">
        <v>107.24</v>
      </c>
      <c r="BK38" s="75">
        <v>45945.625</v>
      </c>
      <c r="BL38" s="54">
        <v>100.0234375</v>
      </c>
      <c r="BM38" s="75">
        <v>45924.625</v>
      </c>
      <c r="BN38" s="54">
        <v>100.859375</v>
      </c>
      <c r="BO38" s="75">
        <v>45925.625</v>
      </c>
      <c r="BP38" s="54">
        <v>100.03125</v>
      </c>
      <c r="BR38" s="161">
        <f t="shared" si="0"/>
        <v>45931.625</v>
      </c>
      <c r="BS38" s="58">
        <f t="shared" si="1"/>
        <v>19414.12032862613</v>
      </c>
      <c r="BT38" s="58">
        <f t="shared" si="2"/>
        <v>-144666.03170397738</v>
      </c>
      <c r="BU38" s="58">
        <f t="shared" si="14"/>
        <v>18502.145084100775</v>
      </c>
      <c r="BV38" s="58">
        <f t="shared" si="15"/>
        <v>-105110.39921669164</v>
      </c>
      <c r="BW38" s="58">
        <f>$BX$11*BU38</f>
        <v>18502.145084100775</v>
      </c>
      <c r="BX38" s="58">
        <f>$BY$11*BV38</f>
        <v>-98862.336819361313</v>
      </c>
      <c r="BZ38" s="58">
        <f>SUM($BW$13:BW38)</f>
        <v>-121435.36466687894</v>
      </c>
      <c r="CA38" s="58">
        <f>SUM($BW$13:BX38)</f>
        <v>-257502.03418027793</v>
      </c>
      <c r="CE38" s="133">
        <v>45931.625</v>
      </c>
      <c r="CF38" s="54">
        <v>-121435.36466687894</v>
      </c>
      <c r="CG38" s="54">
        <v>-257502.03418027793</v>
      </c>
    </row>
    <row r="39" spans="1:85" x14ac:dyDescent="0.3">
      <c r="A39" s="158">
        <v>45881.625</v>
      </c>
      <c r="B39" s="76">
        <f t="shared" si="39"/>
        <v>94.75</v>
      </c>
      <c r="C39" s="31">
        <f t="shared" si="40"/>
        <v>226304.57933972005</v>
      </c>
      <c r="D39" s="32">
        <f t="shared" si="41"/>
        <v>-102812.5</v>
      </c>
      <c r="E39" s="76">
        <f t="shared" si="42"/>
        <v>100.947</v>
      </c>
      <c r="F39" s="31">
        <f t="shared" si="43"/>
        <v>-58799.999999999382</v>
      </c>
      <c r="G39" s="32">
        <f t="shared" si="44"/>
        <v>-36604.055833333332</v>
      </c>
      <c r="H39" s="76">
        <f t="shared" si="45"/>
        <v>120.15</v>
      </c>
      <c r="I39" s="31">
        <f t="shared" si="46"/>
        <v>-617309.26989335299</v>
      </c>
      <c r="J39" s="32">
        <f t="shared" si="47"/>
        <v>-176837.5</v>
      </c>
      <c r="K39" s="76">
        <f t="shared" si="48"/>
        <v>99.405000000000001</v>
      </c>
      <c r="L39" s="31">
        <f t="shared" si="49"/>
        <v>-145550.00000000163</v>
      </c>
      <c r="M39" s="32">
        <f t="shared" si="50"/>
        <v>-80513.385555555535</v>
      </c>
      <c r="N39" s="82">
        <f t="shared" si="51"/>
        <v>786979.51951084856</v>
      </c>
      <c r="O39" s="82"/>
      <c r="P39" s="82"/>
      <c r="Q39" s="82">
        <f>$G$5*SUM($O$14:O39)-$H$5*SUM($P$14:P39)</f>
        <v>-685953.76080000005</v>
      </c>
      <c r="R39" s="82">
        <f t="shared" si="12"/>
        <v>101025.75871084852</v>
      </c>
      <c r="S39" s="162"/>
      <c r="U39" s="75">
        <v>45810.625</v>
      </c>
      <c r="V39" s="54">
        <v>93.5</v>
      </c>
      <c r="W39" s="75">
        <v>45806.625</v>
      </c>
      <c r="X39" s="54">
        <v>101.58</v>
      </c>
      <c r="Y39" s="125">
        <v>45812.625</v>
      </c>
      <c r="Z39" s="54">
        <v>121.35</v>
      </c>
      <c r="AA39" s="75">
        <v>45896.625</v>
      </c>
      <c r="AB39" s="54">
        <v>99.801000000000002</v>
      </c>
      <c r="AF39" s="131">
        <v>45931.625</v>
      </c>
      <c r="AG39" s="45">
        <f t="shared" si="20"/>
        <v>80.959999999999994</v>
      </c>
      <c r="AH39" s="46">
        <f>(AG39/$AG$14-1)*$AG$5</f>
        <v>-4322.5886130676681</v>
      </c>
      <c r="AI39" s="46">
        <f>-1*(AF39-$AF$14)/360*$AG$5*$AG$7</f>
        <v>-143937.5</v>
      </c>
      <c r="AJ39" s="45">
        <f t="shared" si="23"/>
        <v>99.765625</v>
      </c>
      <c r="AK39" s="46">
        <f>(AJ39-$AJ$14)/100*$AH$5</f>
        <v>22851.5625</v>
      </c>
      <c r="AL39" s="47">
        <f>(AF39-$AF$14)/360*$AH$5*$AH$6-(AF39-$AF$14)/360*$AH$5*$AH$7*$AJ$14/100</f>
        <v>-11187.860514322907</v>
      </c>
      <c r="AM39" s="45">
        <f t="shared" si="26"/>
        <v>111.51</v>
      </c>
      <c r="AN39" s="46">
        <f>(AM39/$AM$14-1)*$AI$5</f>
        <v>484231.57320731127</v>
      </c>
      <c r="AO39" s="47">
        <f>-1*(AF39-$AF$14)/360*$AI$5*$AI$7</f>
        <v>-148050</v>
      </c>
      <c r="AP39" s="45">
        <f t="shared" si="29"/>
        <v>99.765625</v>
      </c>
      <c r="AQ39" s="46">
        <f>(AP39-$AP$14)/100*$AJ$5</f>
        <v>19921.875</v>
      </c>
      <c r="AR39" s="47">
        <f>(AF39-$AF$14)/360*$AJ$5*$AJ$6-(AF39-$AF$14)/360*$AJ$5*$AJ$7*$AP$14/100</f>
        <v>-9753.519422743062</v>
      </c>
      <c r="AS39" s="45">
        <f t="shared" si="32"/>
        <v>101.171875</v>
      </c>
      <c r="AT39" s="46">
        <f>(AS39-$AS$14)/100*$AK$5</f>
        <v>78515.625</v>
      </c>
      <c r="AU39" s="47">
        <f>(AF39-$AF$14)/360*$AK$5*$AK$6-(AF39-$AF$14)/360*$AK$5*$AK$7*$AS$14/100</f>
        <v>107.27864583333576</v>
      </c>
      <c r="AV39" s="45">
        <f t="shared" si="35"/>
        <v>100.578125</v>
      </c>
      <c r="AW39" s="46">
        <f>(AV39-$AV$14)/100*$AL$5</f>
        <v>328125</v>
      </c>
      <c r="AX39" s="47">
        <f>(AF39-$AF$14)/360*$AL$5*$AL$6-(AF39-$AF$14)/360*$AL$5*$AL$7*$AV$14/100</f>
        <v>6408.1057942708358</v>
      </c>
      <c r="AY39" s="82">
        <f>AH39+AI39-AK39-AL39-AN39-AO39+AQ39+AR39+AT39+AU39+AW39+AX39</f>
        <v>-72780.998788694997</v>
      </c>
      <c r="AZ39" s="82">
        <v>0.381299</v>
      </c>
      <c r="BA39" s="82">
        <v>0.40603600000000001</v>
      </c>
      <c r="BB39" s="82">
        <f>$AO$4*SUM($AZ$14:AZ39)-$AP$4*SUM($BA$14:BA39)</f>
        <v>71885.032915282383</v>
      </c>
      <c r="BC39" s="82">
        <f t="shared" si="13"/>
        <v>-144666.03170397738</v>
      </c>
      <c r="BE39" s="75">
        <v>45805.625</v>
      </c>
      <c r="BF39" s="54">
        <v>79.38</v>
      </c>
      <c r="BG39" s="75">
        <v>45946.625</v>
      </c>
      <c r="BH39" s="54">
        <v>100.359375</v>
      </c>
      <c r="BI39" s="75">
        <v>45805.625</v>
      </c>
      <c r="BJ39" s="54">
        <v>106.98</v>
      </c>
      <c r="BK39" s="75">
        <v>45946.625</v>
      </c>
      <c r="BL39" s="54">
        <v>100.359375</v>
      </c>
      <c r="BM39" s="75">
        <v>45925.625</v>
      </c>
      <c r="BN39" s="54">
        <v>100.640625</v>
      </c>
      <c r="BO39" s="75">
        <v>45926.625</v>
      </c>
      <c r="BP39" s="54">
        <v>99.90625</v>
      </c>
      <c r="BR39" s="161">
        <f t="shared" si="0"/>
        <v>45932.625</v>
      </c>
      <c r="BS39" s="58">
        <f t="shared" si="1"/>
        <v>6559.0449654442782</v>
      </c>
      <c r="BT39" s="58">
        <f t="shared" si="2"/>
        <v>-174854.06670183537</v>
      </c>
      <c r="BU39" s="58">
        <f t="shared" si="14"/>
        <v>-12855.075363181852</v>
      </c>
      <c r="BV39" s="58">
        <f t="shared" si="15"/>
        <v>-30188.034997857991</v>
      </c>
      <c r="BW39" s="58">
        <f>$BX$11*BU39</f>
        <v>-12855.075363181852</v>
      </c>
      <c r="BX39" s="58">
        <f>$BY$11*BV39</f>
        <v>-28393.571959709279</v>
      </c>
      <c r="BZ39" s="58">
        <f>SUM($BW$13:BW39)</f>
        <v>-134290.4400300608</v>
      </c>
      <c r="CA39" s="58">
        <f>SUM($BW$13:BX39)</f>
        <v>-298750.68150316906</v>
      </c>
      <c r="CE39" s="133">
        <v>45932.625</v>
      </c>
      <c r="CF39" s="54">
        <v>-134290.4400300608</v>
      </c>
      <c r="CG39" s="54">
        <v>-298750.68150316906</v>
      </c>
    </row>
    <row r="40" spans="1:85" x14ac:dyDescent="0.3">
      <c r="A40" s="158">
        <v>45882.625</v>
      </c>
      <c r="B40" s="76">
        <f t="shared" si="39"/>
        <v>94.88</v>
      </c>
      <c r="C40" s="31">
        <f t="shared" si="40"/>
        <v>260915.86794461662</v>
      </c>
      <c r="D40" s="32">
        <f t="shared" si="41"/>
        <v>-105750</v>
      </c>
      <c r="E40" s="76">
        <f t="shared" si="42"/>
        <v>101.11799999999999</v>
      </c>
      <c r="F40" s="31">
        <f t="shared" si="43"/>
        <v>-24600.000000000931</v>
      </c>
      <c r="G40" s="32">
        <f t="shared" si="44"/>
        <v>-37649.885999999991</v>
      </c>
      <c r="H40" s="76">
        <f t="shared" si="45"/>
        <v>120.52</v>
      </c>
      <c r="I40" s="31">
        <f t="shared" si="46"/>
        <v>-486792.45283019333</v>
      </c>
      <c r="J40" s="32">
        <f t="shared" si="47"/>
        <v>-181890</v>
      </c>
      <c r="K40" s="76">
        <f t="shared" si="48"/>
        <v>99.745000000000005</v>
      </c>
      <c r="L40" s="31">
        <f t="shared" si="49"/>
        <v>-6150.0000000002328</v>
      </c>
      <c r="M40" s="32">
        <f t="shared" si="50"/>
        <v>-82813.768000000011</v>
      </c>
      <c r="N40" s="82">
        <f t="shared" si="51"/>
        <v>797134.43877481064</v>
      </c>
      <c r="O40" s="82"/>
      <c r="P40" s="82"/>
      <c r="Q40" s="82">
        <f>$G$5*SUM($O$14:O40)-$H$5*SUM($P$14:P40)</f>
        <v>-685953.76080000005</v>
      </c>
      <c r="R40" s="82">
        <f t="shared" si="12"/>
        <v>111180.67797481059</v>
      </c>
      <c r="S40" s="162"/>
      <c r="U40" s="75">
        <v>45811.625</v>
      </c>
      <c r="V40" s="54">
        <v>93.62</v>
      </c>
      <c r="W40" s="75">
        <v>45807.625</v>
      </c>
      <c r="X40" s="54">
        <v>101.56</v>
      </c>
      <c r="Y40" s="125">
        <v>45813.625</v>
      </c>
      <c r="Z40" s="54">
        <v>121.02</v>
      </c>
      <c r="AA40" s="75">
        <v>45897.625</v>
      </c>
      <c r="AB40" s="54">
        <v>99.775999999999996</v>
      </c>
      <c r="AF40" s="131">
        <v>45932.625</v>
      </c>
      <c r="AG40" s="45">
        <f t="shared" ref="AG40:AG50" si="52">VLOOKUP($AF40+$J$1,BE:BF,2)</f>
        <v>80.930000000000007</v>
      </c>
      <c r="AH40" s="46">
        <f t="shared" si="21"/>
        <v>-17290.354452262902</v>
      </c>
      <c r="AI40" s="46">
        <f t="shared" ref="AI40:AI50" si="53">-1*(AF40-$AF$14)/360*$AG$5*$AG$7</f>
        <v>-148050</v>
      </c>
      <c r="AJ40" s="45">
        <f t="shared" ref="AJ40:AJ50" si="54">VLOOKUP($AF40+$J$1,BG:BH,2)</f>
        <v>99.78125</v>
      </c>
      <c r="AK40" s="46">
        <f t="shared" si="24"/>
        <v>25898.437500000004</v>
      </c>
      <c r="AL40" s="47">
        <f t="shared" ref="AL40:AL50" si="55">(AF40-$AF$14)/360*$AH$5*$AH$6-(AF40-$AF$14)/360*$AH$5*$AH$7*$AJ$14/100</f>
        <v>-11507.513671875</v>
      </c>
      <c r="AM40" s="45">
        <f t="shared" ref="AM40:AM50" si="56">VLOOKUP($AF40+$J$1,BI:BJ,2)</f>
        <v>111.69</v>
      </c>
      <c r="AN40" s="46">
        <f t="shared" si="27"/>
        <v>543124.60238116514</v>
      </c>
      <c r="AO40" s="47">
        <f t="shared" ref="AO40:AO50" si="57">-1*(AF40-$AF$14)/360*$AI$5*$AI$7</f>
        <v>-152280</v>
      </c>
      <c r="AP40" s="45">
        <f t="shared" ref="AP40:AP50" si="58">VLOOKUP($AF40+$J$1,BK:BL,2)</f>
        <v>99.78125</v>
      </c>
      <c r="AQ40" s="46">
        <f t="shared" si="30"/>
        <v>22578.125</v>
      </c>
      <c r="AR40" s="47">
        <f t="shared" ref="AR40:AR50" si="59">(AF40-$AF$14)/360*$AJ$5*$AJ$6-(AF40-$AF$14)/360*$AJ$5*$AJ$7*$AP$14/100</f>
        <v>-10032.191406250007</v>
      </c>
      <c r="AS40" s="45">
        <f t="shared" ref="AS40:AS50" si="60">VLOOKUP($AF40+$J$1,BM:BN,2)</f>
        <v>101.3125</v>
      </c>
      <c r="AT40" s="46">
        <f t="shared" si="33"/>
        <v>89062.5</v>
      </c>
      <c r="AU40" s="47">
        <f t="shared" ref="AU40:AU50" si="61">(AF40-$AF$14)/360*$AK$5*$AK$6-(AF40-$AF$14)/360*$AK$5*$AK$7*$AS$14/100</f>
        <v>110.34375000000728</v>
      </c>
      <c r="AV40" s="45">
        <f t="shared" ref="AV40:AV50" si="62">VLOOKUP($AF40+$J$1,BO:BP,2)</f>
        <v>100.875</v>
      </c>
      <c r="AW40" s="46">
        <f t="shared" si="36"/>
        <v>359296.875</v>
      </c>
      <c r="AX40" s="47">
        <f t="shared" ref="AX40:AX50" si="63">(AF40-$AF$14)/360*$AL$5*$AL$6-(AF40-$AF$14)/360*$AL$5*$AL$7*$AV$14/100</f>
        <v>6591.1945312500029</v>
      </c>
      <c r="AY40" s="82">
        <f t="shared" ref="AY40:AY50" si="64">AH40+AI40-AK40-AL40-AN40-AO40+AQ40+AR40+AT40+AU40+AW40+AX40</f>
        <v>-102969.033786553</v>
      </c>
      <c r="AZ40" s="82"/>
      <c r="BA40" s="82"/>
      <c r="BB40" s="82">
        <f>$AO$4*SUM($AZ$14:AZ40)-$AP$4*SUM($BA$14:BA40)</f>
        <v>71885.032915282383</v>
      </c>
      <c r="BC40" s="82">
        <f t="shared" si="13"/>
        <v>-174854.06670183537</v>
      </c>
      <c r="BE40" s="75">
        <v>45806.625</v>
      </c>
      <c r="BF40" s="54">
        <v>79.5</v>
      </c>
      <c r="BI40" s="75">
        <v>45806.625</v>
      </c>
      <c r="BJ40" s="54">
        <v>107.46</v>
      </c>
      <c r="BM40" s="75">
        <v>45926.625</v>
      </c>
      <c r="BN40" s="54">
        <v>100.5625</v>
      </c>
      <c r="BO40" s="75">
        <v>45929.625</v>
      </c>
      <c r="BP40" s="54">
        <v>100.65625</v>
      </c>
      <c r="BR40" s="161">
        <f t="shared" si="0"/>
        <v>45933.625</v>
      </c>
      <c r="BS40" s="58">
        <f t="shared" si="1"/>
        <v>-25437.542286617885</v>
      </c>
      <c r="BT40" s="58">
        <f t="shared" si="2"/>
        <v>-210927.35234680024</v>
      </c>
      <c r="BU40" s="58">
        <f t="shared" si="14"/>
        <v>-31996.587252062163</v>
      </c>
      <c r="BV40" s="58">
        <f t="shared" si="15"/>
        <v>-36073.285644964868</v>
      </c>
      <c r="BW40" s="58">
        <f>$BX$11*BU40</f>
        <v>-31996.587252062163</v>
      </c>
      <c r="BX40" s="58">
        <f>$BY$11*BV40</f>
        <v>-33928.986496011879</v>
      </c>
      <c r="BZ40" s="58">
        <f>SUM($BW$13:BW40)</f>
        <v>-166287.02728212296</v>
      </c>
      <c r="CA40" s="58">
        <f>SUM($BW$13:BX40)</f>
        <v>-364676.25525124313</v>
      </c>
      <c r="CE40" s="133">
        <v>45933.625</v>
      </c>
      <c r="CF40" s="54">
        <v>-166287.02728212296</v>
      </c>
      <c r="CG40" s="54">
        <v>-364676.25525124313</v>
      </c>
    </row>
    <row r="41" spans="1:85" ht="15" thickBot="1" x14ac:dyDescent="0.35">
      <c r="A41" s="160">
        <v>45883.625</v>
      </c>
      <c r="B41" s="76">
        <f t="shared" si="39"/>
        <v>94.94</v>
      </c>
      <c r="C41" s="31">
        <f t="shared" si="40"/>
        <v>276890.30883918941</v>
      </c>
      <c r="D41" s="32">
        <f t="shared" si="41"/>
        <v>-108687.5</v>
      </c>
      <c r="E41" s="76">
        <f t="shared" si="42"/>
        <v>101.057</v>
      </c>
      <c r="F41" s="31">
        <f t="shared" si="43"/>
        <v>-36799.999999999498</v>
      </c>
      <c r="G41" s="32">
        <f t="shared" si="44"/>
        <v>-38695.716166666665</v>
      </c>
      <c r="H41" s="76">
        <f t="shared" si="45"/>
        <v>120.46</v>
      </c>
      <c r="I41" s="31">
        <f t="shared" si="46"/>
        <v>-507957.34208367957</v>
      </c>
      <c r="J41" s="32">
        <f t="shared" si="47"/>
        <v>-186942.5</v>
      </c>
      <c r="K41" s="76">
        <f t="shared" si="48"/>
        <v>99.620999999999995</v>
      </c>
      <c r="L41" s="31">
        <f t="shared" si="49"/>
        <v>-56990.000000004104</v>
      </c>
      <c r="M41" s="32">
        <f t="shared" si="50"/>
        <v>-85114.150444444458</v>
      </c>
      <c r="N41" s="82">
        <f t="shared" si="51"/>
        <v>796494.21664508653</v>
      </c>
      <c r="O41" s="82"/>
      <c r="P41" s="82"/>
      <c r="Q41" s="82">
        <f>$G$5*SUM($O$14:O41)-$H$5*SUM($P$14:P41)</f>
        <v>-685953.76080000005</v>
      </c>
      <c r="R41" s="82">
        <f t="shared" si="12"/>
        <v>110540.45584508649</v>
      </c>
      <c r="S41" s="162"/>
      <c r="U41" s="75">
        <v>45812.625</v>
      </c>
      <c r="V41" s="54">
        <v>93.7</v>
      </c>
      <c r="W41" s="75">
        <v>45810.625</v>
      </c>
      <c r="X41" s="54">
        <v>101.574</v>
      </c>
      <c r="Y41" s="125">
        <v>45814.625</v>
      </c>
      <c r="Z41" s="54">
        <v>121.27</v>
      </c>
      <c r="AA41" s="75">
        <v>45898.625</v>
      </c>
      <c r="AB41" s="54">
        <v>99.783000000000001</v>
      </c>
      <c r="AF41" s="131">
        <v>45933.625</v>
      </c>
      <c r="AG41" s="45">
        <f t="shared" si="52"/>
        <v>80.84</v>
      </c>
      <c r="AH41" s="46">
        <f t="shared" si="21"/>
        <v>-56193.651969864142</v>
      </c>
      <c r="AI41" s="46">
        <f t="shared" si="53"/>
        <v>-152162.49999999997</v>
      </c>
      <c r="AJ41" s="45">
        <f t="shared" si="54"/>
        <v>99.6015625</v>
      </c>
      <c r="AK41" s="46">
        <f t="shared" si="24"/>
        <v>-9140.625</v>
      </c>
      <c r="AL41" s="47">
        <f t="shared" si="55"/>
        <v>-11827.166829427078</v>
      </c>
      <c r="AM41" s="45">
        <f t="shared" si="56"/>
        <v>111.55</v>
      </c>
      <c r="AN41" s="46">
        <f t="shared" si="27"/>
        <v>497318.91302371968</v>
      </c>
      <c r="AO41" s="47">
        <f t="shared" si="57"/>
        <v>-156510</v>
      </c>
      <c r="AP41" s="45">
        <f t="shared" si="58"/>
        <v>99.6015625</v>
      </c>
      <c r="AQ41" s="46">
        <f t="shared" si="30"/>
        <v>-7968.75</v>
      </c>
      <c r="AR41" s="47">
        <f t="shared" si="59"/>
        <v>-10310.863389756945</v>
      </c>
      <c r="AS41" s="45">
        <f t="shared" si="60"/>
        <v>101.046875</v>
      </c>
      <c r="AT41" s="46">
        <f t="shared" si="33"/>
        <v>69140.625</v>
      </c>
      <c r="AU41" s="47">
        <f t="shared" si="61"/>
        <v>113.40885416666788</v>
      </c>
      <c r="AV41" s="45">
        <f t="shared" si="62"/>
        <v>100.609375</v>
      </c>
      <c r="AW41" s="46">
        <f t="shared" si="36"/>
        <v>331406.25</v>
      </c>
      <c r="AX41" s="47">
        <f t="shared" si="63"/>
        <v>6774.2832682291628</v>
      </c>
      <c r="AY41" s="82">
        <f t="shared" si="64"/>
        <v>-139042.31943151786</v>
      </c>
      <c r="AZ41" s="82"/>
      <c r="BA41" s="82"/>
      <c r="BB41" s="82">
        <f>$AO$4*SUM($AZ$14:AZ41)-$AP$4*SUM($BA$14:BA41)</f>
        <v>71885.032915282383</v>
      </c>
      <c r="BC41" s="82">
        <f t="shared" si="13"/>
        <v>-210927.35234680024</v>
      </c>
      <c r="BE41" s="75">
        <v>45807.625</v>
      </c>
      <c r="BF41" s="54">
        <v>79.569999999999993</v>
      </c>
      <c r="BI41" s="75">
        <v>45807.625</v>
      </c>
      <c r="BJ41" s="54">
        <v>107.77</v>
      </c>
      <c r="BM41" s="75">
        <v>45929.625</v>
      </c>
      <c r="BN41" s="54">
        <v>100.875</v>
      </c>
      <c r="BO41" s="75">
        <v>45930.625</v>
      </c>
      <c r="BP41" s="54">
        <v>100.390625</v>
      </c>
      <c r="BR41" s="161">
        <f t="shared" si="0"/>
        <v>45936.625</v>
      </c>
      <c r="BS41" s="58">
        <f t="shared" si="1"/>
        <v>-37985.192551076092</v>
      </c>
      <c r="BT41" s="58">
        <f t="shared" si="2"/>
        <v>-185845.02422737214</v>
      </c>
      <c r="BU41" s="58">
        <f t="shared" si="14"/>
        <v>-12547.650264458207</v>
      </c>
      <c r="BV41" s="58">
        <f t="shared" si="15"/>
        <v>25082.328119428101</v>
      </c>
      <c r="BW41" s="58">
        <f>$BX$11*BU41</f>
        <v>-12547.650264458207</v>
      </c>
      <c r="BX41" s="58">
        <f>$BY$11*BV41</f>
        <v>23591.362883558144</v>
      </c>
      <c r="BZ41" s="58">
        <f>SUM($BW$13:BW41)</f>
        <v>-178834.67754658117</v>
      </c>
      <c r="CA41" s="58">
        <f>SUM($BW$13:BX41)</f>
        <v>-353632.54263214319</v>
      </c>
      <c r="CE41" s="133">
        <v>45936.625</v>
      </c>
      <c r="CF41" s="54">
        <v>-178834.67754658117</v>
      </c>
      <c r="CG41" s="54">
        <v>-353632.54263214319</v>
      </c>
    </row>
    <row r="42" spans="1:85" x14ac:dyDescent="0.3">
      <c r="A42" s="161">
        <v>45884.625</v>
      </c>
      <c r="B42" s="76">
        <f t="shared" si="39"/>
        <v>94.87</v>
      </c>
      <c r="C42" s="31">
        <f t="shared" si="40"/>
        <v>258253.46112886004</v>
      </c>
      <c r="D42" s="32">
        <f t="shared" si="41"/>
        <v>-111624.99999999999</v>
      </c>
      <c r="E42" s="76">
        <f t="shared" si="42"/>
        <v>100.946</v>
      </c>
      <c r="F42" s="31">
        <f t="shared" si="43"/>
        <v>-59000.000000000335</v>
      </c>
      <c r="G42" s="32">
        <f t="shared" si="44"/>
        <v>-39741.546333333325</v>
      </c>
      <c r="H42" s="76">
        <f t="shared" si="45"/>
        <v>120.46</v>
      </c>
      <c r="I42" s="31">
        <f t="shared" si="46"/>
        <v>-507957.34208367957</v>
      </c>
      <c r="J42" s="32">
        <f t="shared" si="47"/>
        <v>-191994.99999999997</v>
      </c>
      <c r="K42" s="76">
        <f t="shared" si="48"/>
        <v>99.375</v>
      </c>
      <c r="L42" s="31">
        <f t="shared" si="49"/>
        <v>-157850.0000000021</v>
      </c>
      <c r="M42" s="32">
        <f t="shared" si="50"/>
        <v>-87414.532888888862</v>
      </c>
      <c r="N42" s="82">
        <f t="shared" si="51"/>
        <v>700057.81665698241</v>
      </c>
      <c r="O42" s="82"/>
      <c r="P42" s="82"/>
      <c r="Q42" s="82">
        <f>$G$5*SUM($O$14:O42)-$H$5*SUM($P$14:P42)</f>
        <v>-685953.76080000005</v>
      </c>
      <c r="R42" s="82">
        <f t="shared" si="12"/>
        <v>14104.055856982362</v>
      </c>
      <c r="S42" s="162"/>
      <c r="U42" s="75">
        <v>45813.625</v>
      </c>
      <c r="V42" s="54">
        <v>93.55</v>
      </c>
      <c r="W42" s="75">
        <v>45811.625</v>
      </c>
      <c r="X42" s="54">
        <v>101.60599999999999</v>
      </c>
      <c r="Y42" s="125">
        <v>45817.625</v>
      </c>
      <c r="Z42" s="54">
        <v>121.32</v>
      </c>
      <c r="AA42" s="75">
        <v>45901.625</v>
      </c>
      <c r="AB42" s="54">
        <v>99.632000000000005</v>
      </c>
      <c r="AF42" s="131">
        <v>45936.625</v>
      </c>
      <c r="AG42" s="45">
        <f t="shared" si="52"/>
        <v>80.86</v>
      </c>
      <c r="AH42" s="46">
        <f t="shared" si="21"/>
        <v>-47548.474743732695</v>
      </c>
      <c r="AI42" s="46">
        <f t="shared" si="53"/>
        <v>-164499.99999999997</v>
      </c>
      <c r="AJ42" s="45">
        <f t="shared" si="54"/>
        <v>99.46875</v>
      </c>
      <c r="AK42" s="46">
        <f t="shared" si="24"/>
        <v>-35039.0625</v>
      </c>
      <c r="AL42" s="47">
        <f t="shared" si="55"/>
        <v>-12786.126302083328</v>
      </c>
      <c r="AM42" s="45">
        <f t="shared" si="56"/>
        <v>111.19</v>
      </c>
      <c r="AN42" s="46">
        <f t="shared" si="27"/>
        <v>379532.85467599594</v>
      </c>
      <c r="AO42" s="47">
        <f t="shared" si="57"/>
        <v>-169200</v>
      </c>
      <c r="AP42" s="45">
        <f t="shared" si="58"/>
        <v>99.46875</v>
      </c>
      <c r="AQ42" s="46">
        <f t="shared" si="30"/>
        <v>-30546.875</v>
      </c>
      <c r="AR42" s="47">
        <f t="shared" si="59"/>
        <v>-11146.879340277766</v>
      </c>
      <c r="AS42" s="45">
        <f t="shared" si="60"/>
        <v>100.6875</v>
      </c>
      <c r="AT42" s="46">
        <f t="shared" si="33"/>
        <v>42187.5</v>
      </c>
      <c r="AU42" s="47">
        <f t="shared" si="61"/>
        <v>122.60416666667152</v>
      </c>
      <c r="AV42" s="45">
        <f t="shared" si="62"/>
        <v>99.859375</v>
      </c>
      <c r="AW42" s="46">
        <f t="shared" si="36"/>
        <v>252656.25</v>
      </c>
      <c r="AX42" s="47">
        <f t="shared" si="63"/>
        <v>7323.5494791666642</v>
      </c>
      <c r="AY42" s="82">
        <f t="shared" si="64"/>
        <v>-113959.99131208975</v>
      </c>
      <c r="AZ42" s="82"/>
      <c r="BA42" s="82"/>
      <c r="BB42" s="82">
        <f>$AO$4*SUM($AZ$14:AZ42)-$AP$4*SUM($BA$14:BA42)</f>
        <v>71885.032915282383</v>
      </c>
      <c r="BC42" s="82">
        <f t="shared" si="13"/>
        <v>-185845.02422737214</v>
      </c>
      <c r="BE42" s="75">
        <v>45810.625</v>
      </c>
      <c r="BF42" s="54">
        <v>79.180000000000007</v>
      </c>
      <c r="BI42" s="75">
        <v>45810.625</v>
      </c>
      <c r="BJ42" s="54">
        <v>107.07</v>
      </c>
      <c r="BM42" s="75">
        <v>45930.625</v>
      </c>
      <c r="BN42" s="54">
        <v>100.828125</v>
      </c>
      <c r="BO42" s="75">
        <v>45931.625</v>
      </c>
      <c r="BP42" s="54">
        <v>100.578125</v>
      </c>
      <c r="BR42" s="161">
        <f t="shared" si="0"/>
        <v>45937.625</v>
      </c>
      <c r="BS42" s="58">
        <f t="shared" si="1"/>
        <v>-124144.50467495741</v>
      </c>
      <c r="BT42" s="58">
        <f t="shared" si="2"/>
        <v>-220143.47076595848</v>
      </c>
      <c r="BU42" s="58">
        <f t="shared" si="14"/>
        <v>-86159.312123881318</v>
      </c>
      <c r="BV42" s="58">
        <f t="shared" si="15"/>
        <v>-34298.446538586344</v>
      </c>
      <c r="BW42" s="58">
        <f>$BX$11*BU42</f>
        <v>-86159.312123881318</v>
      </c>
      <c r="BX42" s="58">
        <f>$BY$11*BV42</f>
        <v>-32259.648896282699</v>
      </c>
      <c r="BZ42" s="58">
        <f>SUM($BW$13:BW42)</f>
        <v>-264993.9896704625</v>
      </c>
      <c r="CA42" s="58">
        <f>SUM($BW$13:BX42)</f>
        <v>-472051.5036523072</v>
      </c>
      <c r="CE42" s="133">
        <v>45937.625</v>
      </c>
      <c r="CF42" s="54">
        <v>-264993.9896704625</v>
      </c>
      <c r="CG42" s="54">
        <v>-472051.5036523072</v>
      </c>
    </row>
    <row r="43" spans="1:85" x14ac:dyDescent="0.3">
      <c r="A43" s="161">
        <v>45887.625</v>
      </c>
      <c r="B43" s="76">
        <f t="shared" si="39"/>
        <v>94.83</v>
      </c>
      <c r="C43" s="31">
        <f t="shared" si="40"/>
        <v>247603.83386581152</v>
      </c>
      <c r="D43" s="32">
        <f t="shared" si="41"/>
        <v>-120437.5</v>
      </c>
      <c r="E43" s="76">
        <f t="shared" si="42"/>
        <v>100.953</v>
      </c>
      <c r="F43" s="31">
        <f t="shared" si="43"/>
        <v>-57599.999999999345</v>
      </c>
      <c r="G43" s="32">
        <f t="shared" si="44"/>
        <v>-42879.036833333339</v>
      </c>
      <c r="H43" s="76">
        <f t="shared" si="45"/>
        <v>120.14</v>
      </c>
      <c r="I43" s="31">
        <f t="shared" si="46"/>
        <v>-620836.75143560464</v>
      </c>
      <c r="J43" s="32">
        <f t="shared" si="47"/>
        <v>-207152.5</v>
      </c>
      <c r="K43" s="76">
        <f t="shared" si="48"/>
        <v>99.388999999999996</v>
      </c>
      <c r="L43" s="31">
        <f t="shared" si="49"/>
        <v>-152110.00000000384</v>
      </c>
      <c r="M43" s="32">
        <f t="shared" si="50"/>
        <v>-94315.680222222232</v>
      </c>
      <c r="N43" s="82">
        <f t="shared" si="51"/>
        <v>809208.94191252277</v>
      </c>
      <c r="O43" s="82"/>
      <c r="P43" s="82"/>
      <c r="Q43" s="82">
        <f>$G$5*SUM($O$14:O43)-$H$5*SUM($P$14:P43)</f>
        <v>-685953.76080000005</v>
      </c>
      <c r="R43" s="82">
        <f t="shared" si="12"/>
        <v>123255.18111252273</v>
      </c>
      <c r="S43" s="162"/>
      <c r="U43" s="75">
        <v>45814.625</v>
      </c>
      <c r="V43" s="54">
        <v>93.7</v>
      </c>
      <c r="W43" s="75">
        <v>45812.625</v>
      </c>
      <c r="X43" s="54">
        <v>101.54</v>
      </c>
      <c r="Y43" s="125">
        <v>45818.625</v>
      </c>
      <c r="Z43" s="54">
        <v>121.52</v>
      </c>
      <c r="AA43" s="75">
        <v>45902.625</v>
      </c>
      <c r="AB43" s="54">
        <v>99.481999999999999</v>
      </c>
      <c r="AF43" s="131">
        <v>45937.625</v>
      </c>
      <c r="AG43" s="45">
        <f t="shared" si="52"/>
        <v>80.77</v>
      </c>
      <c r="AH43" s="46">
        <f t="shared" si="21"/>
        <v>-86451.772261333943</v>
      </c>
      <c r="AI43" s="46">
        <f t="shared" si="53"/>
        <v>-168612.49999999997</v>
      </c>
      <c r="AJ43" s="45">
        <f t="shared" si="54"/>
        <v>99.625</v>
      </c>
      <c r="AK43" s="46">
        <f t="shared" si="24"/>
        <v>-4570.3125</v>
      </c>
      <c r="AL43" s="47">
        <f t="shared" si="55"/>
        <v>-13105.779459635422</v>
      </c>
      <c r="AM43" s="45">
        <f t="shared" si="56"/>
        <v>111.4</v>
      </c>
      <c r="AN43" s="46">
        <f t="shared" si="27"/>
        <v>448241.38871217211</v>
      </c>
      <c r="AO43" s="47">
        <f t="shared" si="57"/>
        <v>-173430</v>
      </c>
      <c r="AP43" s="45">
        <f t="shared" si="58"/>
        <v>99.625</v>
      </c>
      <c r="AQ43" s="46">
        <f t="shared" si="30"/>
        <v>-3984.375</v>
      </c>
      <c r="AR43" s="47">
        <f t="shared" si="59"/>
        <v>-11425.551323784719</v>
      </c>
      <c r="AS43" s="45">
        <f t="shared" si="60"/>
        <v>100.96875</v>
      </c>
      <c r="AT43" s="46">
        <f t="shared" si="33"/>
        <v>63281.250000000007</v>
      </c>
      <c r="AU43" s="47">
        <f t="shared" si="61"/>
        <v>125.66927083334303</v>
      </c>
      <c r="AV43" s="45">
        <f t="shared" si="62"/>
        <v>100.390625</v>
      </c>
      <c r="AW43" s="46">
        <f t="shared" si="36"/>
        <v>308437.5</v>
      </c>
      <c r="AX43" s="47">
        <f t="shared" si="63"/>
        <v>7506.6382161458387</v>
      </c>
      <c r="AY43" s="82">
        <f t="shared" si="64"/>
        <v>-148258.4378506761</v>
      </c>
      <c r="AZ43" s="82"/>
      <c r="BA43" s="82"/>
      <c r="BB43" s="82">
        <f>$AO$4*SUM($AZ$14:AZ43)-$AP$4*SUM($BA$14:BA43)</f>
        <v>71885.032915282383</v>
      </c>
      <c r="BC43" s="82">
        <f t="shared" si="13"/>
        <v>-220143.47076595848</v>
      </c>
      <c r="BE43" s="75">
        <v>45811.625</v>
      </c>
      <c r="BF43" s="54">
        <v>79.33</v>
      </c>
      <c r="BI43" s="75">
        <v>45811.625</v>
      </c>
      <c r="BJ43" s="54">
        <v>107.12</v>
      </c>
      <c r="BM43" s="75">
        <v>45931.625</v>
      </c>
      <c r="BN43" s="54">
        <v>101.171875</v>
      </c>
      <c r="BO43" s="75">
        <v>45932.625</v>
      </c>
      <c r="BP43" s="54">
        <v>100.875</v>
      </c>
      <c r="BR43" s="161">
        <f t="shared" si="0"/>
        <v>45938.625</v>
      </c>
      <c r="BS43" s="58">
        <f t="shared" si="1"/>
        <v>-148043.05396576703</v>
      </c>
      <c r="BT43" s="58">
        <f t="shared" si="2"/>
        <v>-220551.70975011477</v>
      </c>
      <c r="BU43" s="58">
        <f t="shared" si="14"/>
        <v>-23898.54929080962</v>
      </c>
      <c r="BV43" s="58">
        <f t="shared" si="15"/>
        <v>-408.23898415628355</v>
      </c>
      <c r="BW43" s="58">
        <f>$BX$11*BU43</f>
        <v>-23898.54929080962</v>
      </c>
      <c r="BX43" s="58">
        <f>$BY$11*BV43</f>
        <v>-383.97209272556245</v>
      </c>
      <c r="BZ43" s="58">
        <f>SUM($BW$13:BW43)</f>
        <v>-288892.5389612721</v>
      </c>
      <c r="CA43" s="58">
        <f>SUM($BW$13:BX43)</f>
        <v>-496334.02503584238</v>
      </c>
      <c r="CE43" s="133">
        <v>45938.625</v>
      </c>
      <c r="CF43" s="54">
        <v>-288892.5389612721</v>
      </c>
      <c r="CG43" s="54">
        <v>-496334.02503584238</v>
      </c>
    </row>
    <row r="44" spans="1:85" x14ac:dyDescent="0.3">
      <c r="A44" s="161">
        <v>45888.625</v>
      </c>
      <c r="B44" s="76">
        <f t="shared" si="39"/>
        <v>94.8</v>
      </c>
      <c r="C44" s="31">
        <f t="shared" si="40"/>
        <v>239616.6134185307</v>
      </c>
      <c r="D44" s="32">
        <f t="shared" si="41"/>
        <v>-123375</v>
      </c>
      <c r="E44" s="76">
        <f t="shared" si="42"/>
        <v>100.99</v>
      </c>
      <c r="F44" s="31">
        <f t="shared" si="43"/>
        <v>-50200.000000000953</v>
      </c>
      <c r="G44" s="32">
        <f t="shared" si="44"/>
        <v>-43924.866999999998</v>
      </c>
      <c r="H44" s="76">
        <f t="shared" si="45"/>
        <v>120.27</v>
      </c>
      <c r="I44" s="31">
        <f t="shared" si="46"/>
        <v>-574979.49138638529</v>
      </c>
      <c r="J44" s="32">
        <f t="shared" si="47"/>
        <v>-212205</v>
      </c>
      <c r="K44" s="76">
        <f t="shared" si="48"/>
        <v>99.484999999999999</v>
      </c>
      <c r="L44" s="31">
        <f t="shared" si="49"/>
        <v>-112750.00000000233</v>
      </c>
      <c r="M44" s="32">
        <f t="shared" si="50"/>
        <v>-96616.062666666665</v>
      </c>
      <c r="N44" s="82">
        <f t="shared" si="51"/>
        <v>788184.90913824795</v>
      </c>
      <c r="O44" s="82"/>
      <c r="P44" s="82"/>
      <c r="Q44" s="82">
        <f>$G$5*SUM($O$14:O44)-$H$5*SUM($P$14:P44)</f>
        <v>-685953.76080000005</v>
      </c>
      <c r="R44" s="82">
        <f t="shared" si="12"/>
        <v>102231.14833824791</v>
      </c>
      <c r="S44" s="162"/>
      <c r="U44" s="75">
        <v>45817.625</v>
      </c>
      <c r="V44" s="54">
        <v>93.62</v>
      </c>
      <c r="W44" s="75">
        <v>45813.625</v>
      </c>
      <c r="X44" s="54">
        <v>101.26</v>
      </c>
      <c r="Y44" s="125">
        <v>45819.625</v>
      </c>
      <c r="Z44" s="54">
        <v>121.56</v>
      </c>
      <c r="AA44" s="75">
        <v>45903.625</v>
      </c>
      <c r="AB44" s="54">
        <v>99.596000000000004</v>
      </c>
      <c r="AF44" s="131">
        <v>45938.625</v>
      </c>
      <c r="AG44" s="45">
        <f t="shared" si="52"/>
        <v>80.650000000000006</v>
      </c>
      <c r="AH44" s="46">
        <f t="shared" si="21"/>
        <v>-138322.83561812653</v>
      </c>
      <c r="AI44" s="46">
        <f t="shared" si="53"/>
        <v>-172725</v>
      </c>
      <c r="AJ44" s="45">
        <f t="shared" si="54"/>
        <v>99.5625</v>
      </c>
      <c r="AK44" s="46">
        <f t="shared" si="24"/>
        <v>-16757.8125</v>
      </c>
      <c r="AL44" s="47">
        <f t="shared" si="55"/>
        <v>-13425.4326171875</v>
      </c>
      <c r="AM44" s="45">
        <f t="shared" si="56"/>
        <v>111.26</v>
      </c>
      <c r="AN44" s="46">
        <f t="shared" si="27"/>
        <v>402435.69935472665</v>
      </c>
      <c r="AO44" s="47">
        <f t="shared" si="57"/>
        <v>-177660</v>
      </c>
      <c r="AP44" s="45">
        <f t="shared" si="58"/>
        <v>99.5625</v>
      </c>
      <c r="AQ44" s="46">
        <f t="shared" si="30"/>
        <v>-14609.375</v>
      </c>
      <c r="AR44" s="47">
        <f t="shared" si="59"/>
        <v>-11704.223307291657</v>
      </c>
      <c r="AS44" s="45">
        <f t="shared" si="60"/>
        <v>100.953125</v>
      </c>
      <c r="AT44" s="46">
        <f t="shared" si="33"/>
        <v>62109.375</v>
      </c>
      <c r="AU44" s="47">
        <f t="shared" si="61"/>
        <v>128.734375</v>
      </c>
      <c r="AV44" s="45">
        <f t="shared" si="62"/>
        <v>100.4375</v>
      </c>
      <c r="AW44" s="46">
        <f t="shared" si="36"/>
        <v>313359.375</v>
      </c>
      <c r="AX44" s="47">
        <f t="shared" si="63"/>
        <v>7689.7269531249985</v>
      </c>
      <c r="AY44" s="82">
        <f t="shared" si="64"/>
        <v>-148666.67683483238</v>
      </c>
      <c r="AZ44" s="82"/>
      <c r="BA44" s="82"/>
      <c r="BB44" s="82">
        <f>$AO$4*SUM($AZ$14:AZ44)-$AP$4*SUM($BA$14:BA44)</f>
        <v>71885.032915282383</v>
      </c>
      <c r="BC44" s="82">
        <f t="shared" si="13"/>
        <v>-220551.70975011477</v>
      </c>
      <c r="BE44" s="75">
        <v>45812.625</v>
      </c>
      <c r="BF44" s="54">
        <v>79.48</v>
      </c>
      <c r="BI44" s="75">
        <v>45812.625</v>
      </c>
      <c r="BJ44" s="54">
        <v>107.9</v>
      </c>
      <c r="BM44" s="75">
        <v>45932.625</v>
      </c>
      <c r="BN44" s="54">
        <v>101.3125</v>
      </c>
      <c r="BO44" s="75">
        <v>45933.625</v>
      </c>
      <c r="BP44" s="54">
        <v>100.609375</v>
      </c>
      <c r="BR44" s="161">
        <f t="shared" si="0"/>
        <v>45939.625</v>
      </c>
      <c r="BS44" s="58">
        <f t="shared" si="1"/>
        <v>-170674.22798346303</v>
      </c>
      <c r="BT44" s="58">
        <f t="shared" si="2"/>
        <v>-257060.30634517863</v>
      </c>
      <c r="BU44" s="58">
        <f t="shared" si="14"/>
        <v>-22631.174017696001</v>
      </c>
      <c r="BV44" s="58">
        <f t="shared" si="15"/>
        <v>-36508.596595063864</v>
      </c>
      <c r="BW44" s="58">
        <f>$BX$11*BU44</f>
        <v>-22631.174017696001</v>
      </c>
      <c r="BX44" s="58">
        <f>$BY$11*BV44</f>
        <v>-34338.421319688285</v>
      </c>
      <c r="BZ44" s="58">
        <f>SUM($BW$13:BW44)</f>
        <v>-311523.71297896811</v>
      </c>
      <c r="CA44" s="58">
        <f>SUM($BW$13:BX44)</f>
        <v>-553303.6203732267</v>
      </c>
      <c r="CE44" s="133">
        <v>45939.625</v>
      </c>
      <c r="CF44" s="54">
        <v>-311523.71297896811</v>
      </c>
      <c r="CG44" s="54">
        <v>-553303.6203732267</v>
      </c>
    </row>
    <row r="45" spans="1:85" x14ac:dyDescent="0.3">
      <c r="A45" s="161">
        <v>45889.625</v>
      </c>
      <c r="B45" s="76">
        <f t="shared" si="39"/>
        <v>94.64</v>
      </c>
      <c r="C45" s="31">
        <f t="shared" si="40"/>
        <v>197018.10436634769</v>
      </c>
      <c r="D45" s="32">
        <f t="shared" si="41"/>
        <v>-126312.49999999999</v>
      </c>
      <c r="E45" s="76">
        <f t="shared" si="42"/>
        <v>101.083</v>
      </c>
      <c r="F45" s="31">
        <f t="shared" si="43"/>
        <v>-31600.000000000251</v>
      </c>
      <c r="G45" s="32">
        <f t="shared" si="44"/>
        <v>-44970.697166666672</v>
      </c>
      <c r="H45" s="76">
        <f t="shared" si="45"/>
        <v>120.39</v>
      </c>
      <c r="I45" s="31">
        <f t="shared" si="46"/>
        <v>-532649.71287941281</v>
      </c>
      <c r="J45" s="32">
        <f t="shared" si="47"/>
        <v>-217257.5</v>
      </c>
      <c r="K45" s="76">
        <f t="shared" si="48"/>
        <v>99.653999999999996</v>
      </c>
      <c r="L45" s="31">
        <f t="shared" si="49"/>
        <v>-43460.000000003587</v>
      </c>
      <c r="M45" s="32">
        <f t="shared" si="50"/>
        <v>-98916.445111111141</v>
      </c>
      <c r="N45" s="82">
        <f t="shared" si="51"/>
        <v>754807.06930131267</v>
      </c>
      <c r="O45" s="82"/>
      <c r="P45" s="82"/>
      <c r="Q45" s="82">
        <f>$G$5*SUM($O$14:O45)-$H$5*SUM($P$14:P45)</f>
        <v>-685953.76080000005</v>
      </c>
      <c r="R45" s="82">
        <f t="shared" si="12"/>
        <v>68853.308501312626</v>
      </c>
      <c r="S45" s="162"/>
      <c r="U45" s="75">
        <v>45818.625</v>
      </c>
      <c r="V45" s="54">
        <v>93.67</v>
      </c>
      <c r="W45" s="75">
        <v>45814.625</v>
      </c>
      <c r="X45" s="54">
        <v>101.29900000000001</v>
      </c>
      <c r="Y45" s="125">
        <v>45820.625</v>
      </c>
      <c r="Z45" s="54">
        <v>121.7</v>
      </c>
      <c r="AA45" s="75">
        <v>45904.625</v>
      </c>
      <c r="AB45" s="54">
        <v>99.653999999999996</v>
      </c>
      <c r="AF45" s="131">
        <v>45939.625</v>
      </c>
      <c r="AG45" s="45">
        <f t="shared" si="52"/>
        <v>80.42</v>
      </c>
      <c r="AH45" s="46">
        <f t="shared" si="21"/>
        <v>-237742.3737186596</v>
      </c>
      <c r="AI45" s="46">
        <f t="shared" si="53"/>
        <v>-176837.5</v>
      </c>
      <c r="AJ45" s="45">
        <f t="shared" si="54"/>
        <v>99.5078125</v>
      </c>
      <c r="AK45" s="46">
        <f t="shared" si="24"/>
        <v>-27421.875</v>
      </c>
      <c r="AL45" s="47">
        <f t="shared" si="55"/>
        <v>-13745.085774739578</v>
      </c>
      <c r="AM45" s="45">
        <f t="shared" si="56"/>
        <v>111.04</v>
      </c>
      <c r="AN45" s="46">
        <f t="shared" si="27"/>
        <v>330455.33036444843</v>
      </c>
      <c r="AO45" s="47">
        <f t="shared" si="57"/>
        <v>-181890</v>
      </c>
      <c r="AP45" s="45">
        <f t="shared" si="58"/>
        <v>99.5078125</v>
      </c>
      <c r="AQ45" s="46">
        <f t="shared" si="30"/>
        <v>-23906.25</v>
      </c>
      <c r="AR45" s="47">
        <f t="shared" si="59"/>
        <v>-11982.895290798609</v>
      </c>
      <c r="AS45" s="45">
        <f t="shared" si="60"/>
        <v>100.875</v>
      </c>
      <c r="AT45" s="46">
        <f t="shared" si="33"/>
        <v>56250</v>
      </c>
      <c r="AU45" s="47">
        <f t="shared" si="61"/>
        <v>131.79947916667152</v>
      </c>
      <c r="AV45" s="45">
        <f t="shared" si="62"/>
        <v>100.390625</v>
      </c>
      <c r="AW45" s="46">
        <f t="shared" si="36"/>
        <v>308437.5</v>
      </c>
      <c r="AX45" s="47">
        <f t="shared" si="63"/>
        <v>7872.815690104173</v>
      </c>
      <c r="AY45" s="82">
        <f t="shared" si="64"/>
        <v>-185175.27342989625</v>
      </c>
      <c r="AZ45" s="82"/>
      <c r="BA45" s="82"/>
      <c r="BB45" s="82">
        <f>$AO$4*SUM($AZ$14:AZ45)-$AP$4*SUM($BA$14:BA45)</f>
        <v>71885.032915282383</v>
      </c>
      <c r="BC45" s="82">
        <f t="shared" si="13"/>
        <v>-257060.30634517863</v>
      </c>
      <c r="BE45" s="75">
        <v>45813.625</v>
      </c>
      <c r="BF45" s="54">
        <v>79.31</v>
      </c>
      <c r="BI45" s="75">
        <v>45813.625</v>
      </c>
      <c r="BJ45" s="54">
        <v>107.57</v>
      </c>
      <c r="BM45" s="75">
        <v>45933.625</v>
      </c>
      <c r="BN45" s="54">
        <v>101.046875</v>
      </c>
      <c r="BO45" s="75">
        <v>45936.625</v>
      </c>
      <c r="BP45" s="54">
        <v>99.859375</v>
      </c>
      <c r="BR45" s="161">
        <f t="shared" si="0"/>
        <v>45940.625</v>
      </c>
      <c r="BS45" s="58">
        <f t="shared" si="1"/>
        <v>-166104.21175023937</v>
      </c>
      <c r="BT45" s="58">
        <f t="shared" si="2"/>
        <v>-350423.55702969374</v>
      </c>
      <c r="BU45" s="58">
        <f t="shared" si="14"/>
        <v>4570.016233223665</v>
      </c>
      <c r="BV45" s="58">
        <f t="shared" si="15"/>
        <v>-93363.250684515107</v>
      </c>
      <c r="BW45" s="58">
        <f>$BX$11*BU45</f>
        <v>4570.016233223665</v>
      </c>
      <c r="BX45" s="58">
        <f>$BY$11*BV45</f>
        <v>-87813.472353906225</v>
      </c>
      <c r="BZ45" s="58">
        <f>SUM($BW$13:BW45)</f>
        <v>-306953.69674574444</v>
      </c>
      <c r="CA45" s="58">
        <f>SUM($BW$13:BX45)</f>
        <v>-636547.07649390923</v>
      </c>
      <c r="CE45" s="133">
        <v>45940.625</v>
      </c>
      <c r="CF45" s="54">
        <v>-306953.69674574444</v>
      </c>
      <c r="CG45" s="54">
        <v>-636547.07649390923</v>
      </c>
    </row>
    <row r="46" spans="1:85" x14ac:dyDescent="0.3">
      <c r="A46" s="161">
        <v>45890.625</v>
      </c>
      <c r="B46" s="76">
        <f t="shared" si="39"/>
        <v>94.47</v>
      </c>
      <c r="C46" s="31">
        <f t="shared" si="40"/>
        <v>151757.1884984026</v>
      </c>
      <c r="D46" s="32">
        <f t="shared" si="41"/>
        <v>-129249.99999999999</v>
      </c>
      <c r="E46" s="76">
        <f t="shared" si="42"/>
        <v>100.955</v>
      </c>
      <c r="F46" s="31">
        <f t="shared" si="43"/>
        <v>-57200.000000000269</v>
      </c>
      <c r="G46" s="32">
        <f t="shared" si="44"/>
        <v>-46016.527333333324</v>
      </c>
      <c r="H46" s="76">
        <f t="shared" si="45"/>
        <v>120.12</v>
      </c>
      <c r="I46" s="31">
        <f t="shared" si="46"/>
        <v>-627891.71452009853</v>
      </c>
      <c r="J46" s="32">
        <f t="shared" si="47"/>
        <v>-222309.99999999997</v>
      </c>
      <c r="K46" s="76">
        <f t="shared" si="48"/>
        <v>99.468999999999994</v>
      </c>
      <c r="L46" s="31">
        <f t="shared" si="49"/>
        <v>-119310.00000000453</v>
      </c>
      <c r="M46" s="32">
        <f t="shared" si="50"/>
        <v>-101216.82755555556</v>
      </c>
      <c r="N46" s="82">
        <f t="shared" si="51"/>
        <v>755398.6027962747</v>
      </c>
      <c r="O46" s="82"/>
      <c r="P46" s="82"/>
      <c r="Q46" s="82">
        <f>$G$5*SUM($O$14:O46)-$H$5*SUM($P$14:P46)</f>
        <v>-685953.76080000005</v>
      </c>
      <c r="R46" s="82">
        <f t="shared" si="12"/>
        <v>69444.841996274656</v>
      </c>
      <c r="S46" s="162"/>
      <c r="U46" s="75">
        <v>45819.625</v>
      </c>
      <c r="V46" s="54">
        <v>93.76</v>
      </c>
      <c r="W46" s="75">
        <v>45817.625</v>
      </c>
      <c r="X46" s="54">
        <v>101.297</v>
      </c>
      <c r="Y46" s="125">
        <v>45821.625</v>
      </c>
      <c r="Z46" s="54">
        <v>121.38</v>
      </c>
      <c r="AA46" s="75">
        <v>45905.625</v>
      </c>
      <c r="AB46" s="54">
        <v>99.900999999999996</v>
      </c>
      <c r="AF46" s="131">
        <v>45940.625</v>
      </c>
      <c r="AG46" s="45">
        <f t="shared" si="52"/>
        <v>79.984999999999999</v>
      </c>
      <c r="AH46" s="46">
        <f t="shared" si="21"/>
        <v>-425774.97838705848</v>
      </c>
      <c r="AI46" s="46">
        <f t="shared" si="53"/>
        <v>-180950</v>
      </c>
      <c r="AJ46" s="45">
        <f t="shared" si="54"/>
        <v>99.890625</v>
      </c>
      <c r="AK46" s="46">
        <f t="shared" si="24"/>
        <v>47226.5625</v>
      </c>
      <c r="AL46" s="47">
        <f t="shared" si="55"/>
        <v>-14064.738932291672</v>
      </c>
      <c r="AM46" s="45">
        <f t="shared" si="56"/>
        <v>111.36</v>
      </c>
      <c r="AN46" s="46">
        <f t="shared" si="27"/>
        <v>435154.04889575572</v>
      </c>
      <c r="AO46" s="47">
        <f t="shared" si="57"/>
        <v>-186120</v>
      </c>
      <c r="AP46" s="45">
        <f t="shared" si="58"/>
        <v>99.890625</v>
      </c>
      <c r="AQ46" s="46">
        <f t="shared" si="30"/>
        <v>41171.875</v>
      </c>
      <c r="AR46" s="47">
        <f t="shared" si="59"/>
        <v>-12261.567274305562</v>
      </c>
      <c r="AS46" s="45">
        <f t="shared" si="60"/>
        <v>101.578125</v>
      </c>
      <c r="AT46" s="46">
        <f t="shared" si="33"/>
        <v>108984.375</v>
      </c>
      <c r="AU46" s="47">
        <f t="shared" si="61"/>
        <v>134.86458333334303</v>
      </c>
      <c r="AV46" s="45">
        <f t="shared" si="62"/>
        <v>101.875</v>
      </c>
      <c r="AW46" s="46">
        <f t="shared" si="36"/>
        <v>464296.875</v>
      </c>
      <c r="AX46" s="47">
        <f t="shared" si="63"/>
        <v>8055.9044270833401</v>
      </c>
      <c r="AY46" s="82">
        <f t="shared" si="64"/>
        <v>-278538.52411441132</v>
      </c>
      <c r="AZ46" s="82"/>
      <c r="BA46" s="82"/>
      <c r="BB46" s="82">
        <f>$AO$4*SUM($AZ$14:AZ46)-$AP$4*SUM($BA$14:BA46)</f>
        <v>71885.032915282383</v>
      </c>
      <c r="BC46" s="82">
        <f t="shared" si="13"/>
        <v>-350423.55702969374</v>
      </c>
      <c r="BE46" s="75">
        <v>45814.625</v>
      </c>
      <c r="BF46" s="54">
        <v>79.3</v>
      </c>
      <c r="BI46" s="75">
        <v>45814.625</v>
      </c>
      <c r="BJ46" s="54">
        <v>106.92</v>
      </c>
      <c r="BM46" s="75">
        <v>45936.625</v>
      </c>
      <c r="BN46" s="54">
        <v>100.6875</v>
      </c>
      <c r="BO46" s="75">
        <v>45937.625</v>
      </c>
      <c r="BP46" s="54">
        <v>100.390625</v>
      </c>
      <c r="BR46" s="161">
        <f t="shared" si="0"/>
        <v>45943.625</v>
      </c>
      <c r="BS46" s="58">
        <f t="shared" si="1"/>
        <v>-147845.27719028643</v>
      </c>
      <c r="BT46" s="58">
        <f t="shared" si="2"/>
        <v>-234486.23727834862</v>
      </c>
      <c r="BU46" s="58">
        <f t="shared" si="14"/>
        <v>18258.934559952933</v>
      </c>
      <c r="BV46" s="58">
        <f t="shared" si="15"/>
        <v>115937.31975134512</v>
      </c>
      <c r="BW46" s="58">
        <f>$BX$11*BU46</f>
        <v>18258.934559952933</v>
      </c>
      <c r="BX46" s="58">
        <f>$BY$11*BV46</f>
        <v>109045.67426827279</v>
      </c>
      <c r="BZ46" s="58">
        <f>SUM($BW$13:BW46)</f>
        <v>-288694.76218579151</v>
      </c>
      <c r="CA46" s="58">
        <f>SUM($BW$13:BX46)</f>
        <v>-509242.46766568348</v>
      </c>
      <c r="CE46" s="133">
        <v>45943.625</v>
      </c>
      <c r="CF46" s="54">
        <v>-288694.76218579151</v>
      </c>
      <c r="CG46" s="54">
        <v>-509242.46766568348</v>
      </c>
    </row>
    <row r="47" spans="1:85" x14ac:dyDescent="0.3">
      <c r="A47" s="161">
        <v>45891.625</v>
      </c>
      <c r="B47" s="76">
        <f t="shared" si="39"/>
        <v>94.76</v>
      </c>
      <c r="C47" s="31">
        <f t="shared" si="40"/>
        <v>228966.98615548215</v>
      </c>
      <c r="D47" s="32">
        <f t="shared" si="41"/>
        <v>-132187.5</v>
      </c>
      <c r="E47" s="76">
        <f t="shared" si="42"/>
        <v>101.027</v>
      </c>
      <c r="F47" s="31">
        <f t="shared" si="43"/>
        <v>-42799.999999999731</v>
      </c>
      <c r="G47" s="32">
        <f t="shared" si="44"/>
        <v>-47062.357499999998</v>
      </c>
      <c r="H47" s="76">
        <f t="shared" si="45"/>
        <v>120.28</v>
      </c>
      <c r="I47" s="31">
        <f t="shared" si="46"/>
        <v>-571452.0098441384</v>
      </c>
      <c r="J47" s="32">
        <f t="shared" si="47"/>
        <v>-227362.5</v>
      </c>
      <c r="K47" s="76">
        <f t="shared" si="48"/>
        <v>99.596000000000004</v>
      </c>
      <c r="L47" s="31">
        <f t="shared" si="49"/>
        <v>-67240.000000000597</v>
      </c>
      <c r="M47" s="32">
        <f t="shared" si="50"/>
        <v>-103517.20999999999</v>
      </c>
      <c r="N47" s="82">
        <f t="shared" si="51"/>
        <v>814699.14349961968</v>
      </c>
      <c r="O47" s="82"/>
      <c r="P47" s="82"/>
      <c r="Q47" s="82">
        <f>$G$5*SUM($O$14:O47)-$H$5*SUM($P$14:P47)</f>
        <v>-685953.76080000005</v>
      </c>
      <c r="R47" s="82">
        <f t="shared" si="12"/>
        <v>128745.38269961963</v>
      </c>
      <c r="S47" s="162"/>
      <c r="U47" s="75">
        <v>45820.625</v>
      </c>
      <c r="V47" s="54">
        <v>93.76</v>
      </c>
      <c r="W47" s="75">
        <v>45818.625</v>
      </c>
      <c r="X47" s="54">
        <v>101.38500000000001</v>
      </c>
      <c r="Y47" s="125">
        <v>45825.625</v>
      </c>
      <c r="Z47" s="54">
        <v>121.5</v>
      </c>
      <c r="AA47" s="75">
        <v>45908.625</v>
      </c>
      <c r="AB47" s="54">
        <v>99.972999999999999</v>
      </c>
      <c r="AF47" s="131">
        <v>45943.625</v>
      </c>
      <c r="AG47" s="45">
        <f t="shared" si="52"/>
        <v>80.45</v>
      </c>
      <c r="AH47" s="46">
        <f t="shared" si="21"/>
        <v>-224774.60787946047</v>
      </c>
      <c r="AI47" s="46">
        <f t="shared" si="53"/>
        <v>-193287.5</v>
      </c>
      <c r="AJ47" s="45">
        <f t="shared" si="54"/>
        <v>99.9921875</v>
      </c>
      <c r="AK47" s="46">
        <f t="shared" si="24"/>
        <v>67031.25</v>
      </c>
      <c r="AL47" s="47">
        <f t="shared" si="55"/>
        <v>-15023.698404947922</v>
      </c>
      <c r="AM47" s="45">
        <f t="shared" si="56"/>
        <v>111.73</v>
      </c>
      <c r="AN47" s="46">
        <f t="shared" si="27"/>
        <v>556211.94219758152</v>
      </c>
      <c r="AO47" s="47">
        <f t="shared" si="57"/>
        <v>-198810</v>
      </c>
      <c r="AP47" s="45">
        <f t="shared" si="58"/>
        <v>99.9921875</v>
      </c>
      <c r="AQ47" s="46">
        <f t="shared" si="30"/>
        <v>58437.5</v>
      </c>
      <c r="AR47" s="47">
        <f t="shared" si="59"/>
        <v>-13097.583224826391</v>
      </c>
      <c r="AS47" s="45">
        <f t="shared" si="60"/>
        <v>101.75</v>
      </c>
      <c r="AT47" s="46">
        <f t="shared" si="33"/>
        <v>121875</v>
      </c>
      <c r="AU47" s="47">
        <f t="shared" si="61"/>
        <v>144.05989583334303</v>
      </c>
      <c r="AV47" s="45">
        <f t="shared" si="62"/>
        <v>102.109375</v>
      </c>
      <c r="AW47" s="46">
        <f t="shared" si="36"/>
        <v>488906.25</v>
      </c>
      <c r="AX47" s="47">
        <f t="shared" si="63"/>
        <v>8605.1706380208416</v>
      </c>
      <c r="AY47" s="82">
        <f t="shared" si="64"/>
        <v>-162601.20436306624</v>
      </c>
      <c r="AZ47" s="82"/>
      <c r="BA47" s="82"/>
      <c r="BB47" s="82">
        <f>$AO$4*SUM($AZ$14:AZ47)-$AP$4*SUM($BA$14:BA47)</f>
        <v>71885.032915282383</v>
      </c>
      <c r="BC47" s="82">
        <f t="shared" si="13"/>
        <v>-234486.23727834862</v>
      </c>
      <c r="BE47" s="75">
        <v>45817.625</v>
      </c>
      <c r="BF47" s="54">
        <v>79.34</v>
      </c>
      <c r="BI47" s="75">
        <v>45817.625</v>
      </c>
      <c r="BJ47" s="54">
        <v>107.24</v>
      </c>
      <c r="BM47" s="75">
        <v>45937.625</v>
      </c>
      <c r="BN47" s="54">
        <v>100.96875</v>
      </c>
      <c r="BO47" s="75">
        <v>45938.625</v>
      </c>
      <c r="BP47" s="54">
        <v>100.4375</v>
      </c>
      <c r="BR47" s="161">
        <f t="shared" si="0"/>
        <v>45944.625</v>
      </c>
      <c r="BS47" s="58">
        <f t="shared" si="1"/>
        <v>-146935.20399598725</v>
      </c>
      <c r="BT47" s="58">
        <f t="shared" si="2"/>
        <v>-308327.44804738241</v>
      </c>
      <c r="BU47" s="58">
        <f t="shared" si="14"/>
        <v>910.07319429918425</v>
      </c>
      <c r="BV47" s="58">
        <f t="shared" si="15"/>
        <v>-73841.210769033787</v>
      </c>
      <c r="BW47" s="58">
        <f>$BX$11*BU47</f>
        <v>910.07319429918425</v>
      </c>
      <c r="BX47" s="58">
        <f>$BY$11*BV47</f>
        <v>-69451.878259429184</v>
      </c>
      <c r="BZ47" s="58">
        <f>SUM($BW$13:BW47)</f>
        <v>-287784.68899149232</v>
      </c>
      <c r="CA47" s="58">
        <f>SUM($BW$13:BX47)</f>
        <v>-577784.27273081348</v>
      </c>
      <c r="CE47" s="133">
        <v>45944.625</v>
      </c>
      <c r="CF47" s="54">
        <v>-287784.68899149232</v>
      </c>
      <c r="CG47" s="54">
        <v>-577784.27273081348</v>
      </c>
    </row>
    <row r="48" spans="1:85" x14ac:dyDescent="0.3">
      <c r="A48" s="161">
        <v>45894.625</v>
      </c>
      <c r="B48" s="76">
        <f t="shared" si="39"/>
        <v>94.76</v>
      </c>
      <c r="C48" s="31">
        <f t="shared" si="40"/>
        <v>228966.98615548215</v>
      </c>
      <c r="D48" s="32">
        <f t="shared" si="41"/>
        <v>-140999.99999999997</v>
      </c>
      <c r="E48" s="76">
        <f t="shared" si="42"/>
        <v>100.916</v>
      </c>
      <c r="F48" s="31">
        <f t="shared" si="43"/>
        <v>-65000.000000000568</v>
      </c>
      <c r="G48" s="32">
        <f t="shared" si="44"/>
        <v>-50199.847999999984</v>
      </c>
      <c r="H48" s="76">
        <f t="shared" si="45"/>
        <v>120.28</v>
      </c>
      <c r="I48" s="31">
        <f t="shared" si="46"/>
        <v>-571452.0098441384</v>
      </c>
      <c r="J48" s="32">
        <f t="shared" si="47"/>
        <v>-242519.99999999997</v>
      </c>
      <c r="K48" s="76">
        <f t="shared" si="48"/>
        <v>99.394999999999996</v>
      </c>
      <c r="L48" s="31">
        <f t="shared" si="49"/>
        <v>-149650.00000000373</v>
      </c>
      <c r="M48" s="32">
        <f t="shared" si="50"/>
        <v>-110418.35733333332</v>
      </c>
      <c r="N48" s="82">
        <f t="shared" si="51"/>
        <v>757070.48666628415</v>
      </c>
      <c r="O48" s="82"/>
      <c r="P48" s="82"/>
      <c r="Q48" s="82">
        <f>$G$5*SUM($O$14:O48)-$H$5*SUM($P$14:P48)</f>
        <v>-685953.76080000005</v>
      </c>
      <c r="R48" s="82">
        <f t="shared" si="12"/>
        <v>71116.725866284105</v>
      </c>
      <c r="S48" s="162"/>
      <c r="U48" s="75">
        <v>45821.625</v>
      </c>
      <c r="V48" s="54">
        <v>93.42</v>
      </c>
      <c r="W48" s="75">
        <v>45819.625</v>
      </c>
      <c r="X48" s="54">
        <v>101.398</v>
      </c>
      <c r="Y48" s="125">
        <v>45826.625</v>
      </c>
      <c r="Z48" s="54">
        <v>121.52</v>
      </c>
      <c r="AA48" s="75">
        <v>45909.625</v>
      </c>
      <c r="AB48" s="54">
        <v>99.885999999999996</v>
      </c>
      <c r="AF48" s="131">
        <v>45944.625</v>
      </c>
      <c r="AG48" s="45">
        <f t="shared" si="52"/>
        <v>80.540000000000006</v>
      </c>
      <c r="AH48" s="46">
        <f t="shared" si="21"/>
        <v>-185871.31036185921</v>
      </c>
      <c r="AI48" s="46">
        <f t="shared" si="53"/>
        <v>-197400</v>
      </c>
      <c r="AJ48" s="45">
        <f t="shared" si="54"/>
        <v>100.1328125</v>
      </c>
      <c r="AK48" s="46">
        <f t="shared" si="24"/>
        <v>94453.125</v>
      </c>
      <c r="AL48" s="47">
        <f t="shared" si="55"/>
        <v>-15343.3515625</v>
      </c>
      <c r="AM48" s="45">
        <f t="shared" si="56"/>
        <v>112.1</v>
      </c>
      <c r="AN48" s="46">
        <f t="shared" si="27"/>
        <v>677269.83549940737</v>
      </c>
      <c r="AO48" s="47">
        <f t="shared" si="57"/>
        <v>-203040</v>
      </c>
      <c r="AP48" s="45">
        <f t="shared" si="58"/>
        <v>100.1328125</v>
      </c>
      <c r="AQ48" s="46">
        <f t="shared" si="30"/>
        <v>82343.75</v>
      </c>
      <c r="AR48" s="47">
        <f t="shared" si="59"/>
        <v>-13376.255208333328</v>
      </c>
      <c r="AS48" s="45">
        <f t="shared" si="60"/>
        <v>101.859375</v>
      </c>
      <c r="AT48" s="46">
        <f t="shared" si="33"/>
        <v>130078.12500000001</v>
      </c>
      <c r="AU48" s="47">
        <f t="shared" si="61"/>
        <v>147.125</v>
      </c>
      <c r="AV48" s="45">
        <f t="shared" si="62"/>
        <v>102.140625</v>
      </c>
      <c r="AW48" s="46">
        <f t="shared" si="36"/>
        <v>492187.5</v>
      </c>
      <c r="AX48" s="47">
        <f t="shared" si="63"/>
        <v>8788.2593750000087</v>
      </c>
      <c r="AY48" s="82">
        <f t="shared" si="64"/>
        <v>-236442.4151321</v>
      </c>
      <c r="AZ48" s="82"/>
      <c r="BA48" s="82"/>
      <c r="BB48" s="82">
        <f>$AO$4*SUM($AZ$14:AZ48)-$AP$4*SUM($BA$14:BA48)</f>
        <v>71885.032915282383</v>
      </c>
      <c r="BC48" s="82">
        <f t="shared" si="13"/>
        <v>-308327.44804738241</v>
      </c>
      <c r="BE48" s="75">
        <v>45818.625</v>
      </c>
      <c r="BF48" s="54">
        <v>79.53</v>
      </c>
      <c r="BI48" s="75">
        <v>45818.625</v>
      </c>
      <c r="BJ48" s="54">
        <v>107.5</v>
      </c>
      <c r="BM48" s="75">
        <v>45938.625</v>
      </c>
      <c r="BN48" s="54">
        <v>100.953125</v>
      </c>
      <c r="BO48" s="75">
        <v>45939.625</v>
      </c>
      <c r="BP48" s="54">
        <v>100.390625</v>
      </c>
      <c r="BR48" s="161">
        <f t="shared" si="0"/>
        <v>45945.625</v>
      </c>
      <c r="BS48" s="58">
        <f t="shared" si="1"/>
        <v>-86411.419812810724</v>
      </c>
      <c r="BT48" s="58">
        <f t="shared" si="2"/>
        <v>-225204.88409246295</v>
      </c>
      <c r="BU48" s="58">
        <f t="shared" si="14"/>
        <v>60523.784183176525</v>
      </c>
      <c r="BV48" s="58">
        <f t="shared" si="15"/>
        <v>83122.56395491946</v>
      </c>
      <c r="BW48" s="58">
        <f>$BX$11*BU48</f>
        <v>60523.784183176525</v>
      </c>
      <c r="BX48" s="58">
        <f>$BY$11*BV48</f>
        <v>78181.521297991334</v>
      </c>
      <c r="BZ48" s="58">
        <f>SUM($BW$13:BW48)</f>
        <v>-227260.9048083158</v>
      </c>
      <c r="CA48" s="58">
        <f>SUM($BW$13:BX48)</f>
        <v>-439078.96724964562</v>
      </c>
      <c r="CE48" s="133">
        <v>45945.625</v>
      </c>
      <c r="CF48" s="54">
        <v>-227260.9048083158</v>
      </c>
      <c r="CG48" s="54">
        <v>-439078.96724964562</v>
      </c>
    </row>
    <row r="49" spans="1:85" x14ac:dyDescent="0.3">
      <c r="A49" s="161">
        <v>45895.625</v>
      </c>
      <c r="B49" s="76">
        <f t="shared" si="39"/>
        <v>94.59</v>
      </c>
      <c r="C49" s="31">
        <f t="shared" si="40"/>
        <v>183706.07028753706</v>
      </c>
      <c r="D49" s="32">
        <f t="shared" si="41"/>
        <v>-143937.49999999997</v>
      </c>
      <c r="E49" s="76">
        <f t="shared" si="42"/>
        <v>101.051</v>
      </c>
      <c r="F49" s="31">
        <f t="shared" si="43"/>
        <v>-37999.999999999542</v>
      </c>
      <c r="G49" s="32">
        <f t="shared" si="44"/>
        <v>-51245.678166666636</v>
      </c>
      <c r="H49" s="76">
        <f t="shared" si="45"/>
        <v>120.28</v>
      </c>
      <c r="I49" s="31">
        <f t="shared" si="46"/>
        <v>-571452.0098441384</v>
      </c>
      <c r="J49" s="32">
        <f t="shared" si="47"/>
        <v>-247572.49999999994</v>
      </c>
      <c r="K49" s="76">
        <f t="shared" si="48"/>
        <v>99.643000000000001</v>
      </c>
      <c r="L49" s="31">
        <f t="shared" si="49"/>
        <v>-47970.000000001812</v>
      </c>
      <c r="M49" s="32">
        <f t="shared" si="50"/>
        <v>-112718.73977777774</v>
      </c>
      <c r="N49" s="82">
        <f t="shared" si="51"/>
        <v>787350.01852056209</v>
      </c>
      <c r="O49" s="82"/>
      <c r="P49" s="82"/>
      <c r="Q49" s="82">
        <f>$G$5*SUM($O$14:O49)-$H$5*SUM($P$14:P49)</f>
        <v>-685953.76080000005</v>
      </c>
      <c r="R49" s="82">
        <f t="shared" si="12"/>
        <v>101396.25772056205</v>
      </c>
      <c r="S49" s="162"/>
      <c r="U49" s="75">
        <v>45824.625</v>
      </c>
      <c r="V49" s="54">
        <v>93.76</v>
      </c>
      <c r="W49" s="75">
        <v>45820.625</v>
      </c>
      <c r="X49" s="54">
        <v>101.509</v>
      </c>
      <c r="Y49" s="125">
        <v>45827.625</v>
      </c>
      <c r="Z49" s="54">
        <v>121.37</v>
      </c>
      <c r="AA49" s="75">
        <v>45910.625</v>
      </c>
      <c r="AB49" s="54">
        <v>99.86</v>
      </c>
      <c r="AF49" s="131">
        <v>45945.625</v>
      </c>
      <c r="AG49" s="45">
        <f t="shared" si="52"/>
        <v>80.8</v>
      </c>
      <c r="AH49" s="46">
        <f t="shared" si="21"/>
        <v>-73484.006422130929</v>
      </c>
      <c r="AI49" s="46">
        <f t="shared" si="53"/>
        <v>-201512.49999999994</v>
      </c>
      <c r="AJ49" s="45">
        <f t="shared" si="54"/>
        <v>100.0234375</v>
      </c>
      <c r="AK49" s="46">
        <f t="shared" si="24"/>
        <v>73125</v>
      </c>
      <c r="AL49" s="47">
        <f t="shared" si="55"/>
        <v>-15663.004720052078</v>
      </c>
      <c r="AM49" s="45">
        <f t="shared" si="56"/>
        <v>112.1</v>
      </c>
      <c r="AN49" s="46">
        <f t="shared" si="27"/>
        <v>677269.83549940737</v>
      </c>
      <c r="AO49" s="47">
        <f t="shared" si="57"/>
        <v>-207270</v>
      </c>
      <c r="AP49" s="45">
        <f t="shared" si="58"/>
        <v>100.0234375</v>
      </c>
      <c r="AQ49" s="46">
        <f t="shared" si="30"/>
        <v>63750</v>
      </c>
      <c r="AR49" s="47">
        <f t="shared" si="59"/>
        <v>-13654.927191840281</v>
      </c>
      <c r="AS49" s="45">
        <f t="shared" si="60"/>
        <v>101.734375</v>
      </c>
      <c r="AT49" s="46">
        <f t="shared" si="33"/>
        <v>120703.125</v>
      </c>
      <c r="AU49" s="47">
        <f t="shared" si="61"/>
        <v>150.19010416667152</v>
      </c>
      <c r="AV49" s="45">
        <f t="shared" si="62"/>
        <v>101.921875</v>
      </c>
      <c r="AW49" s="46">
        <f t="shared" si="36"/>
        <v>469218.75</v>
      </c>
      <c r="AX49" s="47">
        <f t="shared" si="63"/>
        <v>8971.3481119791686</v>
      </c>
      <c r="AY49" s="82">
        <f t="shared" si="64"/>
        <v>-153319.85117718056</v>
      </c>
      <c r="AZ49" s="82"/>
      <c r="BA49" s="82"/>
      <c r="BB49" s="82">
        <f>$AO$4*SUM($AZ$14:AZ49)-$AP$4*SUM($BA$14:BA49)</f>
        <v>71885.032915282383</v>
      </c>
      <c r="BC49" s="82">
        <f t="shared" si="13"/>
        <v>-225204.88409246295</v>
      </c>
      <c r="BE49" s="75">
        <v>45819.625</v>
      </c>
      <c r="BF49" s="54">
        <v>79.510000000000005</v>
      </c>
      <c r="BI49" s="75">
        <v>45819.625</v>
      </c>
      <c r="BJ49" s="54">
        <v>107.84</v>
      </c>
      <c r="BM49" s="75">
        <v>45939.625</v>
      </c>
      <c r="BN49" s="54">
        <v>100.875</v>
      </c>
      <c r="BO49" s="75">
        <v>45940.625</v>
      </c>
      <c r="BP49" s="54">
        <v>101.875</v>
      </c>
      <c r="BR49" s="161">
        <f t="shared" si="0"/>
        <v>45946.625</v>
      </c>
      <c r="BS49" s="58">
        <f t="shared" si="1"/>
        <v>-132452.11124250438</v>
      </c>
      <c r="BT49" s="58">
        <f t="shared" si="2"/>
        <v>-347062.47488751484</v>
      </c>
      <c r="BU49" s="58">
        <f t="shared" si="14"/>
        <v>-46040.691429693659</v>
      </c>
      <c r="BV49" s="58">
        <f t="shared" si="15"/>
        <v>-121857.59079505189</v>
      </c>
      <c r="BW49" s="58">
        <f>$BX$11*BU49</f>
        <v>-46040.691429693659</v>
      </c>
      <c r="BX49" s="58">
        <f>$BY$11*BV49</f>
        <v>-114614.02748875895</v>
      </c>
      <c r="BZ49" s="58">
        <f>SUM($BW$13:BW49)</f>
        <v>-273301.59623800946</v>
      </c>
      <c r="CA49" s="58">
        <f>SUM($BW$13:BX49)</f>
        <v>-599733.68616809824</v>
      </c>
      <c r="CE49" s="133">
        <v>45946.625</v>
      </c>
      <c r="CF49" s="54">
        <v>-273301.59623800946</v>
      </c>
      <c r="CG49" s="54">
        <v>-599733.68616809824</v>
      </c>
    </row>
    <row r="50" spans="1:85" x14ac:dyDescent="0.3">
      <c r="A50" s="161">
        <v>45896.625</v>
      </c>
      <c r="B50" s="76">
        <f t="shared" si="39"/>
        <v>94.56</v>
      </c>
      <c r="C50" s="31">
        <f t="shared" si="40"/>
        <v>175718.84984025621</v>
      </c>
      <c r="D50" s="32">
        <f t="shared" si="41"/>
        <v>-146875</v>
      </c>
      <c r="E50" s="76">
        <f t="shared" si="42"/>
        <v>101.142</v>
      </c>
      <c r="F50" s="31">
        <f t="shared" si="43"/>
        <v>-19800.000000000749</v>
      </c>
      <c r="G50" s="32">
        <f t="shared" si="44"/>
        <v>-52291.508333333331</v>
      </c>
      <c r="H50" s="76">
        <f t="shared" si="45"/>
        <v>120.28</v>
      </c>
      <c r="I50" s="31">
        <f t="shared" si="46"/>
        <v>-571452.0098441384</v>
      </c>
      <c r="J50" s="32">
        <f t="shared" si="47"/>
        <v>-252625</v>
      </c>
      <c r="K50" s="76">
        <f t="shared" si="48"/>
        <v>99.801000000000002</v>
      </c>
      <c r="L50" s="31">
        <f t="shared" si="49"/>
        <v>16809.999999998694</v>
      </c>
      <c r="M50" s="32">
        <f t="shared" si="50"/>
        <v>-115019.12222222221</v>
      </c>
      <c r="N50" s="82">
        <f t="shared" si="51"/>
        <v>826803.24579550512</v>
      </c>
      <c r="O50" s="82"/>
      <c r="P50" s="82"/>
      <c r="Q50" s="82">
        <f>$G$5*SUM($O$14:O50)-$H$5*SUM($P$14:P50)</f>
        <v>-685953.76080000005</v>
      </c>
      <c r="R50" s="82">
        <f t="shared" si="12"/>
        <v>140849.48499550507</v>
      </c>
      <c r="S50" s="162"/>
      <c r="U50" s="75">
        <v>45825.625</v>
      </c>
      <c r="V50" s="54">
        <v>93.56</v>
      </c>
      <c r="W50" s="75">
        <v>45821.625</v>
      </c>
      <c r="X50" s="54">
        <v>101.375</v>
      </c>
      <c r="Y50" s="125">
        <v>45828.625</v>
      </c>
      <c r="Z50" s="54">
        <v>121.48</v>
      </c>
      <c r="AA50" s="75">
        <v>45911.625</v>
      </c>
      <c r="AB50" s="54">
        <v>99.715000000000003</v>
      </c>
      <c r="AF50" s="131">
        <v>45946.625</v>
      </c>
      <c r="AG50" s="45">
        <f t="shared" si="52"/>
        <v>80.510000000000005</v>
      </c>
      <c r="AH50" s="46">
        <f t="shared" si="21"/>
        <v>-198839.07620105834</v>
      </c>
      <c r="AI50" s="46">
        <f t="shared" si="53"/>
        <v>-205624.99999999997</v>
      </c>
      <c r="AJ50" s="45">
        <f t="shared" si="54"/>
        <v>100.359375</v>
      </c>
      <c r="AK50" s="46">
        <f t="shared" si="24"/>
        <v>138632.8125</v>
      </c>
      <c r="AL50" s="47">
        <f t="shared" si="55"/>
        <v>-15982.657877604172</v>
      </c>
      <c r="AM50" s="45">
        <f t="shared" si="56"/>
        <v>112.42</v>
      </c>
      <c r="AN50" s="46">
        <f t="shared" si="27"/>
        <v>781968.55403072259</v>
      </c>
      <c r="AO50" s="47">
        <f t="shared" si="57"/>
        <v>-211500</v>
      </c>
      <c r="AP50" s="45">
        <f t="shared" si="58"/>
        <v>100.359375</v>
      </c>
      <c r="AQ50" s="46">
        <f t="shared" si="30"/>
        <v>120859.375</v>
      </c>
      <c r="AR50" s="47">
        <f t="shared" si="59"/>
        <v>-13933.599175347219</v>
      </c>
      <c r="AS50" s="45">
        <f t="shared" si="60"/>
        <v>102.234375</v>
      </c>
      <c r="AT50" s="46">
        <f t="shared" si="33"/>
        <v>158203.125</v>
      </c>
      <c r="AU50" s="47">
        <f t="shared" si="61"/>
        <v>153.25520833334303</v>
      </c>
      <c r="AV50" s="45">
        <f t="shared" si="62"/>
        <v>102.671875</v>
      </c>
      <c r="AW50" s="46">
        <f t="shared" si="36"/>
        <v>547968.75</v>
      </c>
      <c r="AX50" s="47">
        <f t="shared" si="63"/>
        <v>9154.436848958343</v>
      </c>
      <c r="AY50" s="82">
        <f t="shared" si="64"/>
        <v>-275177.44197223242</v>
      </c>
      <c r="AZ50" s="82"/>
      <c r="BA50" s="82"/>
      <c r="BB50" s="82">
        <f>$AO$4*SUM($AZ$14:AZ50)-$AP$4*SUM($BA$14:BA50)</f>
        <v>71885.032915282383</v>
      </c>
      <c r="BC50" s="82">
        <f t="shared" si="13"/>
        <v>-347062.47488751484</v>
      </c>
      <c r="BE50" s="75">
        <v>45820.625</v>
      </c>
      <c r="BF50" s="54">
        <v>79.599999999999994</v>
      </c>
      <c r="BI50" s="75">
        <v>45820.625</v>
      </c>
      <c r="BJ50" s="54">
        <v>108.44</v>
      </c>
      <c r="BM50" s="75">
        <v>45940.625</v>
      </c>
      <c r="BN50" s="54">
        <v>101.578125</v>
      </c>
      <c r="BO50" s="75">
        <v>45943.625</v>
      </c>
      <c r="BP50" s="54">
        <v>102.109375</v>
      </c>
    </row>
    <row r="51" spans="1:85" x14ac:dyDescent="0.3">
      <c r="A51" s="161">
        <v>45897.625</v>
      </c>
      <c r="B51" s="76">
        <f t="shared" si="39"/>
        <v>94.44</v>
      </c>
      <c r="C51" s="31">
        <f t="shared" si="40"/>
        <v>143769.96805111619</v>
      </c>
      <c r="D51" s="32">
        <f t="shared" si="41"/>
        <v>-149812.5</v>
      </c>
      <c r="E51" s="76">
        <f t="shared" si="42"/>
        <v>101.092</v>
      </c>
      <c r="F51" s="31">
        <f t="shared" si="43"/>
        <v>-29800.000000000182</v>
      </c>
      <c r="G51" s="32">
        <f t="shared" si="44"/>
        <v>-53337.338499999983</v>
      </c>
      <c r="H51" s="76">
        <f t="shared" si="45"/>
        <v>120.28</v>
      </c>
      <c r="I51" s="31">
        <f t="shared" si="46"/>
        <v>-571452.0098441384</v>
      </c>
      <c r="J51" s="32">
        <f t="shared" si="47"/>
        <v>-257677.49999999997</v>
      </c>
      <c r="K51" s="76">
        <f t="shared" si="48"/>
        <v>99.775999999999996</v>
      </c>
      <c r="L51" s="31">
        <f t="shared" si="49"/>
        <v>6559.9999999963647</v>
      </c>
      <c r="M51" s="32">
        <f t="shared" si="50"/>
        <v>-117319.50466666663</v>
      </c>
      <c r="N51" s="82">
        <f t="shared" si="51"/>
        <v>795464.81172858458</v>
      </c>
      <c r="O51" s="82"/>
      <c r="P51" s="82"/>
      <c r="Q51" s="82">
        <f>$G$5*SUM($O$14:O51)-$H$5*SUM($P$14:P51)</f>
        <v>-685953.76080000005</v>
      </c>
      <c r="R51" s="82">
        <f t="shared" si="12"/>
        <v>109511.05092858453</v>
      </c>
      <c r="S51" s="162"/>
      <c r="U51" s="75">
        <v>45826.625</v>
      </c>
      <c r="V51" s="54">
        <v>93.37</v>
      </c>
      <c r="W51" s="75">
        <v>45824.625</v>
      </c>
      <c r="X51" s="54">
        <v>101.402</v>
      </c>
      <c r="Y51" s="125">
        <v>45831.625</v>
      </c>
      <c r="Z51" s="54">
        <v>121.56</v>
      </c>
      <c r="AA51" s="75">
        <v>45912.625</v>
      </c>
      <c r="AB51" s="54">
        <v>99.519000000000005</v>
      </c>
      <c r="AF51" s="131"/>
      <c r="AG51" s="45"/>
      <c r="AH51" s="31"/>
      <c r="AI51" s="31"/>
      <c r="AJ51" s="4"/>
      <c r="AK51" s="31"/>
      <c r="AL51" s="32"/>
      <c r="AM51" s="4"/>
      <c r="AN51" s="31"/>
      <c r="AO51" s="32"/>
      <c r="AP51" s="4"/>
      <c r="AQ51" s="31"/>
      <c r="AR51" s="32"/>
      <c r="AS51" s="4"/>
      <c r="AT51" s="31"/>
      <c r="AU51" s="32"/>
      <c r="AV51" s="4"/>
      <c r="AW51" s="31"/>
      <c r="AX51" s="32"/>
      <c r="AY51" s="38"/>
      <c r="AZ51" s="38"/>
      <c r="BA51" s="38"/>
      <c r="BB51" s="38"/>
      <c r="BC51" s="38"/>
      <c r="BE51" s="75">
        <v>45821.625</v>
      </c>
      <c r="BF51" s="54">
        <v>79.36</v>
      </c>
      <c r="BI51" s="75">
        <v>45821.625</v>
      </c>
      <c r="BJ51" s="54">
        <v>107.79</v>
      </c>
      <c r="BM51" s="75">
        <v>45943.625</v>
      </c>
      <c r="BN51" s="54">
        <v>101.75</v>
      </c>
      <c r="BO51" s="75">
        <v>45944.625</v>
      </c>
      <c r="BP51" s="54">
        <v>102.140625</v>
      </c>
    </row>
    <row r="52" spans="1:85" x14ac:dyDescent="0.3">
      <c r="A52" s="161">
        <v>45898.625</v>
      </c>
      <c r="B52" s="76">
        <f t="shared" si="39"/>
        <v>94.44</v>
      </c>
      <c r="C52" s="31">
        <f t="shared" si="40"/>
        <v>143769.96805111619</v>
      </c>
      <c r="D52" s="32">
        <f t="shared" si="41"/>
        <v>-152749.99999999997</v>
      </c>
      <c r="E52" s="76">
        <f t="shared" si="42"/>
        <v>101.096</v>
      </c>
      <c r="F52" s="31">
        <f t="shared" si="43"/>
        <v>-28999.999999999203</v>
      </c>
      <c r="G52" s="32">
        <f t="shared" si="44"/>
        <v>-54383.168666666665</v>
      </c>
      <c r="H52" s="76">
        <f t="shared" si="45"/>
        <v>120.25</v>
      </c>
      <c r="I52" s="31">
        <f t="shared" si="46"/>
        <v>-582034.45447087905</v>
      </c>
      <c r="J52" s="32">
        <f t="shared" si="47"/>
        <v>-262729.99999999994</v>
      </c>
      <c r="K52" s="76">
        <f t="shared" si="48"/>
        <v>99.783000000000001</v>
      </c>
      <c r="L52" s="31">
        <f t="shared" si="49"/>
        <v>9429.9999999984157</v>
      </c>
      <c r="M52" s="32">
        <f t="shared" si="50"/>
        <v>-119619.88711111112</v>
      </c>
      <c r="N52" s="82">
        <f t="shared" si="51"/>
        <v>808977.70407754835</v>
      </c>
      <c r="O52" s="82"/>
      <c r="P52" s="82"/>
      <c r="Q52" s="82">
        <f>$G$5*SUM($O$14:O52)-$H$5*SUM($P$14:P52)</f>
        <v>-685953.76080000005</v>
      </c>
      <c r="R52" s="82">
        <f t="shared" si="12"/>
        <v>123023.9432775483</v>
      </c>
      <c r="S52" s="162"/>
      <c r="U52" s="75">
        <v>45827.625</v>
      </c>
      <c r="V52" s="54">
        <v>93.19</v>
      </c>
      <c r="W52" s="75">
        <v>45825.625</v>
      </c>
      <c r="X52" s="54">
        <v>101.369</v>
      </c>
      <c r="Y52" s="125">
        <v>45832.625</v>
      </c>
      <c r="Z52" s="54">
        <v>121.66</v>
      </c>
      <c r="AA52" s="75">
        <v>45915.625</v>
      </c>
      <c r="AB52" s="54">
        <v>99.558000000000007</v>
      </c>
      <c r="AF52" s="131"/>
      <c r="AG52" s="45"/>
      <c r="AH52" s="31"/>
      <c r="AI52" s="31"/>
      <c r="AJ52" s="4"/>
      <c r="AK52" s="31"/>
      <c r="AL52" s="32"/>
      <c r="AM52" s="4"/>
      <c r="AN52" s="31"/>
      <c r="AO52" s="32"/>
      <c r="AP52" s="4"/>
      <c r="AQ52" s="31"/>
      <c r="AR52" s="32"/>
      <c r="AS52" s="4"/>
      <c r="AT52" s="31"/>
      <c r="AU52" s="32"/>
      <c r="AV52" s="4"/>
      <c r="AW52" s="31"/>
      <c r="AX52" s="32"/>
      <c r="AY52" s="38"/>
      <c r="AZ52" s="38"/>
      <c r="BA52" s="38"/>
      <c r="BB52" s="38"/>
      <c r="BC52" s="38"/>
      <c r="BE52" s="75">
        <v>45824.625</v>
      </c>
      <c r="BF52" s="54">
        <v>79.52</v>
      </c>
      <c r="BI52" s="75">
        <v>45824.625</v>
      </c>
      <c r="BJ52" s="54">
        <v>107.6</v>
      </c>
      <c r="BM52" s="75">
        <v>45944.625</v>
      </c>
      <c r="BN52" s="54">
        <v>101.859375</v>
      </c>
      <c r="BO52" s="75">
        <v>45945.625</v>
      </c>
      <c r="BP52" s="54">
        <v>101.921875</v>
      </c>
    </row>
    <row r="53" spans="1:85" x14ac:dyDescent="0.3">
      <c r="A53" s="161">
        <v>45901.625</v>
      </c>
      <c r="B53" s="76">
        <f t="shared" si="39"/>
        <v>94.4</v>
      </c>
      <c r="C53" s="31">
        <f t="shared" si="40"/>
        <v>133120.34078807323</v>
      </c>
      <c r="D53" s="32">
        <f t="shared" si="41"/>
        <v>-161562.5</v>
      </c>
      <c r="E53" s="76">
        <f t="shared" si="42"/>
        <v>101.01900000000001</v>
      </c>
      <c r="F53" s="31">
        <f t="shared" si="43"/>
        <v>-44399.999999998843</v>
      </c>
      <c r="G53" s="32">
        <f t="shared" si="44"/>
        <v>-57520.65916666665</v>
      </c>
      <c r="H53" s="76">
        <f t="shared" si="45"/>
        <v>120.1</v>
      </c>
      <c r="I53" s="31">
        <f t="shared" si="46"/>
        <v>-634946.67760459706</v>
      </c>
      <c r="J53" s="32">
        <f t="shared" si="47"/>
        <v>-277887.5</v>
      </c>
      <c r="K53" s="76">
        <f t="shared" si="48"/>
        <v>99.632000000000005</v>
      </c>
      <c r="L53" s="31">
        <f t="shared" si="49"/>
        <v>-52480.000000000051</v>
      </c>
      <c r="M53" s="32">
        <f t="shared" si="50"/>
        <v>-126521.03444444446</v>
      </c>
      <c r="N53" s="82">
        <f t="shared" si="51"/>
        <v>807311.64311489125</v>
      </c>
      <c r="O53" s="82"/>
      <c r="P53" s="82"/>
      <c r="Q53" s="82">
        <f>$G$5*SUM($O$14:O53)-$H$5*SUM($P$14:P53)</f>
        <v>-685953.76080000005</v>
      </c>
      <c r="R53" s="82">
        <f t="shared" si="12"/>
        <v>121357.88231489121</v>
      </c>
      <c r="S53" s="162"/>
      <c r="U53" s="75">
        <v>45828.625</v>
      </c>
      <c r="V53" s="54">
        <v>93.4</v>
      </c>
      <c r="W53" s="75">
        <v>45826.625</v>
      </c>
      <c r="X53" s="54">
        <v>101.449</v>
      </c>
      <c r="Y53" s="125">
        <v>45833.625</v>
      </c>
      <c r="Z53" s="54">
        <v>121.62</v>
      </c>
      <c r="AA53" s="75">
        <v>45916.625</v>
      </c>
      <c r="AB53" s="54">
        <v>99.569000000000003</v>
      </c>
      <c r="AF53" s="131"/>
      <c r="AG53" s="45"/>
      <c r="AH53" s="31"/>
      <c r="AI53" s="31"/>
      <c r="AJ53" s="4"/>
      <c r="AK53" s="31"/>
      <c r="AL53" s="32"/>
      <c r="AM53" s="4"/>
      <c r="AN53" s="31"/>
      <c r="AO53" s="32"/>
      <c r="AP53" s="4"/>
      <c r="AQ53" s="31"/>
      <c r="AR53" s="32"/>
      <c r="AS53" s="4"/>
      <c r="AT53" s="31"/>
      <c r="AU53" s="32"/>
      <c r="AV53" s="4"/>
      <c r="AW53" s="31"/>
      <c r="AX53" s="32"/>
      <c r="AY53" s="38"/>
      <c r="AZ53" s="38"/>
      <c r="BA53" s="38"/>
      <c r="BB53" s="38"/>
      <c r="BC53" s="38"/>
      <c r="BE53" s="75">
        <v>45825.625</v>
      </c>
      <c r="BF53" s="54">
        <v>79.430000000000007</v>
      </c>
      <c r="BI53" s="75">
        <v>45825.625</v>
      </c>
      <c r="BJ53" s="54">
        <v>107.97</v>
      </c>
      <c r="BM53" s="75">
        <v>45945.625</v>
      </c>
      <c r="BN53" s="54">
        <v>101.734375</v>
      </c>
      <c r="BO53" s="75">
        <v>45946.625</v>
      </c>
      <c r="BP53" s="54">
        <v>102.671875</v>
      </c>
    </row>
    <row r="54" spans="1:85" x14ac:dyDescent="0.3">
      <c r="A54" s="161">
        <v>45902.625</v>
      </c>
      <c r="B54" s="76">
        <f t="shared" si="39"/>
        <v>94.24</v>
      </c>
      <c r="C54" s="31">
        <f t="shared" si="40"/>
        <v>90521.831735884683</v>
      </c>
      <c r="D54" s="32">
        <f t="shared" si="41"/>
        <v>-164500</v>
      </c>
      <c r="E54" s="76">
        <f t="shared" si="42"/>
        <v>100.976</v>
      </c>
      <c r="F54" s="31">
        <f t="shared" si="43"/>
        <v>-53000.000000000116</v>
      </c>
      <c r="G54" s="32">
        <f t="shared" si="44"/>
        <v>-58566.489333333317</v>
      </c>
      <c r="H54" s="76">
        <f t="shared" si="45"/>
        <v>119.81</v>
      </c>
      <c r="I54" s="31">
        <f t="shared" si="46"/>
        <v>-737243.64232978143</v>
      </c>
      <c r="J54" s="32">
        <f t="shared" si="47"/>
        <v>-282940</v>
      </c>
      <c r="K54" s="76">
        <f t="shared" si="48"/>
        <v>99.481999999999999</v>
      </c>
      <c r="L54" s="31">
        <f t="shared" si="49"/>
        <v>-113980.00000000239</v>
      </c>
      <c r="M54" s="32">
        <f t="shared" si="50"/>
        <v>-128821.4168888889</v>
      </c>
      <c r="N54" s="82">
        <f t="shared" si="51"/>
        <v>814970.54651010828</v>
      </c>
      <c r="O54" s="82"/>
      <c r="P54" s="82"/>
      <c r="Q54" s="82">
        <f>$G$5*SUM($O$14:O54)-$H$5*SUM($P$14:P54)</f>
        <v>-685953.76080000005</v>
      </c>
      <c r="R54" s="82">
        <f t="shared" si="12"/>
        <v>129016.78571010823</v>
      </c>
      <c r="S54" s="162"/>
      <c r="U54" s="75">
        <v>45831.625</v>
      </c>
      <c r="V54" s="54">
        <v>93.3</v>
      </c>
      <c r="W54" s="75">
        <v>45827.625</v>
      </c>
      <c r="X54" s="54">
        <v>101.432</v>
      </c>
      <c r="Y54" s="125">
        <v>45834.625</v>
      </c>
      <c r="Z54" s="54">
        <v>121.66</v>
      </c>
      <c r="AA54" s="75">
        <v>45917.625</v>
      </c>
      <c r="AB54" s="54">
        <v>99.600999999999999</v>
      </c>
      <c r="AF54" s="131"/>
      <c r="AG54" s="45"/>
      <c r="AH54" s="31"/>
      <c r="AI54" s="31"/>
      <c r="AJ54" s="4"/>
      <c r="AK54" s="31"/>
      <c r="AL54" s="32"/>
      <c r="AM54" s="4"/>
      <c r="AN54" s="31"/>
      <c r="AO54" s="32"/>
      <c r="AP54" s="4"/>
      <c r="AQ54" s="31"/>
      <c r="AR54" s="32"/>
      <c r="AS54" s="4"/>
      <c r="AT54" s="31"/>
      <c r="AU54" s="32"/>
      <c r="AV54" s="4"/>
      <c r="AW54" s="31"/>
      <c r="AX54" s="32"/>
      <c r="AY54" s="38"/>
      <c r="AZ54" s="38"/>
      <c r="BA54" s="38"/>
      <c r="BB54" s="38"/>
      <c r="BC54" s="38"/>
      <c r="BE54" s="75">
        <v>45826.625</v>
      </c>
      <c r="BF54" s="54">
        <v>79.55</v>
      </c>
      <c r="BI54" s="75">
        <v>45826.625</v>
      </c>
      <c r="BJ54" s="54">
        <v>108.05</v>
      </c>
      <c r="BM54" s="75">
        <v>45946.625</v>
      </c>
      <c r="BN54" s="54">
        <v>102.234375</v>
      </c>
    </row>
    <row r="55" spans="1:85" x14ac:dyDescent="0.3">
      <c r="A55" s="161">
        <v>45903.625</v>
      </c>
      <c r="B55" s="76">
        <f t="shared" si="39"/>
        <v>94.38</v>
      </c>
      <c r="C55" s="31">
        <f t="shared" si="40"/>
        <v>127795.52715654897</v>
      </c>
      <c r="D55" s="32">
        <f t="shared" si="41"/>
        <v>-167437.5</v>
      </c>
      <c r="E55" s="76">
        <f t="shared" si="42"/>
        <v>101.038</v>
      </c>
      <c r="F55" s="31">
        <f t="shared" si="43"/>
        <v>-40600.000000000589</v>
      </c>
      <c r="G55" s="32">
        <f t="shared" si="44"/>
        <v>-59612.319499999983</v>
      </c>
      <c r="H55" s="76">
        <f t="shared" si="45"/>
        <v>120.08</v>
      </c>
      <c r="I55" s="31">
        <f t="shared" si="46"/>
        <v>-642001.64068909094</v>
      </c>
      <c r="J55" s="32">
        <f t="shared" si="47"/>
        <v>-287992.5</v>
      </c>
      <c r="K55" s="76">
        <f t="shared" si="48"/>
        <v>99.596000000000004</v>
      </c>
      <c r="L55" s="31">
        <f t="shared" si="49"/>
        <v>-67240.000000000597</v>
      </c>
      <c r="M55" s="32">
        <f t="shared" si="50"/>
        <v>-131121.79933333336</v>
      </c>
      <c r="N55" s="82">
        <f t="shared" si="51"/>
        <v>792202.68801230646</v>
      </c>
      <c r="O55" s="82"/>
      <c r="P55" s="82"/>
      <c r="Q55" s="82">
        <f>$G$5*SUM($O$14:O55)-$H$5*SUM($P$14:P55)</f>
        <v>-685953.76080000005</v>
      </c>
      <c r="R55" s="82">
        <f t="shared" si="12"/>
        <v>106248.92721230641</v>
      </c>
      <c r="S55" s="162"/>
      <c r="U55" s="75">
        <v>45832.625</v>
      </c>
      <c r="V55" s="54">
        <v>93.63</v>
      </c>
      <c r="W55" s="75">
        <v>45828.625</v>
      </c>
      <c r="X55" s="54">
        <v>101.38200000000001</v>
      </c>
      <c r="Y55" s="125">
        <v>45835.625</v>
      </c>
      <c r="Z55" s="54">
        <v>121.55</v>
      </c>
      <c r="AA55" s="75">
        <v>45918.625</v>
      </c>
      <c r="AB55" s="54">
        <v>99.516000000000005</v>
      </c>
      <c r="AF55" s="131"/>
      <c r="AG55" s="45"/>
      <c r="AH55" s="31"/>
      <c r="AI55" s="31"/>
      <c r="AJ55" s="4"/>
      <c r="AK55" s="31"/>
      <c r="AL55" s="32"/>
      <c r="AM55" s="4"/>
      <c r="AN55" s="31"/>
      <c r="AO55" s="32"/>
      <c r="AP55" s="4"/>
      <c r="AQ55" s="31"/>
      <c r="AR55" s="32"/>
      <c r="AS55" s="4"/>
      <c r="AT55" s="31"/>
      <c r="AU55" s="32"/>
      <c r="AV55" s="4"/>
      <c r="AW55" s="31"/>
      <c r="AX55" s="32"/>
      <c r="AY55" s="38"/>
      <c r="AZ55" s="38"/>
      <c r="BA55" s="38"/>
      <c r="BB55" s="38"/>
      <c r="BC55" s="38"/>
      <c r="BE55" s="75">
        <v>45828.625</v>
      </c>
      <c r="BF55" s="54">
        <v>79.790000000000006</v>
      </c>
      <c r="BI55" s="75">
        <v>45828.625</v>
      </c>
      <c r="BJ55" s="54">
        <v>108.15</v>
      </c>
    </row>
    <row r="56" spans="1:85" x14ac:dyDescent="0.3">
      <c r="A56" s="161">
        <v>45904.625</v>
      </c>
      <c r="B56" s="76">
        <f t="shared" si="39"/>
        <v>94.54</v>
      </c>
      <c r="C56" s="31">
        <f t="shared" si="40"/>
        <v>170394.03620873194</v>
      </c>
      <c r="D56" s="32">
        <f t="shared" si="41"/>
        <v>-170375</v>
      </c>
      <c r="E56" s="76">
        <f t="shared" si="42"/>
        <v>101.06399999999999</v>
      </c>
      <c r="F56" s="31">
        <f t="shared" si="43"/>
        <v>-35400.000000001339</v>
      </c>
      <c r="G56" s="32">
        <f t="shared" si="44"/>
        <v>-60658.149666666664</v>
      </c>
      <c r="H56" s="76">
        <f t="shared" si="45"/>
        <v>120.3</v>
      </c>
      <c r="I56" s="31">
        <f t="shared" si="46"/>
        <v>-564397.04675963975</v>
      </c>
      <c r="J56" s="32">
        <f t="shared" si="47"/>
        <v>-293045</v>
      </c>
      <c r="K56" s="76">
        <f t="shared" si="48"/>
        <v>99.653999999999996</v>
      </c>
      <c r="L56" s="31">
        <f t="shared" si="49"/>
        <v>-43460.000000003587</v>
      </c>
      <c r="M56" s="32">
        <f t="shared" si="50"/>
        <v>-133422.18177777782</v>
      </c>
      <c r="N56" s="82">
        <f t="shared" si="51"/>
        <v>776637.05085725826</v>
      </c>
      <c r="O56" s="82"/>
      <c r="P56" s="82"/>
      <c r="Q56" s="82">
        <f>$G$5*SUM($O$14:O56)-$H$5*SUM($P$14:P56)</f>
        <v>-685953.76080000005</v>
      </c>
      <c r="R56" s="82">
        <f t="shared" si="12"/>
        <v>90683.290057258215</v>
      </c>
      <c r="S56" s="162"/>
      <c r="U56" s="75">
        <v>45833.625</v>
      </c>
      <c r="V56" s="54">
        <v>93.47</v>
      </c>
      <c r="W56" s="75">
        <v>45831.625</v>
      </c>
      <c r="X56" s="54">
        <v>101.441</v>
      </c>
      <c r="Y56" s="125">
        <v>45838.625</v>
      </c>
      <c r="Z56" s="54">
        <v>121.69</v>
      </c>
      <c r="AA56" s="75">
        <v>45919.625</v>
      </c>
      <c r="AB56" s="54">
        <v>99.414000000000001</v>
      </c>
      <c r="AF56" s="131"/>
      <c r="AG56" s="45"/>
      <c r="AH56" s="31"/>
      <c r="AI56" s="31"/>
      <c r="AJ56" s="4"/>
      <c r="AK56" s="31"/>
      <c r="AL56" s="32"/>
      <c r="AM56" s="4"/>
      <c r="AN56" s="31"/>
      <c r="AO56" s="32"/>
      <c r="AP56" s="4"/>
      <c r="AQ56" s="31"/>
      <c r="AR56" s="32"/>
      <c r="AS56" s="4"/>
      <c r="AT56" s="31"/>
      <c r="AU56" s="32"/>
      <c r="AV56" s="4"/>
      <c r="AW56" s="31"/>
      <c r="AX56" s="32"/>
      <c r="AY56" s="38"/>
      <c r="AZ56" s="38"/>
      <c r="BA56" s="38"/>
      <c r="BB56" s="38"/>
      <c r="BC56" s="38"/>
      <c r="BE56" s="75">
        <v>45831.625</v>
      </c>
      <c r="BF56" s="54">
        <v>79.95</v>
      </c>
      <c r="BI56" s="75">
        <v>45831.625</v>
      </c>
      <c r="BJ56" s="54">
        <v>108.41</v>
      </c>
    </row>
    <row r="57" spans="1:85" x14ac:dyDescent="0.3">
      <c r="A57" s="161">
        <v>45905.625</v>
      </c>
      <c r="B57" s="76">
        <f t="shared" si="39"/>
        <v>94.64</v>
      </c>
      <c r="C57" s="31">
        <f t="shared" si="40"/>
        <v>197018.10436634769</v>
      </c>
      <c r="D57" s="32">
        <f t="shared" si="41"/>
        <v>-173312.5</v>
      </c>
      <c r="E57" s="76">
        <f t="shared" si="42"/>
        <v>101.19</v>
      </c>
      <c r="F57" s="31">
        <f t="shared" si="43"/>
        <v>-10200.000000000387</v>
      </c>
      <c r="G57" s="32">
        <f t="shared" si="44"/>
        <v>-61703.979833333331</v>
      </c>
      <c r="H57" s="76">
        <f t="shared" si="45"/>
        <v>120.64</v>
      </c>
      <c r="I57" s="31">
        <f t="shared" si="46"/>
        <v>-444462.67432321608</v>
      </c>
      <c r="J57" s="32">
        <f t="shared" si="47"/>
        <v>-298097.5</v>
      </c>
      <c r="K57" s="76">
        <f t="shared" si="48"/>
        <v>99.900999999999996</v>
      </c>
      <c r="L57" s="31">
        <f t="shared" si="49"/>
        <v>57809.999999996362</v>
      </c>
      <c r="M57" s="32">
        <f t="shared" si="50"/>
        <v>-135722.56422222222</v>
      </c>
      <c r="N57" s="82">
        <f t="shared" si="51"/>
        <v>760257.19430067169</v>
      </c>
      <c r="O57" s="82"/>
      <c r="P57" s="82"/>
      <c r="Q57" s="82">
        <f>$G$5*SUM($O$14:O57)-$H$5*SUM($P$14:P57)</f>
        <v>-685953.76080000005</v>
      </c>
      <c r="R57" s="82">
        <f t="shared" si="12"/>
        <v>74303.433500671643</v>
      </c>
      <c r="S57" s="162"/>
      <c r="U57" s="75">
        <v>45834.625</v>
      </c>
      <c r="V57" s="54">
        <v>93.5</v>
      </c>
      <c r="W57" s="75">
        <v>45832.625</v>
      </c>
      <c r="X57" s="54">
        <v>101.40600000000001</v>
      </c>
      <c r="Y57" s="125">
        <v>45839.625</v>
      </c>
      <c r="Z57" s="54">
        <v>121.84</v>
      </c>
      <c r="AA57" s="75">
        <v>45922.625</v>
      </c>
      <c r="AB57" s="54">
        <v>99.441000000000003</v>
      </c>
      <c r="AF57" s="131"/>
      <c r="AG57" s="45"/>
      <c r="AH57" s="31"/>
      <c r="AI57" s="31"/>
      <c r="AJ57" s="4"/>
      <c r="AK57" s="31"/>
      <c r="AL57" s="32"/>
      <c r="AM57" s="4"/>
      <c r="AN57" s="31"/>
      <c r="AO57" s="32"/>
      <c r="AP57" s="4"/>
      <c r="AQ57" s="31"/>
      <c r="AR57" s="32"/>
      <c r="AS57" s="4"/>
      <c r="AT57" s="31"/>
      <c r="AU57" s="32"/>
      <c r="AV57" s="4"/>
      <c r="AW57" s="31"/>
      <c r="AX57" s="32"/>
      <c r="AY57" s="38"/>
      <c r="AZ57" s="38"/>
      <c r="BA57" s="38"/>
      <c r="BB57" s="38"/>
      <c r="BC57" s="38"/>
      <c r="BE57" s="75">
        <v>45832.625</v>
      </c>
      <c r="BF57" s="54">
        <v>80.17</v>
      </c>
      <c r="BI57" s="75">
        <v>45832.625</v>
      </c>
      <c r="BJ57" s="54">
        <v>108.92</v>
      </c>
    </row>
    <row r="58" spans="1:85" x14ac:dyDescent="0.3">
      <c r="A58" s="161">
        <v>45908.625</v>
      </c>
      <c r="B58" s="76">
        <f t="shared" si="39"/>
        <v>94.65</v>
      </c>
      <c r="C58" s="31">
        <f t="shared" si="40"/>
        <v>199680.51118210983</v>
      </c>
      <c r="D58" s="32">
        <f t="shared" si="41"/>
        <v>-182125</v>
      </c>
      <c r="E58" s="76">
        <f t="shared" si="42"/>
        <v>101.23099999999999</v>
      </c>
      <c r="F58" s="31">
        <f t="shared" si="43"/>
        <v>-2000.0000000010234</v>
      </c>
      <c r="G58" s="32">
        <f t="shared" si="44"/>
        <v>-64841.470333333316</v>
      </c>
      <c r="H58" s="76">
        <f t="shared" si="45"/>
        <v>120.74</v>
      </c>
      <c r="I58" s="31">
        <f t="shared" si="46"/>
        <v>-409187.85890074214</v>
      </c>
      <c r="J58" s="32">
        <f t="shared" si="47"/>
        <v>-313255</v>
      </c>
      <c r="K58" s="76">
        <f t="shared" si="48"/>
        <v>99.972999999999999</v>
      </c>
      <c r="L58" s="31">
        <f t="shared" si="49"/>
        <v>87329.999999997497</v>
      </c>
      <c r="M58" s="32">
        <f t="shared" si="50"/>
        <v>-142623.71155555558</v>
      </c>
      <c r="N58" s="82">
        <f t="shared" si="51"/>
        <v>751546.12886062812</v>
      </c>
      <c r="O58" s="82"/>
      <c r="P58" s="82"/>
      <c r="Q58" s="82">
        <f>$G$5*SUM($O$14:O58)-$H$5*SUM($P$14:P58)</f>
        <v>-685953.76080000005</v>
      </c>
      <c r="R58" s="82">
        <f t="shared" si="12"/>
        <v>65592.368060628069</v>
      </c>
      <c r="S58" s="162"/>
      <c r="U58" s="75">
        <v>45835.625</v>
      </c>
      <c r="V58" s="54">
        <v>93.63</v>
      </c>
      <c r="W58" s="75">
        <v>45833.625</v>
      </c>
      <c r="X58" s="54">
        <v>101.367</v>
      </c>
      <c r="Y58" s="125">
        <v>45840.625</v>
      </c>
      <c r="Z58" s="54">
        <v>121.82</v>
      </c>
      <c r="AA58" s="75">
        <v>45923.625</v>
      </c>
      <c r="AB58" s="54">
        <v>99.381</v>
      </c>
      <c r="AF58" s="131"/>
      <c r="AG58" s="45"/>
      <c r="AH58" s="31"/>
      <c r="AI58" s="31"/>
      <c r="AJ58" s="4"/>
      <c r="AK58" s="31"/>
      <c r="AL58" s="32"/>
      <c r="AM58" s="4"/>
      <c r="AN58" s="31"/>
      <c r="AO58" s="32"/>
      <c r="AP58" s="4"/>
      <c r="AQ58" s="31"/>
      <c r="AR58" s="32"/>
      <c r="AS58" s="4"/>
      <c r="AT58" s="31"/>
      <c r="AU58" s="32"/>
      <c r="AV58" s="4"/>
      <c r="AW58" s="31"/>
      <c r="AX58" s="32"/>
      <c r="AY58" s="38"/>
      <c r="AZ58" s="38"/>
      <c r="BA58" s="38"/>
      <c r="BB58" s="38"/>
      <c r="BC58" s="38"/>
      <c r="BE58" s="75">
        <v>45833.625</v>
      </c>
      <c r="BF58" s="54">
        <v>80.150000000000006</v>
      </c>
      <c r="BI58" s="75">
        <v>45833.625</v>
      </c>
      <c r="BJ58" s="54">
        <v>108.79</v>
      </c>
    </row>
    <row r="59" spans="1:85" x14ac:dyDescent="0.3">
      <c r="A59" s="161">
        <v>45909.625</v>
      </c>
      <c r="B59" s="76">
        <f t="shared" si="39"/>
        <v>94.54</v>
      </c>
      <c r="C59" s="31">
        <f t="shared" si="40"/>
        <v>170394.03620873194</v>
      </c>
      <c r="D59" s="32">
        <f t="shared" si="41"/>
        <v>-185062.49999999997</v>
      </c>
      <c r="E59" s="76">
        <f t="shared" si="42"/>
        <v>101.163</v>
      </c>
      <c r="F59" s="31">
        <f t="shared" si="43"/>
        <v>-15600.000000000591</v>
      </c>
      <c r="G59" s="32">
        <f t="shared" si="44"/>
        <v>-65887.300500000012</v>
      </c>
      <c r="H59" s="76">
        <f t="shared" si="45"/>
        <v>120.66</v>
      </c>
      <c r="I59" s="31">
        <f t="shared" si="46"/>
        <v>-437407.71123872226</v>
      </c>
      <c r="J59" s="32">
        <f t="shared" si="47"/>
        <v>-318307.5</v>
      </c>
      <c r="K59" s="76">
        <f t="shared" si="48"/>
        <v>99.885999999999996</v>
      </c>
      <c r="L59" s="31">
        <f t="shared" si="49"/>
        <v>51659.999999996136</v>
      </c>
      <c r="M59" s="32">
        <f t="shared" si="50"/>
        <v>-144924.09400000004</v>
      </c>
      <c r="N59" s="82">
        <f t="shared" si="51"/>
        <v>729269.95394745097</v>
      </c>
      <c r="O59" s="82"/>
      <c r="P59" s="82"/>
      <c r="Q59" s="82">
        <f>$G$5*SUM($O$14:O59)-$H$5*SUM($P$14:P59)</f>
        <v>-685953.76080000005</v>
      </c>
      <c r="R59" s="82">
        <f t="shared" si="12"/>
        <v>43316.193147450918</v>
      </c>
      <c r="S59" s="162"/>
      <c r="U59" s="75">
        <v>45838.625</v>
      </c>
      <c r="V59" s="54">
        <v>93.64</v>
      </c>
      <c r="W59" s="75">
        <v>45834.625</v>
      </c>
      <c r="X59" s="54">
        <v>101.43</v>
      </c>
      <c r="Y59" s="125">
        <v>45841.625</v>
      </c>
      <c r="Z59" s="54">
        <v>122.16</v>
      </c>
      <c r="AA59" s="75">
        <v>45924.625</v>
      </c>
      <c r="AB59" s="54">
        <v>99.414000000000001</v>
      </c>
      <c r="AF59" s="131"/>
      <c r="AG59" s="45"/>
      <c r="AH59" s="31"/>
      <c r="AI59" s="31"/>
      <c r="AJ59" s="4"/>
      <c r="AK59" s="31"/>
      <c r="AL59" s="32"/>
      <c r="AM59" s="4"/>
      <c r="AN59" s="31"/>
      <c r="AO59" s="32"/>
      <c r="AP59" s="4"/>
      <c r="AQ59" s="31"/>
      <c r="AR59" s="32"/>
      <c r="AS59" s="4"/>
      <c r="AT59" s="31"/>
      <c r="AU59" s="32"/>
      <c r="AV59" s="4"/>
      <c r="AW59" s="31"/>
      <c r="AX59" s="32"/>
      <c r="AY59" s="38"/>
      <c r="AZ59" s="38"/>
      <c r="BA59" s="38"/>
      <c r="BB59" s="38"/>
      <c r="BC59" s="38"/>
      <c r="BE59" s="75">
        <v>45834.625</v>
      </c>
      <c r="BF59" s="54">
        <v>80.38</v>
      </c>
      <c r="BI59" s="75">
        <v>45834.625</v>
      </c>
      <c r="BJ59" s="54">
        <v>109.19</v>
      </c>
    </row>
    <row r="60" spans="1:85" x14ac:dyDescent="0.3">
      <c r="A60" s="161">
        <v>45910.625</v>
      </c>
      <c r="B60" s="76">
        <f t="shared" si="39"/>
        <v>94.53</v>
      </c>
      <c r="C60" s="31">
        <f t="shared" si="40"/>
        <v>167731.62939296983</v>
      </c>
      <c r="D60" s="32">
        <f t="shared" si="41"/>
        <v>-188000</v>
      </c>
      <c r="E60" s="76">
        <f t="shared" si="42"/>
        <v>101.126</v>
      </c>
      <c r="F60" s="31">
        <f t="shared" si="43"/>
        <v>-22999.999999998978</v>
      </c>
      <c r="G60" s="32">
        <f t="shared" si="44"/>
        <v>-66933.130666666664</v>
      </c>
      <c r="H60" s="76">
        <f t="shared" si="45"/>
        <v>120.75</v>
      </c>
      <c r="I60" s="31">
        <f t="shared" si="46"/>
        <v>-405660.37735849048</v>
      </c>
      <c r="J60" s="32">
        <f t="shared" si="47"/>
        <v>-323360</v>
      </c>
      <c r="K60" s="76">
        <f t="shared" si="48"/>
        <v>99.86</v>
      </c>
      <c r="L60" s="31">
        <f t="shared" si="49"/>
        <v>40999.999999997672</v>
      </c>
      <c r="M60" s="32">
        <f t="shared" si="50"/>
        <v>-147224.47644444447</v>
      </c>
      <c r="N60" s="82">
        <f t="shared" si="51"/>
        <v>692460.66097367916</v>
      </c>
      <c r="O60" s="82"/>
      <c r="P60" s="82"/>
      <c r="Q60" s="82">
        <f>$G$5*SUM($O$14:O60)-$H$5*SUM($P$14:P60)</f>
        <v>-685953.76080000005</v>
      </c>
      <c r="R60" s="82">
        <f t="shared" si="12"/>
        <v>6506.9001736791106</v>
      </c>
      <c r="S60" s="162"/>
      <c r="U60" s="75">
        <v>45839.625</v>
      </c>
      <c r="V60" s="54">
        <v>93.68</v>
      </c>
      <c r="W60" s="75">
        <v>45835.625</v>
      </c>
      <c r="X60" s="54">
        <v>101.3</v>
      </c>
      <c r="Y60" s="125">
        <v>45842.625</v>
      </c>
      <c r="Z60" s="54">
        <v>122.27</v>
      </c>
      <c r="AA60" s="75">
        <v>45925.625</v>
      </c>
      <c r="AB60" s="54">
        <v>99.263000000000005</v>
      </c>
      <c r="AF60" s="131"/>
      <c r="AG60" s="45"/>
      <c r="AH60" s="31"/>
      <c r="AI60" s="31"/>
      <c r="AJ60" s="4"/>
      <c r="AK60" s="31"/>
      <c r="AL60" s="32"/>
      <c r="AM60" s="4"/>
      <c r="AN60" s="31"/>
      <c r="AO60" s="32"/>
      <c r="AP60" s="4"/>
      <c r="AQ60" s="31"/>
      <c r="AR60" s="32"/>
      <c r="AS60" s="4"/>
      <c r="AT60" s="31"/>
      <c r="AU60" s="32"/>
      <c r="AV60" s="4"/>
      <c r="AW60" s="31"/>
      <c r="AX60" s="32"/>
      <c r="AY60" s="38"/>
      <c r="AZ60" s="38"/>
      <c r="BA60" s="38"/>
      <c r="BB60" s="38"/>
      <c r="BC60" s="38"/>
      <c r="BE60" s="75">
        <v>45835.625</v>
      </c>
      <c r="BF60" s="54">
        <v>80.34</v>
      </c>
      <c r="BI60" s="75">
        <v>45835.625</v>
      </c>
      <c r="BJ60" s="54">
        <v>109.01</v>
      </c>
    </row>
    <row r="61" spans="1:85" x14ac:dyDescent="0.3">
      <c r="A61" s="161">
        <v>45911.625</v>
      </c>
      <c r="B61" s="76">
        <f t="shared" si="39"/>
        <v>92.29</v>
      </c>
      <c r="C61" s="31">
        <f t="shared" si="40"/>
        <v>-428647.49733759201</v>
      </c>
      <c r="D61" s="32">
        <f t="shared" si="41"/>
        <v>-190937.49999999997</v>
      </c>
      <c r="E61" s="76">
        <f t="shared" si="42"/>
        <v>101.012</v>
      </c>
      <c r="F61" s="31">
        <f t="shared" si="43"/>
        <v>-45799.99999999984</v>
      </c>
      <c r="G61" s="32">
        <f t="shared" si="44"/>
        <v>-67978.960833333345</v>
      </c>
      <c r="H61" s="76">
        <f t="shared" si="45"/>
        <v>120.76</v>
      </c>
      <c r="I61" s="31">
        <f t="shared" si="46"/>
        <v>-402132.89581624354</v>
      </c>
      <c r="J61" s="32">
        <f t="shared" si="47"/>
        <v>-328412.5</v>
      </c>
      <c r="K61" s="76">
        <f t="shared" si="48"/>
        <v>99.715000000000003</v>
      </c>
      <c r="L61" s="31">
        <f t="shared" si="49"/>
        <v>-18450.000000000698</v>
      </c>
      <c r="M61" s="32">
        <f t="shared" si="50"/>
        <v>-149524.85888888888</v>
      </c>
      <c r="N61" s="82">
        <f t="shared" si="51"/>
        <v>56764.500423095218</v>
      </c>
      <c r="O61" s="82">
        <v>2.4173</v>
      </c>
      <c r="P61" s="82"/>
      <c r="Q61" s="82">
        <f>$G$5*SUM($O$14:O61)-$H$5*SUM($P$14:P61)</f>
        <v>-42369.391500000027</v>
      </c>
      <c r="R61" s="82">
        <f t="shared" si="12"/>
        <v>14395.108923095191</v>
      </c>
      <c r="S61" s="162"/>
      <c r="U61" s="75">
        <v>45840.625</v>
      </c>
      <c r="V61" s="54">
        <v>93.74</v>
      </c>
      <c r="W61" s="75">
        <v>45838.625</v>
      </c>
      <c r="X61" s="54">
        <v>101.331</v>
      </c>
      <c r="Y61" s="125">
        <v>45845.625</v>
      </c>
      <c r="Z61" s="54">
        <v>122.05</v>
      </c>
      <c r="AA61" s="75">
        <v>45926.625</v>
      </c>
      <c r="AB61" s="54">
        <v>99.38</v>
      </c>
      <c r="AF61" s="131"/>
      <c r="AG61" s="45"/>
      <c r="AH61" s="31"/>
      <c r="AI61" s="31"/>
      <c r="AJ61" s="4"/>
      <c r="AK61" s="31"/>
      <c r="AL61" s="32"/>
      <c r="AM61" s="4"/>
      <c r="AN61" s="31"/>
      <c r="AO61" s="32"/>
      <c r="AP61" s="4"/>
      <c r="AQ61" s="31"/>
      <c r="AR61" s="32"/>
      <c r="AS61" s="4"/>
      <c r="AT61" s="31"/>
      <c r="AU61" s="32"/>
      <c r="AV61" s="4"/>
      <c r="AW61" s="31"/>
      <c r="AX61" s="32"/>
      <c r="AY61" s="38"/>
      <c r="AZ61" s="38"/>
      <c r="BA61" s="38"/>
      <c r="BB61" s="38"/>
      <c r="BC61" s="38"/>
      <c r="BE61" s="75">
        <v>45838.625</v>
      </c>
      <c r="BF61" s="54">
        <v>80.650000000000006</v>
      </c>
      <c r="BI61" s="75">
        <v>45838.625</v>
      </c>
      <c r="BJ61" s="54">
        <v>109.61</v>
      </c>
    </row>
    <row r="62" spans="1:85" ht="15" thickBot="1" x14ac:dyDescent="0.35">
      <c r="A62" s="161">
        <v>45912.625</v>
      </c>
      <c r="B62" s="76">
        <f t="shared" si="39"/>
        <v>92.46</v>
      </c>
      <c r="C62" s="31">
        <f t="shared" si="40"/>
        <v>-383386.58146965242</v>
      </c>
      <c r="D62" s="32">
        <f t="shared" si="41"/>
        <v>-193874.99999999997</v>
      </c>
      <c r="E62" s="76">
        <f t="shared" si="42"/>
        <v>100.934</v>
      </c>
      <c r="F62" s="31">
        <f t="shared" si="43"/>
        <v>-61400.000000000429</v>
      </c>
      <c r="G62" s="32">
        <f t="shared" si="44"/>
        <v>-69024.790999999983</v>
      </c>
      <c r="H62" s="76">
        <f t="shared" si="45"/>
        <v>120.63</v>
      </c>
      <c r="I62" s="31">
        <f t="shared" si="46"/>
        <v>-447990.15586546774</v>
      </c>
      <c r="J62" s="32">
        <f t="shared" si="47"/>
        <v>-333464.99999999994</v>
      </c>
      <c r="K62" s="76">
        <f t="shared" si="48"/>
        <v>99.519000000000005</v>
      </c>
      <c r="L62" s="31">
        <f t="shared" si="49"/>
        <v>-98809.999999999869</v>
      </c>
      <c r="M62" s="32">
        <f t="shared" si="50"/>
        <v>-151825.24133333334</v>
      </c>
      <c r="N62" s="82">
        <f t="shared" si="51"/>
        <v>83983.124062482471</v>
      </c>
      <c r="O62" s="82"/>
      <c r="P62" s="82"/>
      <c r="Q62" s="82">
        <f>$G$5*SUM($O$14:O62)-$H$5*SUM($P$14:P62)</f>
        <v>-42369.391500000027</v>
      </c>
      <c r="R62" s="82">
        <f t="shared" si="12"/>
        <v>41613.732562482444</v>
      </c>
      <c r="S62" s="162"/>
      <c r="U62" s="75">
        <v>45841.625</v>
      </c>
      <c r="V62" s="54">
        <v>93.9</v>
      </c>
      <c r="W62" s="75">
        <v>45839.625</v>
      </c>
      <c r="X62" s="54">
        <v>101.357</v>
      </c>
      <c r="Y62" s="125">
        <v>45846.625</v>
      </c>
      <c r="Z62" s="54">
        <v>121.9</v>
      </c>
      <c r="AA62" s="75">
        <v>45929.625</v>
      </c>
      <c r="AB62" s="54">
        <v>99.456000000000003</v>
      </c>
      <c r="AF62" s="132"/>
      <c r="AG62" s="48"/>
      <c r="AH62" s="49"/>
      <c r="AI62" s="49"/>
      <c r="AJ62" s="11"/>
      <c r="AK62" s="49"/>
      <c r="AL62" s="50"/>
      <c r="AM62" s="11"/>
      <c r="AN62" s="49"/>
      <c r="AO62" s="50"/>
      <c r="AP62" s="11"/>
      <c r="AQ62" s="49"/>
      <c r="AR62" s="50"/>
      <c r="AS62" s="11"/>
      <c r="AT62" s="49"/>
      <c r="AU62" s="50"/>
      <c r="AV62" s="11"/>
      <c r="AW62" s="49"/>
      <c r="AX62" s="50"/>
      <c r="AY62" s="51"/>
      <c r="AZ62" s="51"/>
      <c r="BA62" s="51"/>
      <c r="BB62" s="51"/>
      <c r="BC62" s="51"/>
      <c r="BE62" s="75">
        <v>45839.625</v>
      </c>
      <c r="BF62" s="54">
        <v>80.17</v>
      </c>
      <c r="BI62" s="75">
        <v>45839.625</v>
      </c>
      <c r="BJ62" s="54">
        <v>109.34</v>
      </c>
    </row>
    <row r="63" spans="1:85" x14ac:dyDescent="0.3">
      <c r="A63" s="161">
        <v>45915.625</v>
      </c>
      <c r="B63" s="76">
        <f t="shared" si="39"/>
        <v>92.46</v>
      </c>
      <c r="C63" s="31">
        <f t="shared" si="40"/>
        <v>-383386.58146965242</v>
      </c>
      <c r="D63" s="32">
        <f t="shared" si="41"/>
        <v>-202687.5</v>
      </c>
      <c r="E63" s="76">
        <f t="shared" si="42"/>
        <v>100.944</v>
      </c>
      <c r="F63" s="31">
        <f t="shared" si="43"/>
        <v>-59399.999999999411</v>
      </c>
      <c r="G63" s="32">
        <f t="shared" si="44"/>
        <v>-72162.281499999997</v>
      </c>
      <c r="H63" s="76">
        <f t="shared" si="45"/>
        <v>120.7</v>
      </c>
      <c r="I63" s="31">
        <f t="shared" si="46"/>
        <v>-423297.78506972984</v>
      </c>
      <c r="J63" s="32">
        <f t="shared" si="47"/>
        <v>-348622.5</v>
      </c>
      <c r="K63" s="76">
        <f t="shared" si="48"/>
        <v>99.558000000000007</v>
      </c>
      <c r="L63" s="31">
        <f t="shared" si="49"/>
        <v>-82819.999999999258</v>
      </c>
      <c r="M63" s="32">
        <f t="shared" si="50"/>
        <v>-158726.38866666669</v>
      </c>
      <c r="N63" s="82">
        <f t="shared" si="51"/>
        <v>75862.096433410828</v>
      </c>
      <c r="O63" s="82"/>
      <c r="P63" s="82"/>
      <c r="Q63" s="82">
        <f>$G$5*SUM($O$14:O63)-$H$5*SUM($P$14:P63)</f>
        <v>-42369.391500000027</v>
      </c>
      <c r="R63" s="82">
        <f t="shared" si="12"/>
        <v>33492.704933410801</v>
      </c>
      <c r="S63" s="162"/>
      <c r="U63" s="75">
        <v>45842.625</v>
      </c>
      <c r="V63" s="54">
        <v>93.86</v>
      </c>
      <c r="W63" s="75">
        <v>45840.625</v>
      </c>
      <c r="X63" s="54">
        <v>101.286</v>
      </c>
      <c r="Y63" s="125">
        <v>45847.625</v>
      </c>
      <c r="Z63" s="54">
        <v>122</v>
      </c>
      <c r="AA63" s="75">
        <v>45930.625</v>
      </c>
      <c r="AB63" s="54">
        <v>99.484999999999999</v>
      </c>
      <c r="AG63" s="58"/>
      <c r="AH63" s="58"/>
      <c r="AI63" s="58"/>
      <c r="AJ63" s="58"/>
      <c r="AK63" s="58"/>
      <c r="AM63" s="57"/>
      <c r="AN63" s="57"/>
      <c r="AP63" s="58"/>
      <c r="AQ63" s="58"/>
      <c r="AS63" s="57"/>
      <c r="AT63" s="57"/>
      <c r="AW63" s="57"/>
      <c r="AX63" s="57"/>
      <c r="AY63" s="57"/>
      <c r="AZ63" s="57"/>
      <c r="BA63" s="57"/>
      <c r="BB63" s="57"/>
      <c r="BC63" s="57"/>
      <c r="BE63" s="75">
        <v>45840.625</v>
      </c>
      <c r="BF63" s="54">
        <v>80.319999999999993</v>
      </c>
      <c r="BI63" s="75">
        <v>45840.625</v>
      </c>
      <c r="BJ63" s="54">
        <v>109.32</v>
      </c>
    </row>
    <row r="64" spans="1:85" x14ac:dyDescent="0.3">
      <c r="A64" s="161">
        <v>45916.625</v>
      </c>
      <c r="B64" s="76">
        <f t="shared" si="39"/>
        <v>92.35</v>
      </c>
      <c r="C64" s="31">
        <f t="shared" si="40"/>
        <v>-412673.05644302757</v>
      </c>
      <c r="D64" s="32">
        <f t="shared" si="41"/>
        <v>-205625</v>
      </c>
      <c r="E64" s="76">
        <f t="shared" si="42"/>
        <v>100.953</v>
      </c>
      <c r="F64" s="31">
        <f t="shared" si="43"/>
        <v>-57599.999999999345</v>
      </c>
      <c r="G64" s="32">
        <f t="shared" si="44"/>
        <v>-73208.111666666664</v>
      </c>
      <c r="H64" s="76">
        <f t="shared" si="45"/>
        <v>120.66</v>
      </c>
      <c r="I64" s="31">
        <f t="shared" si="46"/>
        <v>-437407.71123872226</v>
      </c>
      <c r="J64" s="32">
        <f t="shared" si="47"/>
        <v>-353675</v>
      </c>
      <c r="K64" s="76">
        <f t="shared" si="48"/>
        <v>99.569000000000003</v>
      </c>
      <c r="L64" s="31">
        <f t="shared" si="49"/>
        <v>-78310.000000001019</v>
      </c>
      <c r="M64" s="32">
        <f t="shared" si="50"/>
        <v>-161026.77111111107</v>
      </c>
      <c r="N64" s="82">
        <f t="shared" si="51"/>
        <v>64255.995351248595</v>
      </c>
      <c r="O64" s="82"/>
      <c r="P64" s="82"/>
      <c r="Q64" s="82">
        <f>$G$5*SUM($O$14:O64)-$H$5*SUM($P$14:P64)</f>
        <v>-42369.391500000027</v>
      </c>
      <c r="R64" s="82">
        <f t="shared" si="12"/>
        <v>21886.603851248568</v>
      </c>
      <c r="S64" s="162"/>
      <c r="U64" s="75">
        <v>45845.625</v>
      </c>
      <c r="V64" s="54">
        <v>93.91</v>
      </c>
      <c r="W64" s="75">
        <v>45841.625</v>
      </c>
      <c r="X64" s="54">
        <v>101.379</v>
      </c>
      <c r="Y64" s="125">
        <v>45848.625</v>
      </c>
      <c r="Z64" s="54">
        <v>121.86</v>
      </c>
      <c r="AA64" s="75">
        <v>45931.625</v>
      </c>
      <c r="AB64" s="54">
        <v>99.536000000000001</v>
      </c>
      <c r="AG64" s="75"/>
      <c r="AH64" s="58"/>
      <c r="AI64" s="75"/>
      <c r="AJ64" s="58"/>
      <c r="AK64" s="75"/>
      <c r="AM64" s="75"/>
      <c r="AO64" s="75"/>
      <c r="AP64" s="58"/>
      <c r="AQ64" s="75"/>
      <c r="AW64" s="57"/>
      <c r="AX64" s="57"/>
      <c r="AY64" s="57"/>
      <c r="AZ64" s="57"/>
      <c r="BA64" s="57"/>
      <c r="BB64" s="57"/>
      <c r="BC64" s="57"/>
      <c r="BE64" s="75">
        <v>45841.625</v>
      </c>
      <c r="BF64" s="54">
        <v>80.37</v>
      </c>
      <c r="BI64" s="75">
        <v>45841.625</v>
      </c>
      <c r="BJ64" s="54">
        <v>109.06</v>
      </c>
    </row>
    <row r="65" spans="1:62" x14ac:dyDescent="0.3">
      <c r="A65" s="161">
        <v>45917.625</v>
      </c>
      <c r="B65" s="76">
        <f t="shared" si="39"/>
        <v>92.39</v>
      </c>
      <c r="C65" s="31">
        <f t="shared" si="40"/>
        <v>-402023.42917997902</v>
      </c>
      <c r="D65" s="32">
        <f t="shared" si="41"/>
        <v>-208562.49999999997</v>
      </c>
      <c r="E65" s="76">
        <f t="shared" si="42"/>
        <v>100.971</v>
      </c>
      <c r="F65" s="31">
        <f t="shared" si="43"/>
        <v>-53999.999999999207</v>
      </c>
      <c r="G65" s="32">
        <f t="shared" si="44"/>
        <v>-74253.941833333301</v>
      </c>
      <c r="H65" s="76">
        <f t="shared" si="45"/>
        <v>120.67</v>
      </c>
      <c r="I65" s="31">
        <f t="shared" si="46"/>
        <v>-433880.22969647532</v>
      </c>
      <c r="J65" s="32">
        <f t="shared" si="47"/>
        <v>-358727.49999999994</v>
      </c>
      <c r="K65" s="76">
        <f t="shared" si="48"/>
        <v>99.600999999999999</v>
      </c>
      <c r="L65" s="31">
        <f t="shared" si="49"/>
        <v>-65190.000000002474</v>
      </c>
      <c r="M65" s="32">
        <f t="shared" si="50"/>
        <v>-163327.15355555556</v>
      </c>
      <c r="N65" s="82">
        <f t="shared" si="51"/>
        <v>81758.588794270676</v>
      </c>
      <c r="O65" s="82"/>
      <c r="P65" s="82"/>
      <c r="Q65" s="82">
        <f>$G$5*SUM($O$14:O65)-$H$5*SUM($P$14:P65)</f>
        <v>-42369.391500000027</v>
      </c>
      <c r="R65" s="82">
        <f t="shared" si="12"/>
        <v>39389.197294270649</v>
      </c>
      <c r="S65" s="162"/>
      <c r="U65" s="75">
        <v>45846.625</v>
      </c>
      <c r="V65" s="54">
        <v>93.9</v>
      </c>
      <c r="W65" s="75">
        <v>45842.625</v>
      </c>
      <c r="X65" s="54">
        <v>101.465</v>
      </c>
      <c r="Y65" s="125">
        <v>45849.625</v>
      </c>
      <c r="Z65" s="54">
        <v>121.72</v>
      </c>
      <c r="AA65" s="75">
        <v>45932.625</v>
      </c>
      <c r="AB65" s="54">
        <v>99.51</v>
      </c>
      <c r="AG65" s="75"/>
      <c r="AH65" s="58"/>
      <c r="AI65" s="75"/>
      <c r="AJ65" s="58"/>
      <c r="AK65" s="75"/>
      <c r="AM65" s="75"/>
      <c r="AO65" s="75"/>
      <c r="AP65" s="58"/>
      <c r="AQ65" s="75"/>
      <c r="AW65" s="57"/>
      <c r="AX65" s="57"/>
      <c r="AY65" s="57"/>
      <c r="AZ65" s="57"/>
      <c r="BA65" s="57"/>
      <c r="BB65" s="57"/>
      <c r="BC65" s="57"/>
      <c r="BE65" s="75">
        <v>45845.625</v>
      </c>
      <c r="BF65" s="54">
        <v>80.099999999999994</v>
      </c>
      <c r="BI65" s="75">
        <v>45845.625</v>
      </c>
      <c r="BJ65" s="54">
        <v>108.41</v>
      </c>
    </row>
    <row r="66" spans="1:62" x14ac:dyDescent="0.3">
      <c r="A66" s="161">
        <v>45918.625</v>
      </c>
      <c r="B66" s="76">
        <f t="shared" si="39"/>
        <v>92.67</v>
      </c>
      <c r="C66" s="31">
        <f t="shared" si="40"/>
        <v>-327476.03833865881</v>
      </c>
      <c r="D66" s="32">
        <f t="shared" si="41"/>
        <v>-211500</v>
      </c>
      <c r="E66" s="76">
        <f t="shared" si="42"/>
        <v>100.956</v>
      </c>
      <c r="F66" s="31">
        <f t="shared" si="43"/>
        <v>-56999.999999999316</v>
      </c>
      <c r="G66" s="32">
        <f t="shared" si="44"/>
        <v>-75299.771999999983</v>
      </c>
      <c r="H66" s="76">
        <f t="shared" si="45"/>
        <v>120.7</v>
      </c>
      <c r="I66" s="31">
        <f t="shared" si="46"/>
        <v>-423297.78506972984</v>
      </c>
      <c r="J66" s="32">
        <f t="shared" si="47"/>
        <v>-363780</v>
      </c>
      <c r="K66" s="76">
        <f t="shared" si="48"/>
        <v>99.516000000000005</v>
      </c>
      <c r="L66" s="31">
        <f t="shared" si="49"/>
        <v>-100039.99999999991</v>
      </c>
      <c r="M66" s="32">
        <f t="shared" si="50"/>
        <v>-165627.53600000002</v>
      </c>
      <c r="N66" s="82">
        <f t="shared" si="51"/>
        <v>114733.98273107031</v>
      </c>
      <c r="O66" s="82"/>
      <c r="P66" s="82"/>
      <c r="Q66" s="82">
        <f>$G$5*SUM($O$14:O66)-$H$5*SUM($P$14:P66)</f>
        <v>-42369.391500000027</v>
      </c>
      <c r="R66" s="82">
        <f t="shared" si="12"/>
        <v>72364.591231070284</v>
      </c>
      <c r="S66" s="162"/>
      <c r="U66" s="75">
        <v>45847.625</v>
      </c>
      <c r="V66" s="54">
        <v>94.17</v>
      </c>
      <c r="W66" s="75">
        <v>45845.625</v>
      </c>
      <c r="X66" s="54">
        <v>101.348</v>
      </c>
      <c r="Y66" s="125">
        <v>45852.625</v>
      </c>
      <c r="Z66" s="54">
        <v>121.74</v>
      </c>
      <c r="AA66" s="75">
        <v>45933.625</v>
      </c>
      <c r="AB66" s="54">
        <v>99.492999999999995</v>
      </c>
      <c r="AG66" s="75"/>
      <c r="AH66" s="58"/>
      <c r="AI66" s="75"/>
      <c r="AJ66" s="58"/>
      <c r="AK66" s="75"/>
      <c r="AM66" s="75"/>
      <c r="AO66" s="75"/>
      <c r="AP66" s="58"/>
      <c r="AQ66" s="75"/>
      <c r="AW66" s="57"/>
      <c r="AX66" s="57"/>
      <c r="AY66" s="57"/>
      <c r="AZ66" s="57"/>
      <c r="BA66" s="57"/>
      <c r="BB66" s="57"/>
      <c r="BC66" s="57"/>
      <c r="BE66" s="75">
        <v>45846.625</v>
      </c>
      <c r="BF66" s="54">
        <v>79.989999999999995</v>
      </c>
      <c r="BI66" s="75">
        <v>45846.625</v>
      </c>
      <c r="BJ66" s="54">
        <v>108.1</v>
      </c>
    </row>
    <row r="67" spans="1:62" x14ac:dyDescent="0.3">
      <c r="A67" s="161">
        <v>45919.625</v>
      </c>
      <c r="B67" s="76">
        <f t="shared" si="39"/>
        <v>92.67</v>
      </c>
      <c r="C67" s="31">
        <f t="shared" si="40"/>
        <v>-327476.03833865881</v>
      </c>
      <c r="D67" s="32">
        <f t="shared" si="41"/>
        <v>-214437.5</v>
      </c>
      <c r="E67" s="76">
        <f t="shared" si="42"/>
        <v>100.904</v>
      </c>
      <c r="F67" s="31">
        <f t="shared" si="43"/>
        <v>-67400.000000000669</v>
      </c>
      <c r="G67" s="32">
        <f t="shared" si="44"/>
        <v>-76345.602166666693</v>
      </c>
      <c r="H67" s="76">
        <f t="shared" si="45"/>
        <v>120.71</v>
      </c>
      <c r="I67" s="31">
        <f t="shared" si="46"/>
        <v>-419770.30352748767</v>
      </c>
      <c r="J67" s="32">
        <f t="shared" si="47"/>
        <v>-368832.5</v>
      </c>
      <c r="K67" s="76">
        <f t="shared" si="48"/>
        <v>99.414000000000001</v>
      </c>
      <c r="L67" s="31">
        <f t="shared" si="49"/>
        <v>-141860.00000000148</v>
      </c>
      <c r="M67" s="32">
        <f t="shared" si="50"/>
        <v>-167927.91844444443</v>
      </c>
      <c r="N67" s="82">
        <f t="shared" si="51"/>
        <v>80646.948911050305</v>
      </c>
      <c r="O67" s="82"/>
      <c r="P67" s="82"/>
      <c r="Q67" s="82">
        <f>$G$5*SUM($O$14:O67)-$H$5*SUM($P$14:P67)</f>
        <v>-42369.391500000027</v>
      </c>
      <c r="R67" s="82">
        <f t="shared" si="12"/>
        <v>38277.557411050278</v>
      </c>
      <c r="S67" s="162"/>
      <c r="U67" s="75">
        <v>45848.625</v>
      </c>
      <c r="V67" s="54">
        <v>94.22</v>
      </c>
      <c r="W67" s="75">
        <v>45846.625</v>
      </c>
      <c r="X67" s="54">
        <v>101.241</v>
      </c>
      <c r="Y67" s="125">
        <v>45853.625</v>
      </c>
      <c r="Z67" s="54">
        <v>121.85</v>
      </c>
      <c r="AA67" s="75">
        <v>45936.625</v>
      </c>
      <c r="AB67" s="54">
        <v>99.536000000000001</v>
      </c>
      <c r="AG67" s="75"/>
      <c r="AH67" s="58"/>
      <c r="AI67" s="75"/>
      <c r="AJ67" s="58"/>
      <c r="AK67" s="75"/>
      <c r="AM67" s="75"/>
      <c r="AO67" s="75"/>
      <c r="AP67" s="58"/>
      <c r="AQ67" s="75"/>
      <c r="BE67" s="75">
        <v>45847.625</v>
      </c>
      <c r="BF67" s="54">
        <v>80.209999999999994</v>
      </c>
      <c r="BI67" s="75">
        <v>45847.625</v>
      </c>
      <c r="BJ67" s="54">
        <v>108.71</v>
      </c>
    </row>
    <row r="68" spans="1:62" x14ac:dyDescent="0.3">
      <c r="A68" s="161">
        <v>45922.625</v>
      </c>
      <c r="B68" s="76">
        <f t="shared" si="39"/>
        <v>92.52</v>
      </c>
      <c r="C68" s="31">
        <f t="shared" si="40"/>
        <v>-367412.14057508245</v>
      </c>
      <c r="D68" s="32">
        <f t="shared" si="41"/>
        <v>-223249.99999999997</v>
      </c>
      <c r="E68" s="76">
        <f t="shared" si="42"/>
        <v>100.913</v>
      </c>
      <c r="F68" s="31">
        <f t="shared" si="43"/>
        <v>-65600.000000000582</v>
      </c>
      <c r="G68" s="32">
        <f t="shared" si="44"/>
        <v>-79483.092666666649</v>
      </c>
      <c r="H68" s="76">
        <f t="shared" si="45"/>
        <v>120.61</v>
      </c>
      <c r="I68" s="31">
        <f t="shared" si="46"/>
        <v>-455045.11894996156</v>
      </c>
      <c r="J68" s="32">
        <f t="shared" si="47"/>
        <v>-383989.99999999994</v>
      </c>
      <c r="K68" s="76">
        <f t="shared" si="48"/>
        <v>99.441000000000003</v>
      </c>
      <c r="L68" s="31">
        <f t="shared" si="49"/>
        <v>-130790.00000000108</v>
      </c>
      <c r="M68" s="32">
        <f t="shared" si="50"/>
        <v>-174829.06577777772</v>
      </c>
      <c r="N68" s="82">
        <f t="shared" si="51"/>
        <v>87837.005263767525</v>
      </c>
      <c r="O68" s="82"/>
      <c r="P68" s="82"/>
      <c r="Q68" s="82">
        <f>$G$5*SUM($O$14:O68)-$H$5*SUM($P$14:P68)</f>
        <v>-42369.391500000027</v>
      </c>
      <c r="R68" s="82">
        <f t="shared" si="12"/>
        <v>45467.613763767498</v>
      </c>
      <c r="S68" s="162"/>
      <c r="U68" s="75">
        <v>45849.625</v>
      </c>
      <c r="V68" s="54">
        <v>94.12</v>
      </c>
      <c r="W68" s="75">
        <v>45847.625</v>
      </c>
      <c r="X68" s="54">
        <v>101.289</v>
      </c>
      <c r="Y68" s="125">
        <v>45854.625</v>
      </c>
      <c r="Z68" s="54">
        <v>121.87</v>
      </c>
      <c r="AA68" s="75">
        <v>45937.625</v>
      </c>
      <c r="AB68" s="54">
        <v>99.483000000000004</v>
      </c>
      <c r="AG68" s="75"/>
      <c r="AH68" s="58"/>
      <c r="AI68" s="75"/>
      <c r="AJ68" s="58"/>
      <c r="AK68" s="75"/>
      <c r="AM68" s="75"/>
      <c r="AO68" s="75"/>
      <c r="AP68" s="58"/>
      <c r="AQ68" s="75"/>
      <c r="BE68" s="75">
        <v>45848.625</v>
      </c>
      <c r="BF68" s="54">
        <v>80.13</v>
      </c>
      <c r="BI68" s="75">
        <v>45848.625</v>
      </c>
      <c r="BJ68" s="54">
        <v>108.74</v>
      </c>
    </row>
    <row r="69" spans="1:62" x14ac:dyDescent="0.3">
      <c r="A69" s="161">
        <v>45923.625</v>
      </c>
      <c r="B69" s="76">
        <f t="shared" si="39"/>
        <v>92.67</v>
      </c>
      <c r="C69" s="31">
        <f t="shared" si="40"/>
        <v>-327476.03833865881</v>
      </c>
      <c r="D69" s="32">
        <f t="shared" si="41"/>
        <v>-226187.49999999994</v>
      </c>
      <c r="E69" s="76">
        <f t="shared" si="42"/>
        <v>100.883</v>
      </c>
      <c r="F69" s="31">
        <f t="shared" si="43"/>
        <v>-71600.000000000815</v>
      </c>
      <c r="G69" s="32">
        <f t="shared" si="44"/>
        <v>-80528.922833333272</v>
      </c>
      <c r="H69" s="76">
        <f t="shared" si="45"/>
        <v>120.6</v>
      </c>
      <c r="I69" s="31">
        <f t="shared" si="46"/>
        <v>-458572.6004922085</v>
      </c>
      <c r="J69" s="32">
        <f t="shared" si="47"/>
        <v>-389042.49999999994</v>
      </c>
      <c r="K69" s="76">
        <f t="shared" si="48"/>
        <v>99.381</v>
      </c>
      <c r="L69" s="31">
        <f t="shared" si="49"/>
        <v>-155390.00000000201</v>
      </c>
      <c r="M69" s="32">
        <f t="shared" si="50"/>
        <v>-177129.44822222221</v>
      </c>
      <c r="N69" s="82">
        <f t="shared" si="51"/>
        <v>113561.03676465951</v>
      </c>
      <c r="O69" s="82"/>
      <c r="P69" s="82"/>
      <c r="Q69" s="82">
        <f>$G$5*SUM($O$14:O69)-$H$5*SUM($P$14:P69)</f>
        <v>-42369.391500000027</v>
      </c>
      <c r="R69" s="82">
        <f t="shared" si="12"/>
        <v>71191.645264659484</v>
      </c>
      <c r="S69" s="162"/>
      <c r="U69" s="75">
        <v>45852.625</v>
      </c>
      <c r="V69" s="54">
        <v>94.05</v>
      </c>
      <c r="W69" s="75">
        <v>45848.625</v>
      </c>
      <c r="X69" s="54">
        <v>101.181</v>
      </c>
      <c r="Y69" s="125">
        <v>45855.625</v>
      </c>
      <c r="Z69" s="54">
        <v>120.13</v>
      </c>
      <c r="AA69" s="75">
        <v>45938.625</v>
      </c>
      <c r="AB69" s="54">
        <v>99.673000000000002</v>
      </c>
      <c r="AG69" s="75"/>
      <c r="AH69" s="58"/>
      <c r="AI69" s="75"/>
      <c r="AJ69" s="58"/>
      <c r="AK69" s="75"/>
      <c r="AM69" s="75"/>
      <c r="AO69" s="75"/>
      <c r="AP69" s="58"/>
      <c r="AQ69" s="75"/>
      <c r="BE69" s="75">
        <v>45849.625</v>
      </c>
      <c r="BF69" s="54">
        <v>80.03</v>
      </c>
      <c r="BI69" s="75">
        <v>45849.625</v>
      </c>
      <c r="BJ69" s="54">
        <v>108.08</v>
      </c>
    </row>
    <row r="70" spans="1:62" x14ac:dyDescent="0.3">
      <c r="A70" s="161">
        <v>45924.625</v>
      </c>
      <c r="B70" s="76">
        <f t="shared" si="39"/>
        <v>92.59</v>
      </c>
      <c r="C70" s="31">
        <f t="shared" si="40"/>
        <v>-348775.29286475031</v>
      </c>
      <c r="D70" s="32">
        <f t="shared" si="41"/>
        <v>-229125</v>
      </c>
      <c r="E70" s="76">
        <f t="shared" si="42"/>
        <v>100.893</v>
      </c>
      <c r="F70" s="31">
        <f t="shared" si="43"/>
        <v>-69599.999999999796</v>
      </c>
      <c r="G70" s="32">
        <f t="shared" si="44"/>
        <v>-81574.752999999982</v>
      </c>
      <c r="H70" s="76">
        <f t="shared" si="45"/>
        <v>120.67</v>
      </c>
      <c r="I70" s="31">
        <f t="shared" si="46"/>
        <v>-433880.22969647532</v>
      </c>
      <c r="J70" s="32">
        <f t="shared" si="47"/>
        <v>-394095</v>
      </c>
      <c r="K70" s="76">
        <f t="shared" si="48"/>
        <v>99.414000000000001</v>
      </c>
      <c r="L70" s="31">
        <f t="shared" si="49"/>
        <v>-141860.00000000148</v>
      </c>
      <c r="M70" s="32">
        <f t="shared" si="50"/>
        <v>-179429.83066666668</v>
      </c>
      <c r="N70" s="82">
        <f t="shared" si="51"/>
        <v>79959.859165056521</v>
      </c>
      <c r="O70" s="82"/>
      <c r="P70" s="82"/>
      <c r="Q70" s="82">
        <f>$G$5*SUM($O$14:O70)-$H$5*SUM($P$14:P70)</f>
        <v>-42369.391500000027</v>
      </c>
      <c r="R70" s="82">
        <f t="shared" si="12"/>
        <v>37590.467665056494</v>
      </c>
      <c r="S70" s="162"/>
      <c r="U70" s="75">
        <v>45853.625</v>
      </c>
      <c r="V70" s="54">
        <v>94.05</v>
      </c>
      <c r="W70" s="75">
        <v>45849.625</v>
      </c>
      <c r="X70" s="54">
        <v>101.123</v>
      </c>
      <c r="Y70" s="125">
        <v>45856.625</v>
      </c>
      <c r="Z70" s="54">
        <v>120.01</v>
      </c>
      <c r="AA70" s="75">
        <v>45939.625</v>
      </c>
      <c r="AB70" s="54">
        <v>99.552999999999997</v>
      </c>
      <c r="AG70" s="75"/>
      <c r="AH70" s="58"/>
      <c r="AI70" s="75"/>
      <c r="AJ70" s="58"/>
      <c r="AK70" s="75"/>
      <c r="AM70" s="75"/>
      <c r="AO70" s="75"/>
      <c r="AP70" s="58"/>
      <c r="AQ70" s="75"/>
      <c r="BE70" s="75">
        <v>45852.625</v>
      </c>
      <c r="BF70" s="54">
        <v>80.09</v>
      </c>
      <c r="BI70" s="75">
        <v>45852.625</v>
      </c>
      <c r="BJ70" s="54">
        <v>108.05</v>
      </c>
    </row>
    <row r="71" spans="1:62" x14ac:dyDescent="0.3">
      <c r="A71" s="161">
        <v>45925.625</v>
      </c>
      <c r="B71" s="76">
        <f t="shared" si="39"/>
        <v>92.45</v>
      </c>
      <c r="C71" s="31">
        <f t="shared" si="40"/>
        <v>-386048.98828541179</v>
      </c>
      <c r="D71" s="32">
        <f t="shared" si="41"/>
        <v>-232062.49999999997</v>
      </c>
      <c r="E71" s="76">
        <f t="shared" si="42"/>
        <v>100.822</v>
      </c>
      <c r="F71" s="31">
        <f t="shared" si="43"/>
        <v>-83799.999999999374</v>
      </c>
      <c r="G71" s="32">
        <f t="shared" si="44"/>
        <v>-82620.583166666649</v>
      </c>
      <c r="H71" s="76">
        <f t="shared" si="45"/>
        <v>120.43</v>
      </c>
      <c r="I71" s="31">
        <f t="shared" si="46"/>
        <v>-518539.78671042033</v>
      </c>
      <c r="J71" s="32">
        <f t="shared" si="47"/>
        <v>-399147.49999999994</v>
      </c>
      <c r="K71" s="76">
        <f t="shared" si="48"/>
        <v>99.263000000000005</v>
      </c>
      <c r="L71" s="31">
        <f t="shared" si="49"/>
        <v>-203769.99999999994</v>
      </c>
      <c r="M71" s="32">
        <f t="shared" si="50"/>
        <v>-181730.21311111108</v>
      </c>
      <c r="N71" s="82">
        <f t="shared" si="51"/>
        <v>80496.168480563618</v>
      </c>
      <c r="O71" s="82"/>
      <c r="P71" s="82"/>
      <c r="Q71" s="82">
        <f>$G$5*SUM($O$14:O71)-$H$5*SUM($P$14:P71)</f>
        <v>-42369.391500000027</v>
      </c>
      <c r="R71" s="82">
        <f t="shared" si="12"/>
        <v>38126.776980563591</v>
      </c>
      <c r="S71" s="162"/>
      <c r="U71" s="75">
        <v>45854.625</v>
      </c>
      <c r="V71" s="54">
        <v>93.96</v>
      </c>
      <c r="W71" s="75">
        <v>45852.625</v>
      </c>
      <c r="X71" s="54">
        <v>101.181</v>
      </c>
      <c r="Y71" s="125">
        <v>45859.625</v>
      </c>
      <c r="Z71" s="54">
        <v>120.31</v>
      </c>
      <c r="AA71" s="75">
        <v>45940.625</v>
      </c>
      <c r="AB71" s="54">
        <v>99.754000000000005</v>
      </c>
      <c r="AG71" s="75"/>
      <c r="AH71" s="58"/>
      <c r="AI71" s="75"/>
      <c r="AJ71" s="58"/>
      <c r="AK71" s="75"/>
      <c r="AM71" s="75"/>
      <c r="AO71" s="75"/>
      <c r="AP71" s="58"/>
      <c r="AQ71" s="75"/>
      <c r="BE71" s="75">
        <v>45853.625</v>
      </c>
      <c r="BF71" s="54">
        <v>79.849999999999994</v>
      </c>
      <c r="BI71" s="75">
        <v>45853.625</v>
      </c>
      <c r="BJ71" s="54">
        <v>107.66</v>
      </c>
    </row>
    <row r="72" spans="1:62" x14ac:dyDescent="0.3">
      <c r="A72" s="161">
        <v>45926.625</v>
      </c>
      <c r="B72" s="76">
        <f t="shared" si="39"/>
        <v>92.46</v>
      </c>
      <c r="C72" s="31">
        <f t="shared" si="40"/>
        <v>-383386.58146965242</v>
      </c>
      <c r="D72" s="32">
        <f t="shared" si="41"/>
        <v>-234999.99999999997</v>
      </c>
      <c r="E72" s="76">
        <f t="shared" si="42"/>
        <v>100.866</v>
      </c>
      <c r="F72" s="31">
        <f t="shared" si="43"/>
        <v>-75000</v>
      </c>
      <c r="G72" s="32">
        <f t="shared" si="44"/>
        <v>-83666.413333333301</v>
      </c>
      <c r="H72" s="76">
        <f t="shared" si="45"/>
        <v>120.43</v>
      </c>
      <c r="I72" s="31">
        <f t="shared" si="46"/>
        <v>-518539.78671042033</v>
      </c>
      <c r="J72" s="32">
        <f t="shared" si="47"/>
        <v>-404199.99999999994</v>
      </c>
      <c r="K72" s="76">
        <f t="shared" si="48"/>
        <v>99.38</v>
      </c>
      <c r="L72" s="31">
        <f t="shared" si="49"/>
        <v>-155800.00000000396</v>
      </c>
      <c r="M72" s="32">
        <f t="shared" si="50"/>
        <v>-184030.59555555551</v>
      </c>
      <c r="N72" s="82">
        <f t="shared" si="51"/>
        <v>123189.02301854177</v>
      </c>
      <c r="O72" s="82"/>
      <c r="P72" s="82"/>
      <c r="Q72" s="82">
        <f>$G$5*SUM($O$14:O72)-$H$5*SUM($P$14:P72)</f>
        <v>-42369.391500000027</v>
      </c>
      <c r="R72" s="82">
        <f t="shared" si="12"/>
        <v>80819.631518541748</v>
      </c>
      <c r="S72" s="162"/>
      <c r="U72" s="75">
        <v>45855.625</v>
      </c>
      <c r="V72" s="54">
        <v>94.08</v>
      </c>
      <c r="W72" s="75">
        <v>45853.625</v>
      </c>
      <c r="X72" s="54">
        <v>101.23699999999999</v>
      </c>
      <c r="Y72" s="125">
        <v>45860.625</v>
      </c>
      <c r="Z72" s="54">
        <v>120.48</v>
      </c>
      <c r="AA72" s="75">
        <v>45943.625</v>
      </c>
      <c r="AB72" s="54">
        <v>99.923000000000002</v>
      </c>
      <c r="AG72" s="75"/>
      <c r="AH72" s="58"/>
      <c r="AI72" s="75"/>
      <c r="AJ72" s="58"/>
      <c r="AK72" s="75"/>
      <c r="AM72" s="75"/>
      <c r="AO72" s="75"/>
      <c r="AP72" s="58"/>
      <c r="AQ72" s="75"/>
      <c r="BE72" s="75">
        <v>45854.625</v>
      </c>
      <c r="BF72" s="54">
        <v>80.06</v>
      </c>
      <c r="BI72" s="75">
        <v>45854.625</v>
      </c>
      <c r="BJ72" s="54">
        <v>107.83</v>
      </c>
    </row>
    <row r="73" spans="1:62" x14ac:dyDescent="0.3">
      <c r="A73" s="161">
        <v>45929.625</v>
      </c>
      <c r="B73" s="76">
        <f t="shared" si="39"/>
        <v>92.5</v>
      </c>
      <c r="C73" s="31">
        <f t="shared" si="40"/>
        <v>-372736.95420660393</v>
      </c>
      <c r="D73" s="32">
        <f t="shared" si="41"/>
        <v>-243812.50000000003</v>
      </c>
      <c r="E73" s="76">
        <f t="shared" si="42"/>
        <v>100.89</v>
      </c>
      <c r="F73" s="31">
        <f t="shared" si="43"/>
        <v>-70199.999999999825</v>
      </c>
      <c r="G73" s="32">
        <f t="shared" si="44"/>
        <v>-86803.903833333359</v>
      </c>
      <c r="H73" s="76">
        <f t="shared" si="45"/>
        <v>120.76</v>
      </c>
      <c r="I73" s="31">
        <f t="shared" si="46"/>
        <v>-402132.89581624354</v>
      </c>
      <c r="J73" s="32">
        <f t="shared" si="47"/>
        <v>-419357.50000000006</v>
      </c>
      <c r="K73" s="76">
        <f t="shared" si="48"/>
        <v>99.456000000000003</v>
      </c>
      <c r="L73" s="31">
        <f t="shared" si="49"/>
        <v>-124640.00000000084</v>
      </c>
      <c r="M73" s="32">
        <f t="shared" si="50"/>
        <v>-190931.74288888896</v>
      </c>
      <c r="N73" s="82">
        <f t="shared" si="51"/>
        <v>46373.102554083103</v>
      </c>
      <c r="O73" s="82"/>
      <c r="P73" s="82"/>
      <c r="Q73" s="82">
        <f>$G$5*SUM($O$14:O73)-$H$5*SUM($P$14:P73)</f>
        <v>-42369.391500000027</v>
      </c>
      <c r="R73" s="82">
        <f t="shared" si="12"/>
        <v>4003.7110540830763</v>
      </c>
      <c r="S73" s="162"/>
      <c r="U73" s="75">
        <v>45856.625</v>
      </c>
      <c r="V73" s="54">
        <v>94.09</v>
      </c>
      <c r="W73" s="75">
        <v>45854.625</v>
      </c>
      <c r="X73" s="54">
        <v>101.31</v>
      </c>
      <c r="Y73" s="125">
        <v>45861.625</v>
      </c>
      <c r="Z73" s="54">
        <v>120.5</v>
      </c>
      <c r="AA73" s="75">
        <v>45944.625</v>
      </c>
      <c r="AB73" s="54">
        <v>99.977999999999994</v>
      </c>
      <c r="AG73" s="75"/>
      <c r="AH73" s="58"/>
      <c r="AI73" s="75"/>
      <c r="AJ73" s="58"/>
      <c r="AK73" s="75"/>
      <c r="AM73" s="75"/>
      <c r="AO73" s="75"/>
      <c r="AP73" s="58"/>
      <c r="AQ73" s="75"/>
      <c r="BE73" s="75">
        <v>45855.625</v>
      </c>
      <c r="BF73" s="54">
        <v>80.14</v>
      </c>
      <c r="BI73" s="75">
        <v>45855.625</v>
      </c>
      <c r="BJ73" s="54">
        <v>108.09</v>
      </c>
    </row>
    <row r="74" spans="1:62" x14ac:dyDescent="0.3">
      <c r="A74" s="161">
        <v>45930.625</v>
      </c>
      <c r="B74" s="76">
        <f t="shared" si="39"/>
        <v>92.47</v>
      </c>
      <c r="C74" s="31">
        <f t="shared" si="40"/>
        <v>-380724.17465388752</v>
      </c>
      <c r="D74" s="32">
        <f t="shared" si="41"/>
        <v>-246750</v>
      </c>
      <c r="E74" s="76">
        <f t="shared" si="42"/>
        <v>100.89400000000001</v>
      </c>
      <c r="F74" s="31">
        <f t="shared" si="43"/>
        <v>-69399.999999998836</v>
      </c>
      <c r="G74" s="32">
        <f t="shared" si="44"/>
        <v>-87849.733999999997</v>
      </c>
      <c r="H74" s="76">
        <f t="shared" si="45"/>
        <v>120.78</v>
      </c>
      <c r="I74" s="31">
        <f t="shared" si="46"/>
        <v>-395077.93273174972</v>
      </c>
      <c r="J74" s="32">
        <f t="shared" si="47"/>
        <v>-424410</v>
      </c>
      <c r="K74" s="76">
        <f t="shared" si="48"/>
        <v>99.484999999999999</v>
      </c>
      <c r="L74" s="31">
        <f t="shared" si="49"/>
        <v>-112750.00000000233</v>
      </c>
      <c r="M74" s="32">
        <f t="shared" si="50"/>
        <v>-193232.12533333333</v>
      </c>
      <c r="N74" s="82">
        <f t="shared" si="51"/>
        <v>43281.366744525381</v>
      </c>
      <c r="O74" s="82"/>
      <c r="P74" s="82"/>
      <c r="Q74" s="82">
        <f>$G$5*SUM($O$14:O74)-$H$5*SUM($P$14:P74)</f>
        <v>-42369.391500000027</v>
      </c>
      <c r="R74" s="82">
        <f t="shared" si="12"/>
        <v>911.97524452535436</v>
      </c>
      <c r="S74" s="162"/>
      <c r="U74" s="75">
        <v>45859.625</v>
      </c>
      <c r="V74" s="54">
        <v>94.13</v>
      </c>
      <c r="W74" s="75">
        <v>45855.625</v>
      </c>
      <c r="X74" s="54">
        <v>101.328</v>
      </c>
      <c r="Y74" s="125">
        <v>45862.625</v>
      </c>
      <c r="Z74" s="54">
        <v>120.16</v>
      </c>
      <c r="AA74" s="75">
        <v>45945.625</v>
      </c>
      <c r="AB74" s="54">
        <v>100.18899999999999</v>
      </c>
      <c r="AG74" s="75"/>
      <c r="AH74" s="58"/>
      <c r="AI74" s="75"/>
      <c r="AJ74" s="58"/>
      <c r="AK74" s="75"/>
      <c r="AM74" s="75"/>
      <c r="AO74" s="75"/>
      <c r="AP74" s="58"/>
      <c r="AQ74" s="75"/>
      <c r="BE74" s="75">
        <v>45856.625</v>
      </c>
      <c r="BF74" s="54">
        <v>80.25</v>
      </c>
      <c r="BI74" s="75">
        <v>45856.625</v>
      </c>
      <c r="BJ74" s="54">
        <v>108.29</v>
      </c>
    </row>
    <row r="75" spans="1:62" x14ac:dyDescent="0.3">
      <c r="A75" s="161">
        <v>45931.625</v>
      </c>
      <c r="B75" s="76">
        <f t="shared" si="39"/>
        <v>92.57</v>
      </c>
      <c r="C75" s="31">
        <f t="shared" si="40"/>
        <v>-354100.10649627732</v>
      </c>
      <c r="D75" s="32">
        <f t="shared" si="41"/>
        <v>-249687.5</v>
      </c>
      <c r="E75" s="76">
        <f t="shared" si="42"/>
        <v>100.92</v>
      </c>
      <c r="F75" s="31">
        <f t="shared" si="43"/>
        <v>-64199.999999999585</v>
      </c>
      <c r="G75" s="32">
        <f t="shared" si="44"/>
        <v>-88895.564166666663</v>
      </c>
      <c r="H75" s="76">
        <f t="shared" si="45"/>
        <v>120.85</v>
      </c>
      <c r="I75" s="31">
        <f t="shared" si="46"/>
        <v>-370385.56193601654</v>
      </c>
      <c r="J75" s="32">
        <f t="shared" si="47"/>
        <v>-429462.5</v>
      </c>
      <c r="K75" s="76">
        <f t="shared" si="48"/>
        <v>99.536000000000001</v>
      </c>
      <c r="L75" s="31">
        <f t="shared" si="49"/>
        <v>-91840.000000001543</v>
      </c>
      <c r="M75" s="32">
        <f t="shared" si="50"/>
        <v>-195532.50777777776</v>
      </c>
      <c r="N75" s="82">
        <f t="shared" si="51"/>
        <v>61783.511828626157</v>
      </c>
      <c r="O75" s="82"/>
      <c r="P75" s="82"/>
      <c r="Q75" s="82">
        <f>$G$5*SUM($O$14:O75)-$H$5*SUM($P$14:P75)</f>
        <v>-42369.391500000027</v>
      </c>
      <c r="R75" s="82">
        <f t="shared" si="12"/>
        <v>19414.12032862613</v>
      </c>
      <c r="S75" s="162"/>
      <c r="U75" s="75">
        <v>45860.625</v>
      </c>
      <c r="V75" s="54">
        <v>94.13</v>
      </c>
      <c r="W75" s="75">
        <v>45856.625</v>
      </c>
      <c r="X75" s="54">
        <v>101.28</v>
      </c>
      <c r="Y75" s="125">
        <v>45863.625</v>
      </c>
      <c r="Z75" s="54">
        <v>120.06</v>
      </c>
      <c r="AA75" s="75">
        <v>45946.625</v>
      </c>
      <c r="AB75" s="54">
        <v>100.14700000000001</v>
      </c>
      <c r="AG75" s="75"/>
      <c r="AI75" s="75"/>
      <c r="AK75" s="75"/>
      <c r="AM75" s="75"/>
      <c r="AO75" s="75"/>
      <c r="AQ75" s="75"/>
      <c r="BE75" s="75">
        <v>45859.625</v>
      </c>
      <c r="BF75" s="54">
        <v>80.36</v>
      </c>
      <c r="BI75" s="75">
        <v>45859.625</v>
      </c>
      <c r="BJ75" s="54">
        <v>108.71</v>
      </c>
    </row>
    <row r="76" spans="1:62" x14ac:dyDescent="0.3">
      <c r="A76" s="161">
        <v>45932.625</v>
      </c>
      <c r="B76" s="76">
        <f t="shared" si="39"/>
        <v>92.64</v>
      </c>
      <c r="C76" s="31">
        <f t="shared" si="40"/>
        <v>-335463.25878594519</v>
      </c>
      <c r="D76" s="32">
        <f t="shared" si="41"/>
        <v>-252624.99999999997</v>
      </c>
      <c r="E76" s="76">
        <f t="shared" si="42"/>
        <v>100.905</v>
      </c>
      <c r="F76" s="31">
        <f t="shared" si="43"/>
        <v>-67199.999999999709</v>
      </c>
      <c r="G76" s="32">
        <f t="shared" si="44"/>
        <v>-89941.394333333345</v>
      </c>
      <c r="H76" s="76">
        <f t="shared" si="45"/>
        <v>120.92</v>
      </c>
      <c r="I76" s="31">
        <f t="shared" si="46"/>
        <v>-345693.19114027865</v>
      </c>
      <c r="J76" s="32">
        <f t="shared" si="47"/>
        <v>-434515</v>
      </c>
      <c r="K76" s="76">
        <f t="shared" si="48"/>
        <v>99.51</v>
      </c>
      <c r="L76" s="31">
        <f t="shared" si="49"/>
        <v>-102500</v>
      </c>
      <c r="M76" s="32">
        <f t="shared" si="50"/>
        <v>-197832.89022222228</v>
      </c>
      <c r="N76" s="82">
        <f t="shared" si="51"/>
        <v>48928.436465444305</v>
      </c>
      <c r="O76" s="82"/>
      <c r="P76" s="82"/>
      <c r="Q76" s="82">
        <f>$G$5*SUM($O$14:O76)-$H$5*SUM($P$14:P76)</f>
        <v>-42369.391500000027</v>
      </c>
      <c r="R76" s="82">
        <f t="shared" si="12"/>
        <v>6559.0449654442782</v>
      </c>
      <c r="S76" s="162"/>
      <c r="U76" s="75">
        <v>45861.625</v>
      </c>
      <c r="V76" s="54">
        <v>94.21</v>
      </c>
      <c r="W76" s="75">
        <v>45859.625</v>
      </c>
      <c r="X76" s="54">
        <v>101.45</v>
      </c>
      <c r="Y76" s="125">
        <v>45866.625</v>
      </c>
      <c r="Z76" s="54">
        <v>120.25</v>
      </c>
      <c r="AG76" s="75"/>
      <c r="AI76" s="75"/>
      <c r="AK76" s="75"/>
      <c r="AM76" s="75"/>
      <c r="AO76" s="75"/>
      <c r="AQ76" s="75"/>
      <c r="BE76" s="75">
        <v>45860.625</v>
      </c>
      <c r="BF76" s="54">
        <v>80.5</v>
      </c>
      <c r="BI76" s="75">
        <v>45860.625</v>
      </c>
      <c r="BJ76" s="54">
        <v>108.97</v>
      </c>
    </row>
    <row r="77" spans="1:62" x14ac:dyDescent="0.3">
      <c r="A77" s="161">
        <v>45933.625</v>
      </c>
      <c r="B77" s="76">
        <f t="shared" si="39"/>
        <v>92.6</v>
      </c>
      <c r="C77" s="31">
        <f t="shared" si="40"/>
        <v>-346112.88604899094</v>
      </c>
      <c r="D77" s="32">
        <f t="shared" si="41"/>
        <v>-255562.49999999997</v>
      </c>
      <c r="E77" s="76">
        <f t="shared" si="42"/>
        <v>100.893</v>
      </c>
      <c r="F77" s="31">
        <f t="shared" si="43"/>
        <v>-69599.999999999796</v>
      </c>
      <c r="G77" s="32">
        <f t="shared" si="44"/>
        <v>-90987.224499999938</v>
      </c>
      <c r="H77" s="76">
        <f t="shared" si="45"/>
        <v>120.97</v>
      </c>
      <c r="I77" s="31">
        <f t="shared" si="46"/>
        <v>-328055.78342904407</v>
      </c>
      <c r="J77" s="32">
        <f t="shared" si="47"/>
        <v>-439567.49999999994</v>
      </c>
      <c r="K77" s="76">
        <f t="shared" si="48"/>
        <v>99.492999999999995</v>
      </c>
      <c r="L77" s="31">
        <f t="shared" si="49"/>
        <v>-109470.00000000415</v>
      </c>
      <c r="M77" s="32">
        <f t="shared" si="50"/>
        <v>-200133.27266666657</v>
      </c>
      <c r="N77" s="82">
        <f t="shared" si="51"/>
        <v>16931.849213382142</v>
      </c>
      <c r="O77" s="82"/>
      <c r="P77" s="82"/>
      <c r="Q77" s="82">
        <f>$G$5*SUM($O$14:O77)-$H$5*SUM($P$14:P77)</f>
        <v>-42369.391500000027</v>
      </c>
      <c r="R77" s="82">
        <f t="shared" si="12"/>
        <v>-25437.542286617885</v>
      </c>
      <c r="S77" s="162"/>
      <c r="U77" s="75">
        <v>45862.625</v>
      </c>
      <c r="V77" s="54">
        <v>94.34</v>
      </c>
      <c r="W77" s="75">
        <v>45860.625</v>
      </c>
      <c r="X77" s="54">
        <v>101.5</v>
      </c>
      <c r="Y77" s="125">
        <v>45867.625</v>
      </c>
      <c r="Z77" s="54">
        <v>120.32</v>
      </c>
      <c r="AG77" s="75"/>
      <c r="AI77" s="75"/>
      <c r="AK77" s="75"/>
      <c r="AM77" s="75"/>
      <c r="AO77" s="75"/>
      <c r="AQ77" s="75"/>
      <c r="BE77" s="75">
        <v>45861.625</v>
      </c>
      <c r="BF77" s="54">
        <v>80.540000000000006</v>
      </c>
      <c r="BI77" s="75">
        <v>45861.625</v>
      </c>
      <c r="BJ77" s="54">
        <v>108.8</v>
      </c>
    </row>
    <row r="78" spans="1:62" x14ac:dyDescent="0.3">
      <c r="A78" s="161">
        <v>45936.625</v>
      </c>
      <c r="B78" s="76">
        <f t="shared" si="39"/>
        <v>92.49</v>
      </c>
      <c r="C78" s="31">
        <f t="shared" si="40"/>
        <v>-375399.36102236604</v>
      </c>
      <c r="D78" s="32">
        <f t="shared" si="41"/>
        <v>-264375</v>
      </c>
      <c r="E78" s="76">
        <f t="shared" si="42"/>
        <v>100.928</v>
      </c>
      <c r="F78" s="31">
        <f t="shared" si="43"/>
        <v>-62600.000000000473</v>
      </c>
      <c r="G78" s="32">
        <f t="shared" si="44"/>
        <v>-94124.714999999997</v>
      </c>
      <c r="H78" s="76">
        <f t="shared" si="45"/>
        <v>120.96</v>
      </c>
      <c r="I78" s="31">
        <f t="shared" si="46"/>
        <v>-331583.26497129101</v>
      </c>
      <c r="J78" s="32">
        <f t="shared" si="47"/>
        <v>-454725</v>
      </c>
      <c r="K78" s="76">
        <f t="shared" si="48"/>
        <v>99.536000000000001</v>
      </c>
      <c r="L78" s="31">
        <f t="shared" si="49"/>
        <v>-91840.000000001543</v>
      </c>
      <c r="M78" s="32">
        <f t="shared" si="50"/>
        <v>-207034.41999999998</v>
      </c>
      <c r="N78" s="82">
        <f t="shared" si="51"/>
        <v>4384.1989489239349</v>
      </c>
      <c r="O78" s="82"/>
      <c r="P78" s="82"/>
      <c r="Q78" s="82">
        <f>$G$5*SUM($O$14:O78)-$H$5*SUM($P$14:P78)</f>
        <v>-42369.391500000027</v>
      </c>
      <c r="R78" s="82">
        <f t="shared" si="12"/>
        <v>-37985.192551076092</v>
      </c>
      <c r="S78" s="162"/>
      <c r="U78" s="75">
        <v>45863.625</v>
      </c>
      <c r="V78" s="54">
        <v>94.27</v>
      </c>
      <c r="W78" s="75">
        <v>45861.625</v>
      </c>
      <c r="X78" s="54">
        <v>101.505</v>
      </c>
      <c r="Y78" s="125">
        <v>45868.625</v>
      </c>
      <c r="Z78" s="54">
        <v>120.21</v>
      </c>
      <c r="AG78" s="75"/>
      <c r="AI78" s="75"/>
      <c r="AK78" s="75"/>
      <c r="AM78" s="75"/>
      <c r="AO78" s="75"/>
      <c r="AQ78" s="75"/>
      <c r="BE78" s="75">
        <v>45862.625</v>
      </c>
      <c r="BF78" s="54">
        <v>80.44</v>
      </c>
      <c r="BI78" s="75">
        <v>45862.625</v>
      </c>
      <c r="BJ78" s="54">
        <v>108.64</v>
      </c>
    </row>
    <row r="79" spans="1:62" x14ac:dyDescent="0.3">
      <c r="A79" s="161">
        <v>45937.625</v>
      </c>
      <c r="B79" s="76">
        <f t="shared" si="39"/>
        <v>92.19</v>
      </c>
      <c r="C79" s="31">
        <f t="shared" si="40"/>
        <v>-455271.56549521053</v>
      </c>
      <c r="D79" s="32">
        <f t="shared" si="41"/>
        <v>-267312.5</v>
      </c>
      <c r="E79" s="76">
        <f t="shared" si="42"/>
        <v>100.908</v>
      </c>
      <c r="F79" s="31">
        <f t="shared" si="43"/>
        <v>-66599.99999999968</v>
      </c>
      <c r="G79" s="32">
        <f t="shared" si="44"/>
        <v>-95170.545166666663</v>
      </c>
      <c r="H79" s="76">
        <f t="shared" si="45"/>
        <v>120.93</v>
      </c>
      <c r="I79" s="31">
        <f t="shared" si="46"/>
        <v>-342165.70959803171</v>
      </c>
      <c r="J79" s="32">
        <f t="shared" si="47"/>
        <v>-459777.49999999994</v>
      </c>
      <c r="K79" s="76">
        <f t="shared" si="48"/>
        <v>99.483000000000004</v>
      </c>
      <c r="L79" s="31">
        <f t="shared" si="49"/>
        <v>-113570.00000000042</v>
      </c>
      <c r="M79" s="32">
        <f t="shared" si="50"/>
        <v>-209334.80244444442</v>
      </c>
      <c r="N79" s="82">
        <f t="shared" si="51"/>
        <v>-81775.113174957383</v>
      </c>
      <c r="O79" s="82"/>
      <c r="P79" s="82"/>
      <c r="Q79" s="82">
        <f>$G$5*SUM($O$14:O79)-$H$5*SUM($P$14:P79)</f>
        <v>-42369.391500000027</v>
      </c>
      <c r="R79" s="82">
        <f t="shared" ref="R79:R86" si="65">N79+Q79</f>
        <v>-124144.50467495741</v>
      </c>
      <c r="S79" s="162"/>
      <c r="U79" s="75">
        <v>45866.625</v>
      </c>
      <c r="V79" s="54">
        <v>94.37</v>
      </c>
      <c r="W79" s="75">
        <v>45862.625</v>
      </c>
      <c r="X79" s="54">
        <v>101.15300000000001</v>
      </c>
      <c r="Y79" s="125">
        <v>45869.625</v>
      </c>
      <c r="Z79" s="54">
        <v>120.26</v>
      </c>
      <c r="AG79" s="75"/>
      <c r="AI79" s="75"/>
      <c r="AK79" s="75"/>
      <c r="AM79" s="75"/>
      <c r="AO79" s="75"/>
      <c r="AQ79" s="75"/>
      <c r="BE79" s="75">
        <v>45863.625</v>
      </c>
      <c r="BF79" s="54">
        <v>80.489999999999995</v>
      </c>
      <c r="BI79" s="75">
        <v>45863.625</v>
      </c>
      <c r="BJ79" s="54">
        <v>108.99</v>
      </c>
    </row>
    <row r="80" spans="1:62" x14ac:dyDescent="0.3">
      <c r="A80" s="161">
        <v>45938.625</v>
      </c>
      <c r="B80" s="76">
        <f t="shared" si="39"/>
        <v>92.12</v>
      </c>
      <c r="C80" s="31">
        <f t="shared" si="40"/>
        <v>-473908.41320553713</v>
      </c>
      <c r="D80" s="32">
        <f t="shared" si="41"/>
        <v>-270249.99999999994</v>
      </c>
      <c r="E80" s="76">
        <f t="shared" si="42"/>
        <v>100.99299999999999</v>
      </c>
      <c r="F80" s="31">
        <f t="shared" si="43"/>
        <v>-49600.000000000931</v>
      </c>
      <c r="G80" s="32">
        <f t="shared" si="44"/>
        <v>-96216.375333333301</v>
      </c>
      <c r="H80" s="76">
        <f t="shared" si="45"/>
        <v>121.12</v>
      </c>
      <c r="I80" s="31">
        <f t="shared" si="46"/>
        <v>-275143.56029532605</v>
      </c>
      <c r="J80" s="32">
        <f t="shared" si="47"/>
        <v>-464829.99999999994</v>
      </c>
      <c r="K80" s="76">
        <f t="shared" si="48"/>
        <v>99.673000000000002</v>
      </c>
      <c r="L80" s="31">
        <f t="shared" si="49"/>
        <v>-35670.000000001353</v>
      </c>
      <c r="M80" s="32">
        <f t="shared" si="50"/>
        <v>-211635.18488888885</v>
      </c>
      <c r="N80" s="82">
        <f t="shared" si="51"/>
        <v>-105673.66246576702</v>
      </c>
      <c r="O80" s="82"/>
      <c r="P80" s="82"/>
      <c r="Q80" s="82">
        <f>$G$5*SUM($O$14:O80)-$H$5*SUM($P$14:P80)</f>
        <v>-42369.391500000027</v>
      </c>
      <c r="R80" s="82">
        <f t="shared" si="65"/>
        <v>-148043.05396576703</v>
      </c>
      <c r="S80" s="162"/>
      <c r="U80" s="75">
        <v>45867.625</v>
      </c>
      <c r="V80" s="54">
        <v>94.46</v>
      </c>
      <c r="W80" s="75">
        <v>45863.625</v>
      </c>
      <c r="X80" s="54">
        <v>101.054</v>
      </c>
      <c r="Y80" s="125">
        <v>45870.625</v>
      </c>
      <c r="Z80" s="54">
        <v>120.22</v>
      </c>
      <c r="AG80" s="75"/>
      <c r="AI80" s="75"/>
      <c r="AK80" s="75"/>
      <c r="AM80" s="75"/>
      <c r="AO80" s="75"/>
      <c r="AQ80" s="75"/>
      <c r="BE80" s="75">
        <v>45866.625</v>
      </c>
      <c r="BF80" s="54">
        <v>80.45</v>
      </c>
      <c r="BI80" s="75">
        <v>45866.625</v>
      </c>
      <c r="BJ80" s="54">
        <v>108.77</v>
      </c>
    </row>
    <row r="81" spans="1:62" x14ac:dyDescent="0.3">
      <c r="A81" s="161">
        <v>45939.625</v>
      </c>
      <c r="B81" s="76">
        <f t="shared" si="39"/>
        <v>92</v>
      </c>
      <c r="C81" s="31">
        <f t="shared" si="40"/>
        <v>-505857.29499467713</v>
      </c>
      <c r="D81" s="32">
        <f t="shared" si="41"/>
        <v>-273187.5</v>
      </c>
      <c r="E81" s="76">
        <f t="shared" si="42"/>
        <v>100.934</v>
      </c>
      <c r="F81" s="31">
        <f t="shared" si="43"/>
        <v>-61400.000000000429</v>
      </c>
      <c r="G81" s="32">
        <f t="shared" si="44"/>
        <v>-97262.205499999996</v>
      </c>
      <c r="H81" s="76">
        <f t="shared" si="45"/>
        <v>120.99</v>
      </c>
      <c r="I81" s="31">
        <f t="shared" si="46"/>
        <v>-321000.82034455024</v>
      </c>
      <c r="J81" s="32">
        <f t="shared" si="47"/>
        <v>-469882.5</v>
      </c>
      <c r="K81" s="76">
        <f t="shared" si="48"/>
        <v>99.552999999999997</v>
      </c>
      <c r="L81" s="31">
        <f t="shared" si="49"/>
        <v>-84870.000000003216</v>
      </c>
      <c r="M81" s="32">
        <f t="shared" si="50"/>
        <v>-213935.56733333337</v>
      </c>
      <c r="N81" s="82">
        <f t="shared" si="51"/>
        <v>-128304.83648346302</v>
      </c>
      <c r="O81" s="82"/>
      <c r="P81" s="82"/>
      <c r="Q81" s="82">
        <f>$G$5*SUM($O$14:O81)-$H$5*SUM($P$14:P81)</f>
        <v>-42369.391500000027</v>
      </c>
      <c r="R81" s="82">
        <f t="shared" si="65"/>
        <v>-170674.22798346303</v>
      </c>
      <c r="S81" s="162"/>
      <c r="U81" s="75">
        <v>45868.625</v>
      </c>
      <c r="V81" s="54">
        <v>94.48</v>
      </c>
      <c r="W81" s="75">
        <v>45866.625</v>
      </c>
      <c r="X81" s="54">
        <v>101.17</v>
      </c>
      <c r="Y81" s="125">
        <v>45873.625</v>
      </c>
      <c r="Z81" s="54">
        <v>120.41</v>
      </c>
      <c r="AG81" s="75"/>
      <c r="AI81" s="75"/>
      <c r="AK81" s="75"/>
      <c r="AM81" s="75"/>
      <c r="AO81" s="75"/>
      <c r="AQ81" s="75"/>
      <c r="BE81" s="75">
        <v>45867.625</v>
      </c>
      <c r="BF81" s="54">
        <v>80.5</v>
      </c>
      <c r="BI81" s="75">
        <v>45867.625</v>
      </c>
      <c r="BJ81" s="54">
        <v>109.49</v>
      </c>
    </row>
    <row r="82" spans="1:62" x14ac:dyDescent="0.3">
      <c r="A82" s="161">
        <v>45940.625</v>
      </c>
      <c r="B82" s="76">
        <f t="shared" si="39"/>
        <v>91.78</v>
      </c>
      <c r="C82" s="31">
        <f t="shared" si="40"/>
        <v>-564430.24494142737</v>
      </c>
      <c r="D82" s="32">
        <f t="shared" si="41"/>
        <v>-276125</v>
      </c>
      <c r="E82" s="76">
        <f t="shared" si="42"/>
        <v>101.017</v>
      </c>
      <c r="F82" s="31">
        <f t="shared" si="43"/>
        <v>-44800.000000000749</v>
      </c>
      <c r="G82" s="32">
        <f t="shared" si="44"/>
        <v>-98308.035666666634</v>
      </c>
      <c r="H82" s="76">
        <f t="shared" si="45"/>
        <v>121</v>
      </c>
      <c r="I82" s="31">
        <f t="shared" si="46"/>
        <v>-317473.33880229853</v>
      </c>
      <c r="J82" s="32">
        <f t="shared" si="47"/>
        <v>-474934.99999999994</v>
      </c>
      <c r="K82" s="76">
        <f t="shared" si="48"/>
        <v>99.754000000000005</v>
      </c>
      <c r="L82" s="31">
        <f t="shared" si="49"/>
        <v>-2460.0000000000932</v>
      </c>
      <c r="M82" s="32">
        <f t="shared" si="50"/>
        <v>-216235.94977777774</v>
      </c>
      <c r="N82" s="82">
        <f t="shared" si="51"/>
        <v>-123734.82025023934</v>
      </c>
      <c r="O82" s="82"/>
      <c r="P82" s="82"/>
      <c r="Q82" s="82">
        <f>$G$5*SUM($O$14:O82)-$H$5*SUM($P$14:P82)</f>
        <v>-42369.391500000027</v>
      </c>
      <c r="R82" s="82">
        <f t="shared" si="65"/>
        <v>-166104.21175023937</v>
      </c>
      <c r="S82" s="162"/>
      <c r="U82" s="75">
        <v>45869.625</v>
      </c>
      <c r="V82" s="54">
        <v>94.45</v>
      </c>
      <c r="W82" s="75">
        <v>45867.625</v>
      </c>
      <c r="X82" s="54">
        <v>101.105</v>
      </c>
      <c r="Y82" s="125">
        <v>45874.625</v>
      </c>
      <c r="Z82" s="54">
        <v>120.52</v>
      </c>
      <c r="AG82" s="75"/>
      <c r="AI82" s="75"/>
      <c r="AK82" s="75"/>
      <c r="AM82" s="75"/>
      <c r="AO82" s="75"/>
      <c r="AQ82" s="75"/>
      <c r="BE82" s="75">
        <v>45868.625</v>
      </c>
      <c r="BF82" s="54">
        <v>80.33</v>
      </c>
      <c r="BI82" s="75">
        <v>45868.625</v>
      </c>
      <c r="BJ82" s="54">
        <v>109.08</v>
      </c>
    </row>
    <row r="83" spans="1:62" x14ac:dyDescent="0.3">
      <c r="A83" s="161">
        <v>45943.625</v>
      </c>
      <c r="B83" s="76">
        <f t="shared" si="39"/>
        <v>91.79</v>
      </c>
      <c r="C83" s="31">
        <f t="shared" si="40"/>
        <v>-561767.83812566521</v>
      </c>
      <c r="D83" s="32">
        <f t="shared" si="41"/>
        <v>-284937.49999999994</v>
      </c>
      <c r="E83" s="76">
        <f t="shared" si="42"/>
        <v>101.122</v>
      </c>
      <c r="F83" s="31">
        <f t="shared" si="43"/>
        <v>-23799.999999999953</v>
      </c>
      <c r="G83" s="32">
        <f t="shared" si="44"/>
        <v>-101445.52616666663</v>
      </c>
      <c r="H83" s="76">
        <f t="shared" si="45"/>
        <v>121.1</v>
      </c>
      <c r="I83" s="31">
        <f t="shared" si="46"/>
        <v>-282198.52337982465</v>
      </c>
      <c r="J83" s="32">
        <f t="shared" si="47"/>
        <v>-490092.49999999988</v>
      </c>
      <c r="K83" s="76">
        <f t="shared" si="48"/>
        <v>99.923000000000002</v>
      </c>
      <c r="L83" s="31">
        <f t="shared" si="49"/>
        <v>66829.999999998647</v>
      </c>
      <c r="M83" s="32">
        <f t="shared" si="50"/>
        <v>-223137.09711111104</v>
      </c>
      <c r="N83" s="82">
        <f t="shared" si="51"/>
        <v>-105475.88569028642</v>
      </c>
      <c r="O83" s="82"/>
      <c r="P83" s="82"/>
      <c r="Q83" s="82">
        <f>$G$5*SUM($O$14:O83)-$H$5*SUM($P$14:P83)</f>
        <v>-42369.391500000027</v>
      </c>
      <c r="R83" s="82">
        <f t="shared" si="65"/>
        <v>-147845.27719028643</v>
      </c>
      <c r="S83" s="162"/>
      <c r="U83" s="75">
        <v>45870.625</v>
      </c>
      <c r="V83" s="54">
        <v>94.32</v>
      </c>
      <c r="W83" s="75">
        <v>45868.625</v>
      </c>
      <c r="X83" s="54">
        <v>101.048</v>
      </c>
      <c r="Y83" s="125">
        <v>45875.625</v>
      </c>
      <c r="Z83" s="54">
        <v>120.41</v>
      </c>
      <c r="AM83" s="75"/>
      <c r="AO83" s="75"/>
      <c r="AQ83" s="75"/>
      <c r="BE83" s="75">
        <v>45869.625</v>
      </c>
      <c r="BF83" s="54">
        <v>80.38</v>
      </c>
      <c r="BI83" s="75">
        <v>45869.625</v>
      </c>
      <c r="BJ83" s="54">
        <v>109.11</v>
      </c>
    </row>
    <row r="84" spans="1:62" x14ac:dyDescent="0.3">
      <c r="A84" s="161">
        <v>45944.625</v>
      </c>
      <c r="B84" s="76">
        <f t="shared" si="39"/>
        <v>91.85</v>
      </c>
      <c r="C84" s="31">
        <f t="shared" si="40"/>
        <v>-545793.39723110071</v>
      </c>
      <c r="D84" s="32">
        <f t="shared" si="41"/>
        <v>-287874.99999999994</v>
      </c>
      <c r="E84" s="76">
        <f t="shared" si="42"/>
        <v>101.13800000000001</v>
      </c>
      <c r="F84" s="31">
        <f t="shared" si="43"/>
        <v>-20599.999999998887</v>
      </c>
      <c r="G84" s="32">
        <f t="shared" si="44"/>
        <v>-102491.35633333327</v>
      </c>
      <c r="H84" s="76">
        <f t="shared" si="45"/>
        <v>121.2</v>
      </c>
      <c r="I84" s="31">
        <f t="shared" si="46"/>
        <v>-246923.70795734119</v>
      </c>
      <c r="J84" s="32">
        <f t="shared" si="47"/>
        <v>-495144.99999999988</v>
      </c>
      <c r="K84" s="76">
        <f t="shared" si="48"/>
        <v>99.977999999999994</v>
      </c>
      <c r="L84" s="31">
        <f t="shared" si="49"/>
        <v>89379.999999995605</v>
      </c>
      <c r="M84" s="32">
        <f t="shared" si="50"/>
        <v>-225437.47955555547</v>
      </c>
      <c r="N84" s="82">
        <f t="shared" si="51"/>
        <v>-104565.81249598722</v>
      </c>
      <c r="O84" s="82"/>
      <c r="P84" s="82"/>
      <c r="Q84" s="82">
        <f>$G$5*SUM($O$14:O84)-$H$5*SUM($P$14:P84)</f>
        <v>-42369.391500000027</v>
      </c>
      <c r="R84" s="82">
        <f t="shared" si="65"/>
        <v>-146935.20399598725</v>
      </c>
      <c r="S84" s="162"/>
      <c r="U84" s="75">
        <v>45873.625</v>
      </c>
      <c r="V84" s="54">
        <v>94.38</v>
      </c>
      <c r="W84" s="75">
        <v>45869.625</v>
      </c>
      <c r="X84" s="54">
        <v>101.02200000000001</v>
      </c>
      <c r="Y84" s="125">
        <v>45876.625</v>
      </c>
      <c r="Z84" s="54">
        <v>120.52</v>
      </c>
      <c r="AM84" s="75"/>
      <c r="AO84" s="75"/>
      <c r="BE84" s="75">
        <v>45870.625</v>
      </c>
      <c r="BF84" s="54">
        <v>79.98</v>
      </c>
      <c r="BI84" s="75">
        <v>45870.625</v>
      </c>
      <c r="BJ84" s="54">
        <v>109.63</v>
      </c>
    </row>
    <row r="85" spans="1:62" x14ac:dyDescent="0.3">
      <c r="A85" s="161">
        <v>45945.625</v>
      </c>
      <c r="B85" s="76">
        <f t="shared" si="39"/>
        <v>92.38</v>
      </c>
      <c r="C85" s="31">
        <f t="shared" si="40"/>
        <v>-404685.83599574392</v>
      </c>
      <c r="D85" s="32">
        <f t="shared" si="41"/>
        <v>-290812.5</v>
      </c>
      <c r="E85" s="76">
        <f t="shared" si="42"/>
        <v>101.23699999999999</v>
      </c>
      <c r="F85" s="31">
        <f t="shared" si="43"/>
        <v>-800.00000000097771</v>
      </c>
      <c r="G85" s="32">
        <f t="shared" si="44"/>
        <v>-103537.18649999995</v>
      </c>
      <c r="H85" s="76">
        <f t="shared" si="45"/>
        <v>121.62</v>
      </c>
      <c r="I85" s="31">
        <f t="shared" si="46"/>
        <v>-98769.483182937431</v>
      </c>
      <c r="J85" s="32">
        <f t="shared" si="47"/>
        <v>-500197.5</v>
      </c>
      <c r="K85" s="76">
        <f t="shared" si="48"/>
        <v>100.18899999999999</v>
      </c>
      <c r="L85" s="31">
        <f t="shared" si="49"/>
        <v>175889.99999999499</v>
      </c>
      <c r="M85" s="32">
        <f t="shared" si="50"/>
        <v>-227737.86200000002</v>
      </c>
      <c r="N85" s="82">
        <f t="shared" si="51"/>
        <v>-44042.028312810697</v>
      </c>
      <c r="O85" s="82"/>
      <c r="P85" s="82"/>
      <c r="Q85" s="82">
        <f>$G$5*SUM($O$14:O85)-$H$5*SUM($P$14:P85)</f>
        <v>-42369.391500000027</v>
      </c>
      <c r="R85" s="82">
        <f t="shared" si="65"/>
        <v>-86411.419812810724</v>
      </c>
      <c r="S85" s="162"/>
      <c r="U85" s="75">
        <v>45874.625</v>
      </c>
      <c r="V85" s="54">
        <v>94.45</v>
      </c>
      <c r="W85" s="75">
        <v>45870.625</v>
      </c>
      <c r="X85" s="54">
        <v>101.155</v>
      </c>
      <c r="Y85" s="125">
        <v>45877.625</v>
      </c>
      <c r="Z85" s="54">
        <v>120.29</v>
      </c>
      <c r="AM85" s="75"/>
      <c r="AO85" s="75"/>
      <c r="BE85" s="75">
        <v>45873.625</v>
      </c>
      <c r="BF85" s="54">
        <v>80.25</v>
      </c>
      <c r="BI85" s="75">
        <v>45873.625</v>
      </c>
      <c r="BJ85" s="54">
        <v>109.82</v>
      </c>
    </row>
    <row r="86" spans="1:62" x14ac:dyDescent="0.3">
      <c r="A86" s="161">
        <v>45946.625</v>
      </c>
      <c r="B86" s="76">
        <f t="shared" ref="B86" si="66">VLOOKUP($A86+$I$2,U$3:V$500,2)</f>
        <v>92.23</v>
      </c>
      <c r="C86" s="31">
        <f t="shared" ref="C86" si="67">(B86/$B$14-1)*$B$5</f>
        <v>-444621.93823216198</v>
      </c>
      <c r="D86" s="32">
        <f t="shared" ref="D86" si="68">-1*(A86-$A$14)/360*$B$7*$B$5</f>
        <v>-293750</v>
      </c>
      <c r="E86" s="76">
        <f t="shared" ref="E86" si="69">VLOOKUP($A86+$I$2,W$3:X$500,2)</f>
        <v>101.221</v>
      </c>
      <c r="F86" s="31">
        <f t="shared" ref="F86" si="70">(E86-$E$14)/100*$C$5</f>
        <v>-3999.9999999992042</v>
      </c>
      <c r="G86" s="32">
        <f t="shared" ref="G86" si="71">(A86-$A$14)/360*$C$6*$C$5-(A86-$A$14)/360*$C$7*$C$5*$E$14/100</f>
        <v>-104583.01666666666</v>
      </c>
      <c r="H86" s="76">
        <f t="shared" ref="H86" si="72">VLOOKUP($A86+$I$2,Y$3:Z$500,2)</f>
        <v>121.6</v>
      </c>
      <c r="I86" s="31">
        <f t="shared" ref="I86" si="73">(H86/$H$14-1)*$D$5</f>
        <v>-105824.44626743604</v>
      </c>
      <c r="J86" s="32">
        <f t="shared" ref="J86" si="74">-1*(A86-$A$14)/360*$D$7*$D$5</f>
        <v>-505250</v>
      </c>
      <c r="K86" s="76">
        <f t="shared" ref="K86" si="75">VLOOKUP($A86+$I$2,AA$3:AB$500,2)</f>
        <v>100.14700000000001</v>
      </c>
      <c r="L86" s="31">
        <f t="shared" ref="L86" si="76">(K86-$K$14)/100*$E$5</f>
        <v>158670.00000000017</v>
      </c>
      <c r="M86" s="32">
        <f t="shared" ref="M86" si="77">(A86-$A$14)/360*$E$6*$E$5-(A86-$A$14)/360*$E$7*$E$5*$K$14/100</f>
        <v>-230038.24444444443</v>
      </c>
      <c r="N86" s="82">
        <f t="shared" ref="N86" si="78">C86+D86-F86-G86-I86-J86+L86+M86</f>
        <v>-90082.719742504356</v>
      </c>
      <c r="O86" s="82"/>
      <c r="P86" s="82"/>
      <c r="Q86" s="82">
        <f>$G$5*SUM($O$14:O86)-$H$5*SUM($P$14:P86)</f>
        <v>-42369.391500000027</v>
      </c>
      <c r="R86" s="82">
        <f t="shared" si="65"/>
        <v>-132452.11124250438</v>
      </c>
      <c r="S86" s="162"/>
      <c r="U86" s="75">
        <v>45875.625</v>
      </c>
      <c r="V86" s="54">
        <v>94.47</v>
      </c>
      <c r="W86" s="75">
        <v>45873.625</v>
      </c>
      <c r="X86" s="54">
        <v>101.214</v>
      </c>
      <c r="Y86" s="125">
        <v>45880.625</v>
      </c>
      <c r="Z86" s="54">
        <v>120.27</v>
      </c>
      <c r="AM86" s="75"/>
      <c r="AO86" s="75"/>
      <c r="BE86" s="75">
        <v>45874.625</v>
      </c>
      <c r="BF86" s="54">
        <v>80.209999999999994</v>
      </c>
      <c r="BI86" s="75">
        <v>45874.625</v>
      </c>
      <c r="BJ86" s="54">
        <v>109.9</v>
      </c>
    </row>
    <row r="87" spans="1:62" x14ac:dyDescent="0.3">
      <c r="U87" s="75">
        <v>45876.625</v>
      </c>
      <c r="V87" s="54">
        <v>94.64</v>
      </c>
      <c r="W87" s="75">
        <v>45874.625</v>
      </c>
      <c r="X87" s="54">
        <v>101.217</v>
      </c>
      <c r="Y87" s="125">
        <v>45881.625</v>
      </c>
      <c r="Z87" s="54">
        <v>120.15</v>
      </c>
      <c r="AM87" s="75"/>
      <c r="AO87" s="75"/>
      <c r="BE87" s="75">
        <v>45875.625</v>
      </c>
      <c r="BF87" s="54">
        <v>80.290000000000006</v>
      </c>
      <c r="BI87" s="75">
        <v>45875.625</v>
      </c>
      <c r="BJ87" s="54">
        <v>109.87</v>
      </c>
    </row>
    <row r="88" spans="1:62" x14ac:dyDescent="0.3">
      <c r="U88" s="75">
        <v>45877.625</v>
      </c>
      <c r="V88" s="54">
        <v>94.67</v>
      </c>
      <c r="W88" s="75">
        <v>45875.625</v>
      </c>
      <c r="X88" s="54">
        <v>101.197</v>
      </c>
      <c r="Y88" s="125">
        <v>45882.625</v>
      </c>
      <c r="Z88" s="54">
        <v>120.52</v>
      </c>
      <c r="AM88" s="75"/>
      <c r="AO88" s="75"/>
      <c r="BE88" s="75">
        <v>45876.625</v>
      </c>
      <c r="BF88" s="54">
        <v>80.209999999999994</v>
      </c>
      <c r="BI88" s="75">
        <v>45876.625</v>
      </c>
      <c r="BJ88" s="54">
        <v>109.76</v>
      </c>
    </row>
    <row r="89" spans="1:62" x14ac:dyDescent="0.3">
      <c r="U89" s="75">
        <v>45880.625</v>
      </c>
      <c r="V89" s="54">
        <v>94.66</v>
      </c>
      <c r="W89" s="75">
        <v>45876.625</v>
      </c>
      <c r="X89" s="54">
        <v>101.16500000000001</v>
      </c>
      <c r="Y89" s="125">
        <v>45883.625</v>
      </c>
      <c r="Z89" s="54">
        <v>120.46</v>
      </c>
      <c r="AM89" s="75"/>
      <c r="AO89" s="75"/>
      <c r="BE89" s="75">
        <v>45877.625</v>
      </c>
      <c r="BF89" s="54">
        <v>80.22</v>
      </c>
      <c r="BI89" s="75">
        <v>45877.625</v>
      </c>
      <c r="BJ89" s="54">
        <v>109.41</v>
      </c>
    </row>
    <row r="90" spans="1:62" x14ac:dyDescent="0.3">
      <c r="U90" s="75">
        <v>45881.625</v>
      </c>
      <c r="V90" s="54">
        <v>94.75</v>
      </c>
      <c r="W90" s="75">
        <v>45877.625</v>
      </c>
      <c r="X90" s="54">
        <v>101.039</v>
      </c>
      <c r="Y90" s="125">
        <v>45887.625</v>
      </c>
      <c r="Z90" s="54">
        <v>120.14</v>
      </c>
      <c r="AM90" s="75"/>
      <c r="AO90" s="75"/>
      <c r="BE90" s="75">
        <v>45880.625</v>
      </c>
      <c r="BF90" s="54">
        <v>80.22</v>
      </c>
      <c r="BI90" s="75">
        <v>45880.625</v>
      </c>
      <c r="BJ90" s="54">
        <v>109.58499999999999</v>
      </c>
    </row>
    <row r="91" spans="1:62" x14ac:dyDescent="0.3">
      <c r="U91" s="75">
        <v>45882.625</v>
      </c>
      <c r="V91" s="54">
        <v>94.88</v>
      </c>
      <c r="W91" s="75">
        <v>45880.625</v>
      </c>
      <c r="X91" s="54">
        <v>101.004</v>
      </c>
      <c r="Y91" s="125">
        <v>45888.625</v>
      </c>
      <c r="Z91" s="54">
        <v>120.27</v>
      </c>
      <c r="AM91" s="75"/>
      <c r="BE91" s="75">
        <v>45881.625</v>
      </c>
      <c r="BF91" s="54">
        <v>80.400000000000006</v>
      </c>
      <c r="BI91" s="75">
        <v>45881.625</v>
      </c>
      <c r="BJ91" s="54">
        <v>109.68</v>
      </c>
    </row>
    <row r="92" spans="1:62" x14ac:dyDescent="0.3">
      <c r="U92" s="75">
        <v>45883.625</v>
      </c>
      <c r="V92" s="54">
        <v>94.94</v>
      </c>
      <c r="W92" s="75">
        <v>45881.625</v>
      </c>
      <c r="X92" s="54">
        <v>100.947</v>
      </c>
      <c r="Y92" s="125">
        <v>45889.625</v>
      </c>
      <c r="Z92" s="54">
        <v>120.39</v>
      </c>
      <c r="AM92" s="75"/>
      <c r="BE92" s="75">
        <v>45882.625</v>
      </c>
      <c r="BF92" s="54">
        <v>80.61</v>
      </c>
      <c r="BI92" s="75">
        <v>45882.625</v>
      </c>
      <c r="BJ92" s="54">
        <v>110.26</v>
      </c>
    </row>
    <row r="93" spans="1:62" x14ac:dyDescent="0.3">
      <c r="U93" s="75">
        <v>45884.625</v>
      </c>
      <c r="V93" s="54">
        <v>94.87</v>
      </c>
      <c r="W93" s="75">
        <v>45882.625</v>
      </c>
      <c r="X93" s="54">
        <v>101.11799999999999</v>
      </c>
      <c r="Y93" s="125">
        <v>45890.625</v>
      </c>
      <c r="Z93" s="54">
        <v>120.12</v>
      </c>
      <c r="AM93" s="75"/>
      <c r="BE93" s="75">
        <v>45883.625</v>
      </c>
      <c r="BF93" s="54">
        <v>80.400000000000006</v>
      </c>
      <c r="BI93" s="75">
        <v>45883.625</v>
      </c>
      <c r="BJ93" s="54">
        <v>109.88</v>
      </c>
    </row>
    <row r="94" spans="1:62" x14ac:dyDescent="0.3">
      <c r="U94" s="75">
        <v>45887.625</v>
      </c>
      <c r="V94" s="54">
        <v>94.83</v>
      </c>
      <c r="W94" s="75">
        <v>45883.625</v>
      </c>
      <c r="X94" s="54">
        <v>101.057</v>
      </c>
      <c r="Y94" s="125">
        <v>45891.625</v>
      </c>
      <c r="Z94" s="54">
        <v>120.28</v>
      </c>
      <c r="AM94" s="75"/>
      <c r="BE94" s="75">
        <v>45884.625</v>
      </c>
      <c r="BF94" s="54">
        <v>80.459999999999994</v>
      </c>
      <c r="BI94" s="75">
        <v>45884.625</v>
      </c>
      <c r="BJ94" s="54">
        <v>109.74</v>
      </c>
    </row>
    <row r="95" spans="1:62" x14ac:dyDescent="0.3">
      <c r="U95" s="75">
        <v>45888.625</v>
      </c>
      <c r="V95" s="54">
        <v>94.8</v>
      </c>
      <c r="W95" s="75">
        <v>45884.625</v>
      </c>
      <c r="X95" s="54">
        <v>100.946</v>
      </c>
      <c r="Y95" s="125">
        <v>45898.625</v>
      </c>
      <c r="Z95" s="54">
        <v>120.25</v>
      </c>
      <c r="BE95" s="75">
        <v>45887.625</v>
      </c>
      <c r="BF95" s="54">
        <v>80.400000000000006</v>
      </c>
      <c r="BI95" s="75">
        <v>45887.625</v>
      </c>
      <c r="BJ95" s="54">
        <v>109.54</v>
      </c>
    </row>
    <row r="96" spans="1:62" x14ac:dyDescent="0.3">
      <c r="U96" s="75">
        <v>45889.625</v>
      </c>
      <c r="V96" s="54">
        <v>94.64</v>
      </c>
      <c r="W96" s="75">
        <v>45887.625</v>
      </c>
      <c r="X96" s="54">
        <v>100.953</v>
      </c>
      <c r="Y96" s="125">
        <v>45901.625</v>
      </c>
      <c r="Z96" s="54">
        <v>120.1</v>
      </c>
      <c r="BE96" s="75">
        <v>45888.625</v>
      </c>
      <c r="BF96" s="54">
        <v>80.38</v>
      </c>
      <c r="BI96" s="75">
        <v>45888.625</v>
      </c>
      <c r="BJ96" s="54">
        <v>109.71</v>
      </c>
    </row>
    <row r="97" spans="21:62" x14ac:dyDescent="0.3">
      <c r="U97" s="75">
        <v>45890.625</v>
      </c>
      <c r="V97" s="54">
        <v>94.47</v>
      </c>
      <c r="W97" s="75">
        <v>45888.625</v>
      </c>
      <c r="X97" s="54">
        <v>100.99</v>
      </c>
      <c r="Y97" s="125">
        <v>45902.625</v>
      </c>
      <c r="Z97" s="54">
        <v>119.81</v>
      </c>
      <c r="BE97" s="75">
        <v>45889.625</v>
      </c>
      <c r="BF97" s="54">
        <v>80.349999999999994</v>
      </c>
      <c r="BI97" s="75">
        <v>45889.625</v>
      </c>
      <c r="BJ97" s="54">
        <v>109.76</v>
      </c>
    </row>
    <row r="98" spans="21:62" x14ac:dyDescent="0.3">
      <c r="U98" s="75">
        <v>45891.625</v>
      </c>
      <c r="V98" s="54">
        <v>94.76</v>
      </c>
      <c r="W98" s="75">
        <v>45889.625</v>
      </c>
      <c r="X98" s="54">
        <v>101.083</v>
      </c>
      <c r="Y98" s="125">
        <v>45903.625</v>
      </c>
      <c r="Z98" s="54">
        <v>120.08</v>
      </c>
      <c r="BE98" s="75">
        <v>45890.625</v>
      </c>
      <c r="BF98" s="54">
        <v>80.2</v>
      </c>
      <c r="BI98" s="75">
        <v>45890.625</v>
      </c>
      <c r="BJ98" s="54">
        <v>109.34</v>
      </c>
    </row>
    <row r="99" spans="21:62" x14ac:dyDescent="0.3">
      <c r="U99" s="75">
        <v>45895.625</v>
      </c>
      <c r="V99" s="54">
        <v>94.59</v>
      </c>
      <c r="W99" s="75">
        <v>45890.625</v>
      </c>
      <c r="X99" s="54">
        <v>100.955</v>
      </c>
      <c r="Y99" s="125">
        <v>45904.625</v>
      </c>
      <c r="Z99" s="54">
        <v>120.3</v>
      </c>
      <c r="BE99" s="75">
        <v>45891.625</v>
      </c>
      <c r="BF99" s="54">
        <v>80.849999999999994</v>
      </c>
      <c r="BI99" s="75">
        <v>45891.625</v>
      </c>
      <c r="BJ99" s="54">
        <v>110.2</v>
      </c>
    </row>
    <row r="100" spans="21:62" x14ac:dyDescent="0.3">
      <c r="U100" s="75">
        <v>45896.625</v>
      </c>
      <c r="V100" s="54">
        <v>94.56</v>
      </c>
      <c r="W100" s="75">
        <v>45891.625</v>
      </c>
      <c r="X100" s="54">
        <v>101.027</v>
      </c>
      <c r="Y100" s="125">
        <v>45905.625</v>
      </c>
      <c r="Z100" s="54">
        <v>120.64</v>
      </c>
      <c r="BE100" s="75">
        <v>45894.625</v>
      </c>
      <c r="BF100" s="54">
        <v>80.69</v>
      </c>
      <c r="BI100" s="75">
        <v>45894.625</v>
      </c>
      <c r="BJ100" s="54">
        <v>109.91</v>
      </c>
    </row>
    <row r="101" spans="21:62" x14ac:dyDescent="0.3">
      <c r="U101" s="75">
        <v>45897.625</v>
      </c>
      <c r="V101" s="54">
        <v>94.44</v>
      </c>
      <c r="W101" s="75">
        <v>45894.625</v>
      </c>
      <c r="X101" s="54">
        <v>100.916</v>
      </c>
      <c r="Y101" s="125">
        <v>45908.625</v>
      </c>
      <c r="Z101" s="54">
        <v>120.74</v>
      </c>
      <c r="BE101" s="75">
        <v>45895.625</v>
      </c>
      <c r="BF101" s="54">
        <v>80.87</v>
      </c>
      <c r="BI101" s="75">
        <v>45895.625</v>
      </c>
      <c r="BJ101" s="54">
        <v>109.99</v>
      </c>
    </row>
    <row r="102" spans="21:62" x14ac:dyDescent="0.3">
      <c r="U102" s="75">
        <v>45898.625</v>
      </c>
      <c r="V102" s="54">
        <v>94.44</v>
      </c>
      <c r="W102" s="75">
        <v>45895.625</v>
      </c>
      <c r="X102" s="54">
        <v>101.051</v>
      </c>
      <c r="Y102" s="125">
        <v>45909.625</v>
      </c>
      <c r="Z102" s="54">
        <v>120.66</v>
      </c>
      <c r="BE102" s="75">
        <v>45896.625</v>
      </c>
      <c r="BF102" s="54">
        <v>80.97</v>
      </c>
      <c r="BI102" s="75">
        <v>45896.625</v>
      </c>
      <c r="BJ102" s="54">
        <v>110.03</v>
      </c>
    </row>
    <row r="103" spans="21:62" x14ac:dyDescent="0.3">
      <c r="U103" s="75">
        <v>45901.625</v>
      </c>
      <c r="V103" s="54">
        <v>94.4</v>
      </c>
      <c r="W103" s="75">
        <v>45896.625</v>
      </c>
      <c r="X103" s="54">
        <v>101.142</v>
      </c>
      <c r="Y103" s="125">
        <v>45910.625</v>
      </c>
      <c r="Z103" s="54">
        <v>120.75</v>
      </c>
      <c r="BE103" s="75">
        <v>45897.625</v>
      </c>
      <c r="BF103" s="54">
        <v>81.010000000000005</v>
      </c>
      <c r="BI103" s="75">
        <v>45897.625</v>
      </c>
      <c r="BJ103" s="54">
        <v>110.2</v>
      </c>
    </row>
    <row r="104" spans="21:62" x14ac:dyDescent="0.3">
      <c r="U104" s="75">
        <v>45902.625</v>
      </c>
      <c r="V104" s="54">
        <v>94.24</v>
      </c>
      <c r="W104" s="75">
        <v>45897.625</v>
      </c>
      <c r="X104" s="54">
        <v>101.092</v>
      </c>
      <c r="Y104" s="125">
        <v>45911.625</v>
      </c>
      <c r="Z104" s="54">
        <v>120.76</v>
      </c>
      <c r="BE104" s="75">
        <v>45898.625</v>
      </c>
      <c r="BF104" s="54">
        <v>80.86</v>
      </c>
      <c r="BI104" s="75">
        <v>45898.625</v>
      </c>
      <c r="BJ104" s="54">
        <v>109.83</v>
      </c>
    </row>
    <row r="105" spans="21:62" x14ac:dyDescent="0.3">
      <c r="U105" s="75">
        <v>45903.625</v>
      </c>
      <c r="V105" s="54">
        <v>94.38</v>
      </c>
      <c r="W105" s="75">
        <v>45898.625</v>
      </c>
      <c r="X105" s="54">
        <v>101.096</v>
      </c>
      <c r="Y105" s="125">
        <v>45912.625</v>
      </c>
      <c r="Z105" s="54">
        <v>120.63</v>
      </c>
      <c r="BE105" s="75">
        <v>45902.625</v>
      </c>
      <c r="BF105" s="54">
        <v>80.39</v>
      </c>
      <c r="BI105" s="75">
        <v>45902.625</v>
      </c>
      <c r="BJ105" s="54">
        <v>109.05</v>
      </c>
    </row>
    <row r="106" spans="21:62" x14ac:dyDescent="0.3">
      <c r="U106" s="75">
        <v>45904.625</v>
      </c>
      <c r="V106" s="54">
        <v>94.54</v>
      </c>
      <c r="W106" s="75">
        <v>45901.625</v>
      </c>
      <c r="X106" s="54">
        <v>101.01900000000001</v>
      </c>
      <c r="Y106" s="125">
        <v>45915.625</v>
      </c>
      <c r="Z106" s="54">
        <v>120.7</v>
      </c>
      <c r="BE106" s="75">
        <v>45903.625</v>
      </c>
      <c r="BF106" s="54">
        <v>80.61</v>
      </c>
      <c r="BI106" s="75">
        <v>45903.625</v>
      </c>
      <c r="BJ106" s="54">
        <v>109.7</v>
      </c>
    </row>
    <row r="107" spans="21:62" x14ac:dyDescent="0.3">
      <c r="U107" s="75">
        <v>45905.625</v>
      </c>
      <c r="V107" s="54">
        <v>94.64</v>
      </c>
      <c r="W107" s="75">
        <v>45902.625</v>
      </c>
      <c r="X107" s="54">
        <v>100.976</v>
      </c>
      <c r="Y107" s="125">
        <v>45916.625</v>
      </c>
      <c r="Z107" s="54">
        <v>120.66</v>
      </c>
      <c r="BE107" s="75">
        <v>45904.625</v>
      </c>
      <c r="BF107" s="54">
        <v>80.819999999999993</v>
      </c>
      <c r="BI107" s="75">
        <v>45904.625</v>
      </c>
      <c r="BJ107" s="54">
        <v>110.45</v>
      </c>
    </row>
    <row r="108" spans="21:62" x14ac:dyDescent="0.3">
      <c r="U108" s="75">
        <v>45908.625</v>
      </c>
      <c r="V108" s="54">
        <v>94.65</v>
      </c>
      <c r="W108" s="75">
        <v>45903.625</v>
      </c>
      <c r="X108" s="54">
        <v>101.038</v>
      </c>
      <c r="Y108" s="125">
        <v>45917.625</v>
      </c>
      <c r="Z108" s="54">
        <v>120.67</v>
      </c>
      <c r="BE108" s="75">
        <v>45905.625</v>
      </c>
      <c r="BF108" s="54">
        <v>80.87</v>
      </c>
      <c r="BI108" s="75">
        <v>45905.625</v>
      </c>
      <c r="BJ108" s="54">
        <v>111.17</v>
      </c>
    </row>
    <row r="109" spans="21:62" x14ac:dyDescent="0.3">
      <c r="U109" s="75">
        <v>45909.625</v>
      </c>
      <c r="V109" s="54">
        <v>94.54</v>
      </c>
      <c r="W109" s="75">
        <v>45904.625</v>
      </c>
      <c r="X109" s="54">
        <v>101.06399999999999</v>
      </c>
      <c r="Y109" s="125">
        <v>45918.625</v>
      </c>
      <c r="Z109" s="54">
        <v>120.7</v>
      </c>
      <c r="BE109" s="75">
        <v>45908.625</v>
      </c>
      <c r="BF109" s="54">
        <v>80.87</v>
      </c>
      <c r="BI109" s="75">
        <v>45908.625</v>
      </c>
      <c r="BJ109" s="54">
        <v>111.56</v>
      </c>
    </row>
    <row r="110" spans="21:62" x14ac:dyDescent="0.3">
      <c r="U110" s="75">
        <v>45910.625</v>
      </c>
      <c r="V110" s="54">
        <v>94.53</v>
      </c>
      <c r="W110" s="75">
        <v>45905.625</v>
      </c>
      <c r="X110" s="54">
        <v>101.19</v>
      </c>
      <c r="Y110" s="125">
        <v>45919.625</v>
      </c>
      <c r="Z110" s="54">
        <v>120.71</v>
      </c>
      <c r="BE110" s="75">
        <v>45909.625</v>
      </c>
      <c r="BF110" s="54">
        <v>80.78</v>
      </c>
      <c r="BI110" s="75">
        <v>45909.625</v>
      </c>
      <c r="BJ110" s="54">
        <v>111.36</v>
      </c>
    </row>
    <row r="111" spans="21:62" x14ac:dyDescent="0.3">
      <c r="U111" s="75">
        <v>45911.625</v>
      </c>
      <c r="V111" s="54">
        <v>92.29</v>
      </c>
      <c r="W111" s="75">
        <v>45908.625</v>
      </c>
      <c r="X111" s="54">
        <v>101.23099999999999</v>
      </c>
      <c r="Y111" s="125">
        <v>45922.625</v>
      </c>
      <c r="Z111" s="54">
        <v>120.61</v>
      </c>
      <c r="BE111" s="75">
        <v>45910.625</v>
      </c>
      <c r="BF111" s="54">
        <v>80.84</v>
      </c>
      <c r="BI111" s="75">
        <v>45910.625</v>
      </c>
      <c r="BJ111" s="54">
        <v>111.69</v>
      </c>
    </row>
    <row r="112" spans="21:62" x14ac:dyDescent="0.3">
      <c r="U112" s="75">
        <v>45912.625</v>
      </c>
      <c r="V112" s="54">
        <v>92.46</v>
      </c>
      <c r="W112" s="75">
        <v>45909.625</v>
      </c>
      <c r="X112" s="54">
        <v>101.163</v>
      </c>
      <c r="Y112" s="125">
        <v>45923.625</v>
      </c>
      <c r="Z112" s="54">
        <v>120.6</v>
      </c>
      <c r="BE112" s="75">
        <v>45911.625</v>
      </c>
      <c r="BF112" s="54">
        <v>81.040000000000006</v>
      </c>
      <c r="BI112" s="75">
        <v>45911.625</v>
      </c>
      <c r="BJ112" s="54">
        <v>112.21</v>
      </c>
    </row>
    <row r="113" spans="21:62" x14ac:dyDescent="0.3">
      <c r="U113" s="75">
        <v>45915.625</v>
      </c>
      <c r="V113" s="54">
        <v>92.46</v>
      </c>
      <c r="W113" s="75">
        <v>45910.625</v>
      </c>
      <c r="X113" s="54">
        <v>101.126</v>
      </c>
      <c r="Y113" s="125">
        <v>45924.625</v>
      </c>
      <c r="Z113" s="54">
        <v>120.67</v>
      </c>
      <c r="BE113" s="75">
        <v>45912.625</v>
      </c>
      <c r="BF113" s="54">
        <v>80.959999999999994</v>
      </c>
      <c r="BI113" s="75">
        <v>45912.625</v>
      </c>
      <c r="BJ113" s="54">
        <v>112.01</v>
      </c>
    </row>
    <row r="114" spans="21:62" x14ac:dyDescent="0.3">
      <c r="U114" s="75">
        <v>45916.625</v>
      </c>
      <c r="V114" s="54">
        <v>92.35</v>
      </c>
      <c r="W114" s="75">
        <v>45911.625</v>
      </c>
      <c r="X114" s="54">
        <v>101.012</v>
      </c>
      <c r="Y114" s="125">
        <v>45925.625</v>
      </c>
      <c r="Z114" s="54">
        <v>120.43</v>
      </c>
      <c r="BE114" s="75">
        <v>45915.625</v>
      </c>
      <c r="BF114" s="54">
        <v>81.19</v>
      </c>
      <c r="BI114" s="75">
        <v>45915.625</v>
      </c>
      <c r="BJ114" s="54">
        <v>112.36</v>
      </c>
    </row>
    <row r="115" spans="21:62" x14ac:dyDescent="0.3">
      <c r="U115" s="75">
        <v>45917.625</v>
      </c>
      <c r="V115" s="54">
        <v>92.39</v>
      </c>
      <c r="W115" s="75">
        <v>45912.625</v>
      </c>
      <c r="X115" s="54">
        <v>100.934</v>
      </c>
      <c r="Y115" s="125">
        <v>45929.625</v>
      </c>
      <c r="Z115" s="54">
        <v>120.76</v>
      </c>
      <c r="BE115" s="75">
        <v>45916.625</v>
      </c>
      <c r="BF115" s="54">
        <v>81.13</v>
      </c>
      <c r="BI115" s="75">
        <v>45916.625</v>
      </c>
      <c r="BJ115" s="54">
        <v>112.26</v>
      </c>
    </row>
    <row r="116" spans="21:62" x14ac:dyDescent="0.3">
      <c r="U116" s="75">
        <v>45918.625</v>
      </c>
      <c r="V116" s="54">
        <v>92.67</v>
      </c>
      <c r="W116" s="75">
        <v>45915.625</v>
      </c>
      <c r="X116" s="54">
        <v>100.944</v>
      </c>
      <c r="Y116" s="125">
        <v>45930.625</v>
      </c>
      <c r="Z116" s="54">
        <v>120.78</v>
      </c>
      <c r="BE116" s="75">
        <v>45917.625</v>
      </c>
      <c r="BF116" s="54">
        <v>81.05</v>
      </c>
      <c r="BI116" s="75">
        <v>45917.625</v>
      </c>
      <c r="BJ116" s="54">
        <v>112.06</v>
      </c>
    </row>
    <row r="117" spans="21:62" x14ac:dyDescent="0.3">
      <c r="U117" s="75">
        <v>45919.625</v>
      </c>
      <c r="V117" s="54">
        <v>92.67</v>
      </c>
      <c r="W117" s="75">
        <v>45916.625</v>
      </c>
      <c r="X117" s="54">
        <v>100.953</v>
      </c>
      <c r="Y117" s="125">
        <v>45931.625</v>
      </c>
      <c r="Z117" s="54">
        <v>120.85</v>
      </c>
      <c r="BE117" s="75">
        <v>45918.625</v>
      </c>
      <c r="BF117" s="54">
        <v>81.23</v>
      </c>
      <c r="BI117" s="75">
        <v>45918.625</v>
      </c>
      <c r="BJ117" s="54">
        <v>111.83</v>
      </c>
    </row>
    <row r="118" spans="21:62" x14ac:dyDescent="0.3">
      <c r="U118" s="75">
        <v>45922.625</v>
      </c>
      <c r="V118" s="54">
        <v>92.52</v>
      </c>
      <c r="W118" s="75">
        <v>45917.625</v>
      </c>
      <c r="X118" s="54">
        <v>100.971</v>
      </c>
      <c r="Y118" s="125">
        <v>45932.625</v>
      </c>
      <c r="Z118" s="54">
        <v>120.92</v>
      </c>
      <c r="BE118" s="75">
        <v>45919.625</v>
      </c>
      <c r="BF118" s="54">
        <v>81.260000000000005</v>
      </c>
      <c r="BI118" s="75">
        <v>45919.625</v>
      </c>
      <c r="BJ118" s="54">
        <v>111.74</v>
      </c>
    </row>
    <row r="119" spans="21:62" x14ac:dyDescent="0.3">
      <c r="U119" s="75">
        <v>45923.625</v>
      </c>
      <c r="V119" s="54">
        <v>92.67</v>
      </c>
      <c r="W119" s="75">
        <v>45918.625</v>
      </c>
      <c r="X119" s="54">
        <v>100.956</v>
      </c>
      <c r="Y119" s="125">
        <v>45933.625</v>
      </c>
      <c r="Z119" s="54">
        <v>120.97</v>
      </c>
      <c r="BE119" s="75">
        <v>45922.625</v>
      </c>
      <c r="BF119" s="54">
        <v>81.319999999999993</v>
      </c>
      <c r="BI119" s="75">
        <v>45922.625</v>
      </c>
      <c r="BJ119" s="54">
        <v>111.48</v>
      </c>
    </row>
    <row r="120" spans="21:62" x14ac:dyDescent="0.3">
      <c r="U120" s="75">
        <v>45924.625</v>
      </c>
      <c r="V120" s="54">
        <v>92.59</v>
      </c>
      <c r="W120" s="75">
        <v>45919.625</v>
      </c>
      <c r="X120" s="54">
        <v>100.904</v>
      </c>
      <c r="Y120" s="125">
        <v>45936.625</v>
      </c>
      <c r="Z120" s="54">
        <v>120.96</v>
      </c>
      <c r="BE120" s="75">
        <v>45923.625</v>
      </c>
      <c r="BF120" s="54">
        <v>81.260000000000005</v>
      </c>
      <c r="BI120" s="75">
        <v>45923.625</v>
      </c>
      <c r="BJ120" s="54">
        <v>111.71</v>
      </c>
    </row>
    <row r="121" spans="21:62" x14ac:dyDescent="0.3">
      <c r="U121" s="75">
        <v>45925.625</v>
      </c>
      <c r="V121" s="54">
        <v>92.45</v>
      </c>
      <c r="W121" s="75">
        <v>45922.625</v>
      </c>
      <c r="X121" s="54">
        <v>100.913</v>
      </c>
      <c r="Y121" s="125">
        <v>45937.625</v>
      </c>
      <c r="Z121" s="54">
        <v>120.93</v>
      </c>
      <c r="BE121" s="75">
        <v>45924.625</v>
      </c>
      <c r="BF121" s="54">
        <v>81.150000000000006</v>
      </c>
      <c r="BI121" s="75">
        <v>45924.625</v>
      </c>
      <c r="BJ121" s="54">
        <v>111.26</v>
      </c>
    </row>
    <row r="122" spans="21:62" x14ac:dyDescent="0.3">
      <c r="U122" s="75">
        <v>45926.625</v>
      </c>
      <c r="V122" s="54">
        <v>92.46</v>
      </c>
      <c r="W122" s="75">
        <v>45923.625</v>
      </c>
      <c r="X122" s="54">
        <v>100.883</v>
      </c>
      <c r="Y122" s="125">
        <v>45938.625</v>
      </c>
      <c r="Z122" s="54">
        <v>121.12</v>
      </c>
      <c r="BE122" s="75">
        <v>45925.625</v>
      </c>
      <c r="BF122" s="54">
        <v>80.92</v>
      </c>
      <c r="BI122" s="75">
        <v>45925.625</v>
      </c>
      <c r="BJ122" s="54">
        <v>111.06</v>
      </c>
    </row>
    <row r="123" spans="21:62" x14ac:dyDescent="0.3">
      <c r="U123" s="75">
        <v>45929.625</v>
      </c>
      <c r="V123" s="54">
        <v>92.5</v>
      </c>
      <c r="W123" s="75">
        <v>45924.625</v>
      </c>
      <c r="X123" s="54">
        <v>100.893</v>
      </c>
      <c r="Y123" s="125">
        <v>45939.625</v>
      </c>
      <c r="Z123" s="54">
        <v>120.99</v>
      </c>
      <c r="BE123" s="75">
        <v>45926.625</v>
      </c>
      <c r="BF123" s="54">
        <v>81.08</v>
      </c>
      <c r="BI123" s="75">
        <v>45926.625</v>
      </c>
      <c r="BJ123" s="54">
        <v>111.21</v>
      </c>
    </row>
    <row r="124" spans="21:62" x14ac:dyDescent="0.3">
      <c r="U124" s="75">
        <v>45930.625</v>
      </c>
      <c r="V124" s="54">
        <v>92.47</v>
      </c>
      <c r="W124" s="75">
        <v>45925.625</v>
      </c>
      <c r="X124" s="54">
        <v>100.822</v>
      </c>
      <c r="Y124" s="125">
        <v>45940.625</v>
      </c>
      <c r="Z124" s="54">
        <v>121</v>
      </c>
      <c r="BE124" s="75">
        <v>45929.625</v>
      </c>
      <c r="BF124" s="54">
        <v>81.22</v>
      </c>
      <c r="BI124" s="75">
        <v>45929.625</v>
      </c>
      <c r="BJ124" s="54">
        <v>111.58</v>
      </c>
    </row>
    <row r="125" spans="21:62" x14ac:dyDescent="0.3">
      <c r="U125" s="75">
        <v>45931.625</v>
      </c>
      <c r="V125" s="54">
        <v>92.57</v>
      </c>
      <c r="W125" s="75">
        <v>45926.625</v>
      </c>
      <c r="X125" s="54">
        <v>100.866</v>
      </c>
      <c r="Y125" s="125">
        <v>45943.625</v>
      </c>
      <c r="Z125" s="54">
        <v>121.1</v>
      </c>
      <c r="BE125" s="75">
        <v>45930.625</v>
      </c>
      <c r="BF125" s="54">
        <v>81.19</v>
      </c>
      <c r="BI125" s="75">
        <v>45930.625</v>
      </c>
      <c r="BJ125" s="54">
        <v>111.47</v>
      </c>
    </row>
    <row r="126" spans="21:62" x14ac:dyDescent="0.3">
      <c r="U126" s="75">
        <v>45932.625</v>
      </c>
      <c r="V126" s="54">
        <v>92.64</v>
      </c>
      <c r="W126" s="75">
        <v>45929.625</v>
      </c>
      <c r="X126" s="54">
        <v>100.89</v>
      </c>
      <c r="Y126" s="125">
        <v>45944.625</v>
      </c>
      <c r="Z126" s="54">
        <v>121.2</v>
      </c>
      <c r="BE126" s="75">
        <v>45931.625</v>
      </c>
      <c r="BF126" s="54">
        <v>80.959999999999994</v>
      </c>
      <c r="BI126" s="75">
        <v>45931.625</v>
      </c>
      <c r="BJ126" s="54">
        <v>111.51</v>
      </c>
    </row>
    <row r="127" spans="21:62" x14ac:dyDescent="0.3">
      <c r="U127" s="75">
        <v>45933.625</v>
      </c>
      <c r="V127" s="54">
        <v>92.6</v>
      </c>
      <c r="W127" s="75">
        <v>45930.625</v>
      </c>
      <c r="X127" s="54">
        <v>100.89400000000001</v>
      </c>
      <c r="Y127" s="125">
        <v>45945.625</v>
      </c>
      <c r="Z127" s="54">
        <v>121.62</v>
      </c>
      <c r="BE127" s="75">
        <v>45932.625</v>
      </c>
      <c r="BF127" s="54">
        <v>80.930000000000007</v>
      </c>
      <c r="BI127" s="75">
        <v>45932.625</v>
      </c>
      <c r="BJ127" s="54">
        <v>111.69</v>
      </c>
    </row>
    <row r="128" spans="21:62" x14ac:dyDescent="0.3">
      <c r="U128" s="75">
        <v>45936.625</v>
      </c>
      <c r="V128" s="54">
        <v>92.49</v>
      </c>
      <c r="W128" s="75">
        <v>45931.625</v>
      </c>
      <c r="X128" s="54">
        <v>100.92</v>
      </c>
      <c r="Y128" s="125">
        <v>45946.625</v>
      </c>
      <c r="Z128" s="54">
        <v>121.6</v>
      </c>
      <c r="BE128" s="75">
        <v>45933.625</v>
      </c>
      <c r="BF128" s="54">
        <v>80.84</v>
      </c>
      <c r="BI128" s="75">
        <v>45933.625</v>
      </c>
      <c r="BJ128" s="54">
        <v>111.55</v>
      </c>
    </row>
    <row r="129" spans="21:62" x14ac:dyDescent="0.3">
      <c r="U129" s="75">
        <v>45937.625</v>
      </c>
      <c r="V129" s="54">
        <v>92.19</v>
      </c>
      <c r="W129" s="75">
        <v>45932.625</v>
      </c>
      <c r="X129" s="54">
        <v>100.905</v>
      </c>
      <c r="BE129" s="75">
        <v>45936.625</v>
      </c>
      <c r="BF129" s="54">
        <v>80.86</v>
      </c>
      <c r="BI129" s="75">
        <v>45936.625</v>
      </c>
      <c r="BJ129" s="54">
        <v>111.19</v>
      </c>
    </row>
    <row r="130" spans="21:62" x14ac:dyDescent="0.3">
      <c r="U130" s="75">
        <v>45938.625</v>
      </c>
      <c r="V130" s="54">
        <v>92.12</v>
      </c>
      <c r="W130" s="75">
        <v>45933.625</v>
      </c>
      <c r="X130" s="54">
        <v>100.893</v>
      </c>
      <c r="BE130" s="75">
        <v>45937.625</v>
      </c>
      <c r="BF130" s="54">
        <v>80.77</v>
      </c>
      <c r="BI130" s="75">
        <v>45937.625</v>
      </c>
      <c r="BJ130" s="54">
        <v>111.4</v>
      </c>
    </row>
    <row r="131" spans="21:62" x14ac:dyDescent="0.3">
      <c r="U131" s="75">
        <v>45939.625</v>
      </c>
      <c r="V131" s="54">
        <v>92</v>
      </c>
      <c r="W131" s="75">
        <v>45936.625</v>
      </c>
      <c r="X131" s="54">
        <v>100.928</v>
      </c>
      <c r="BE131" s="75">
        <v>45938.625</v>
      </c>
      <c r="BF131" s="54">
        <v>80.650000000000006</v>
      </c>
      <c r="BI131" s="75">
        <v>45938.625</v>
      </c>
      <c r="BJ131" s="54">
        <v>111.26</v>
      </c>
    </row>
    <row r="132" spans="21:62" x14ac:dyDescent="0.3">
      <c r="U132" s="75">
        <v>45940.625</v>
      </c>
      <c r="V132" s="54">
        <v>91.78</v>
      </c>
      <c r="W132" s="75">
        <v>45937.625</v>
      </c>
      <c r="X132" s="54">
        <v>100.908</v>
      </c>
      <c r="BE132" s="75">
        <v>45939.625</v>
      </c>
      <c r="BF132" s="54">
        <v>80.42</v>
      </c>
      <c r="BI132" s="75">
        <v>45939.625</v>
      </c>
      <c r="BJ132" s="54">
        <v>111.04</v>
      </c>
    </row>
    <row r="133" spans="21:62" x14ac:dyDescent="0.3">
      <c r="U133" s="75">
        <v>45943.625</v>
      </c>
      <c r="V133" s="54">
        <v>91.79</v>
      </c>
      <c r="W133" s="75">
        <v>45938.625</v>
      </c>
      <c r="X133" s="54">
        <v>100.99299999999999</v>
      </c>
      <c r="BE133" s="75">
        <v>45940.625</v>
      </c>
      <c r="BF133" s="54">
        <v>79.984999999999999</v>
      </c>
      <c r="BI133" s="75">
        <v>45940.625</v>
      </c>
      <c r="BJ133" s="54">
        <v>111.36</v>
      </c>
    </row>
    <row r="134" spans="21:62" x14ac:dyDescent="0.3">
      <c r="U134" s="75">
        <v>45944.625</v>
      </c>
      <c r="V134" s="54">
        <v>91.85</v>
      </c>
      <c r="W134" s="75">
        <v>45939.625</v>
      </c>
      <c r="X134" s="54">
        <v>100.934</v>
      </c>
      <c r="BE134" s="75">
        <v>45943.625</v>
      </c>
      <c r="BF134" s="54">
        <v>80.45</v>
      </c>
      <c r="BI134" s="75">
        <v>45943.625</v>
      </c>
      <c r="BJ134" s="54">
        <v>111.73</v>
      </c>
    </row>
    <row r="135" spans="21:62" x14ac:dyDescent="0.3">
      <c r="U135" s="75">
        <v>45945.625</v>
      </c>
      <c r="V135" s="54">
        <v>92.38</v>
      </c>
      <c r="W135" s="75">
        <v>45940.625</v>
      </c>
      <c r="X135" s="54">
        <v>101.017</v>
      </c>
      <c r="BE135" s="75">
        <v>45944.625</v>
      </c>
      <c r="BF135" s="54">
        <v>80.540000000000006</v>
      </c>
      <c r="BI135" s="75">
        <v>45944.625</v>
      </c>
      <c r="BJ135" s="54">
        <v>112.1</v>
      </c>
    </row>
    <row r="136" spans="21:62" x14ac:dyDescent="0.3">
      <c r="U136" s="75">
        <v>45946.625</v>
      </c>
      <c r="V136" s="54">
        <v>92.23</v>
      </c>
      <c r="W136" s="75">
        <v>45943.625</v>
      </c>
      <c r="X136" s="54">
        <v>101.122</v>
      </c>
      <c r="BE136" s="75">
        <v>45945.625</v>
      </c>
      <c r="BF136" s="54">
        <v>80.8</v>
      </c>
      <c r="BI136" s="75">
        <v>45945.625</v>
      </c>
      <c r="BJ136" s="54">
        <v>112.1</v>
      </c>
    </row>
    <row r="137" spans="21:62" x14ac:dyDescent="0.3">
      <c r="W137" s="75">
        <v>45944.625</v>
      </c>
      <c r="X137" s="54">
        <v>101.13800000000001</v>
      </c>
      <c r="BE137" s="75">
        <v>45946.625</v>
      </c>
      <c r="BF137" s="54">
        <v>80.510000000000005</v>
      </c>
      <c r="BI137" s="75">
        <v>45946.625</v>
      </c>
      <c r="BJ137" s="54">
        <v>112.42</v>
      </c>
    </row>
    <row r="138" spans="21:62" x14ac:dyDescent="0.3">
      <c r="W138" s="75">
        <v>45945.625</v>
      </c>
      <c r="X138" s="54">
        <v>101.23699999999999</v>
      </c>
    </row>
    <row r="139" spans="21:62" x14ac:dyDescent="0.3">
      <c r="W139" s="75">
        <v>45946.625</v>
      </c>
      <c r="X139" s="54">
        <v>101.221</v>
      </c>
    </row>
  </sheetData>
  <mergeCells count="10">
    <mergeCell ref="AM12:AO12"/>
    <mergeCell ref="AP12:AR12"/>
    <mergeCell ref="AS12:AU12"/>
    <mergeCell ref="AV12:AX12"/>
    <mergeCell ref="B12:D12"/>
    <mergeCell ref="E12:G12"/>
    <mergeCell ref="H12:J12"/>
    <mergeCell ref="K12:M12"/>
    <mergeCell ref="AG12:AI12"/>
    <mergeCell ref="AJ12:AL12"/>
  </mergeCells>
  <conditionalFormatting sqref="N13:S86">
    <cfRule type="cellIs" dxfId="2" priority="3" operator="lessThan">
      <formula>0</formula>
    </cfRule>
  </conditionalFormatting>
  <conditionalFormatting sqref="AY13:BC50">
    <cfRule type="cellIs" dxfId="1" priority="2" operator="lessThan">
      <formula>0</formula>
    </cfRule>
  </conditionalFormatting>
  <conditionalFormatting sqref="R13:S86">
    <cfRule type="cellIs" dxfId="0" priority="1" operator="lessThan">
      <formula>0</formula>
    </cfRule>
  </conditionalFormatting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Live_ACAFP Basis</vt:lpstr>
      <vt:lpstr>Live_EU Defence vs Oil</vt:lpstr>
      <vt:lpstr>Live_EU Insurance CDS RV</vt:lpstr>
      <vt:lpstr>Live_Barclays</vt:lpstr>
      <vt:lpstr>Live_KSA RV</vt:lpstr>
      <vt:lpstr>Live_EU Banks CDS RV</vt:lpstr>
      <vt:lpstr>Live_EU ETF Compression</vt:lpstr>
      <vt:lpstr>Live_US ETF Compression</vt:lpstr>
      <vt:lpstr>Live_US IG Cash Curve</vt:lpstr>
      <vt:lpstr>BOFA Basis</vt:lpstr>
      <vt:lpstr>Closed_CDX IG vs SPX Puts</vt:lpstr>
      <vt:lpstr>ETF PL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Vasu Sharma</dc:creator>
  <cp:lastModifiedBy>Vasu Sharma</cp:lastModifiedBy>
  <dcterms:created xsi:type="dcterms:W3CDTF">2015-06-05T18:17:20Z</dcterms:created>
  <dcterms:modified xsi:type="dcterms:W3CDTF">2025-10-17T13:53:58Z</dcterms:modified>
</cp:coreProperties>
</file>