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F165DE2B-3F3F-4EB3-A7EA-2B9FE42236A3}" xr6:coauthVersionLast="47" xr6:coauthVersionMax="47" xr10:uidLastSave="{00000000-0000-0000-0000-000000000000}"/>
  <bookViews>
    <workbookView xWindow="-108" yWindow="-108" windowWidth="23256" windowHeight="12456" tabRatio="851" firstSheet="8" activeTab="8" xr2:uid="{00000000-000D-0000-FFFF-FFFF00000000}"/>
  </bookViews>
  <sheets>
    <sheet name="Live_ACAFP Basis" sheetId="1" r:id="rId1"/>
    <sheet name="Live_EU Defence vs Oil" sheetId="2" r:id="rId2"/>
    <sheet name="Live_EU Insurance CDS RV" sheetId="3" r:id="rId3"/>
    <sheet name="Live_Barclays" sheetId="5" r:id="rId4"/>
    <sheet name="Live_KSA RV" sheetId="8" r:id="rId5"/>
    <sheet name="Live_EU Banks CDS RV" sheetId="9" r:id="rId6"/>
    <sheet name="Live_EU ETF Compression" sheetId="10" r:id="rId7"/>
    <sheet name="Live_US ETF Compression" sheetId="12" r:id="rId8"/>
    <sheet name="Live_US IG Cash Curve" sheetId="14" r:id="rId9"/>
    <sheet name="BOFA Basis" sheetId="17" r:id="rId10"/>
    <sheet name="Closed_CDX IG vs SPX Puts" sheetId="19" r:id="rId11"/>
    <sheet name="ETF PL - 29Aug start" sheetId="20" r:id="rId12"/>
    <sheet name="ETF PL - 27Aug start" sheetId="21" r:id="rId13"/>
    <sheet name="ETF PL -25M fixed not'l for all" sheetId="22" r:id="rId14"/>
    <sheet name="ETF PL - CT fix" sheetId="2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0" l="1" a="1"/>
  <c r="AA3" i="22" a="1"/>
  <c r="AA3" i="24" a="1"/>
  <c r="AA3" i="20" a="1"/>
  <c r="AA3" i="21" a="1"/>
  <c r="BO3" i="24" a="1"/>
  <c r="BK3" i="24" a="1"/>
  <c r="BG3" i="24" a="1"/>
  <c r="BM3" i="24" a="1"/>
  <c r="R3" i="8" a="1"/>
  <c r="K3" i="1" a="1"/>
  <c r="V3" i="8" a="1"/>
  <c r="CC2" i="22" a="1"/>
  <c r="CC2" i="20" a="1"/>
  <c r="AD3" i="14" a="1"/>
  <c r="R3" i="10" a="1"/>
  <c r="W3" i="22" a="1"/>
  <c r="W3" i="24" a="1"/>
  <c r="CC2" i="21" a="1"/>
  <c r="W3" i="21" a="1"/>
  <c r="CC2" i="24" a="1"/>
  <c r="W3" i="20" a="1"/>
  <c r="CO2" i="22" a="1"/>
  <c r="CO2" i="24" a="1"/>
  <c r="CO2" i="20" a="1"/>
  <c r="CO2" i="21" a="1"/>
  <c r="P3" i="10" a="1"/>
  <c r="U3" i="22" a="1"/>
  <c r="U3" i="24" a="1"/>
  <c r="U3" i="20" a="1"/>
  <c r="U3" i="21" a="1"/>
  <c r="AF3" i="14" a="1"/>
  <c r="CA2" i="22" a="1"/>
  <c r="CA2" i="24" a="1"/>
  <c r="CA2" i="20" a="1"/>
  <c r="CA2" i="21" a="1"/>
  <c r="P3" i="8" a="1"/>
  <c r="M3" i="2" a="1"/>
  <c r="AB3" i="14" a="1"/>
  <c r="BO3" i="22" a="1"/>
  <c r="BO3" i="21" a="1"/>
  <c r="AF3" i="12" a="1"/>
  <c r="BO3" i="20" a="1"/>
  <c r="V3" i="14" a="1"/>
  <c r="Z3" i="12" a="1"/>
  <c r="BI3" i="22" a="1"/>
  <c r="BI3" i="24" a="1"/>
  <c r="BI3" i="20" a="1"/>
  <c r="BI3" i="21" a="1"/>
  <c r="Z3" i="14" a="1"/>
  <c r="AD3" i="12" a="1"/>
  <c r="BM3" i="22" a="1"/>
  <c r="BM3" i="20" a="1"/>
  <c r="BM3" i="21" a="1"/>
  <c r="CQ2" i="22" a="1"/>
  <c r="CQ2" i="21" a="1"/>
  <c r="CQ2" i="24" a="1"/>
  <c r="CQ2" i="20" a="1"/>
  <c r="V3" i="12" a="1"/>
  <c r="BE3" i="22" a="1"/>
  <c r="BE3" i="24" a="1"/>
  <c r="BE3" i="20" a="1"/>
  <c r="BE3" i="21" a="1"/>
  <c r="X3" i="12" a="1"/>
  <c r="AB3" i="12" a="1"/>
  <c r="BK3" i="22" a="1"/>
  <c r="BG3" i="22" a="1"/>
  <c r="BK3" i="20" a="1"/>
  <c r="BG3" i="20" a="1"/>
  <c r="BK3" i="21" a="1"/>
  <c r="BG3" i="21" a="1"/>
  <c r="T3" i="8" a="1"/>
  <c r="J3" i="5" a="1"/>
  <c r="Q3" i="2" a="1"/>
  <c r="M3" i="1" a="1"/>
  <c r="X3" i="14" a="1"/>
  <c r="L3" i="5" a="1"/>
  <c r="L3" i="3" a="1"/>
  <c r="J3" i="9" a="1"/>
  <c r="O3" i="2" a="1"/>
  <c r="L3" i="9" a="1"/>
  <c r="T3" i="10" a="1"/>
  <c r="Y3" i="24" a="1"/>
  <c r="Y3" i="20" a="1"/>
  <c r="Y3" i="21" a="1"/>
  <c r="Y3" i="22" a="1"/>
  <c r="J3" i="3" a="1"/>
  <c r="C10" i="19" a="1"/>
  <c r="AA3" i="21" l="1"/>
  <c r="AA3" i="20"/>
  <c r="AA3" i="24"/>
  <c r="AA3" i="22"/>
  <c r="V3" i="10"/>
  <c r="BO3" i="24"/>
  <c r="BG3" i="24"/>
  <c r="BK3" i="24"/>
  <c r="BM3" i="24"/>
  <c r="K3" i="1"/>
  <c r="R3" i="8"/>
  <c r="V3" i="8"/>
  <c r="W3" i="20"/>
  <c r="CC2" i="24"/>
  <c r="W3" i="21"/>
  <c r="CC2" i="21"/>
  <c r="W3" i="24"/>
  <c r="W3" i="22"/>
  <c r="R3" i="10"/>
  <c r="AD3" i="14"/>
  <c r="CC2" i="20"/>
  <c r="CC2" i="22"/>
  <c r="CA2" i="21"/>
  <c r="CA2" i="20"/>
  <c r="CA2" i="24"/>
  <c r="CA2" i="22"/>
  <c r="AF3" i="14"/>
  <c r="U3" i="21"/>
  <c r="U3" i="20"/>
  <c r="U3" i="24"/>
  <c r="U3" i="22"/>
  <c r="P3" i="10"/>
  <c r="CO2" i="21"/>
  <c r="CO2" i="20"/>
  <c r="CO2" i="24"/>
  <c r="CO2" i="22"/>
  <c r="M3" i="2"/>
  <c r="P3" i="8"/>
  <c r="BO3" i="20"/>
  <c r="AF3" i="12"/>
  <c r="BO3" i="21"/>
  <c r="BO3" i="22"/>
  <c r="AB3" i="14"/>
  <c r="BI3" i="21"/>
  <c r="BI3" i="20"/>
  <c r="BI3" i="24"/>
  <c r="BI3" i="22"/>
  <c r="Z3" i="12"/>
  <c r="V3" i="14"/>
  <c r="BM3" i="21"/>
  <c r="BM3" i="20"/>
  <c r="BM3" i="22"/>
  <c r="AD3" i="12"/>
  <c r="Z3" i="14"/>
  <c r="CQ2" i="20"/>
  <c r="CQ2" i="24"/>
  <c r="CQ2" i="21"/>
  <c r="CQ2" i="22"/>
  <c r="BG3" i="21"/>
  <c r="BK3" i="21"/>
  <c r="BG3" i="20"/>
  <c r="BK3" i="20"/>
  <c r="BG3" i="22"/>
  <c r="BK3" i="22"/>
  <c r="AB3" i="12"/>
  <c r="X3" i="12"/>
  <c r="BE3" i="21"/>
  <c r="BE3" i="20"/>
  <c r="BE3" i="24"/>
  <c r="BE3" i="22"/>
  <c r="V3" i="12"/>
  <c r="T3" i="8"/>
  <c r="Q3" i="2"/>
  <c r="J3" i="5"/>
  <c r="J3" i="9"/>
  <c r="L3" i="3"/>
  <c r="L3" i="5"/>
  <c r="X3" i="14"/>
  <c r="M3" i="1"/>
  <c r="O3" i="2"/>
  <c r="L3" i="9"/>
  <c r="Y3" i="22"/>
  <c r="Y3" i="21"/>
  <c r="Y3" i="20"/>
  <c r="Y3" i="24"/>
  <c r="T3" i="10"/>
  <c r="J3" i="3"/>
  <c r="C10" i="19"/>
  <c r="B10" i="10" a="1"/>
  <c r="B10" i="10"/>
  <c r="B10" i="22" a="1"/>
  <c r="B10" i="22"/>
  <c r="B10" i="24" a="1"/>
  <c r="B10" i="24"/>
  <c r="B10" i="20" a="1"/>
  <c r="B10" i="20"/>
  <c r="B10" i="21" a="1"/>
  <c r="B10" i="21"/>
  <c r="B10" i="5" a="1"/>
  <c r="B10" i="5"/>
  <c r="E10" i="14" a="1"/>
  <c r="E10" i="14"/>
  <c r="G10" i="12" a="1"/>
  <c r="G10" i="12"/>
  <c r="AL10" i="22" a="1"/>
  <c r="AL10" i="22"/>
  <c r="AL10" i="20" a="1"/>
  <c r="AL10" i="20"/>
  <c r="AL10" i="21" a="1"/>
  <c r="AL10" i="21"/>
  <c r="C10" i="1" a="1"/>
  <c r="C10" i="1"/>
  <c r="B10" i="2" a="1"/>
  <c r="B10" i="2"/>
  <c r="C10" i="5" a="1"/>
  <c r="C10" i="5"/>
  <c r="B10" i="1" a="1"/>
  <c r="B10" i="1"/>
  <c r="F10" i="14" a="1"/>
  <c r="F10" i="14"/>
  <c r="C10" i="10" a="1"/>
  <c r="C10" i="10"/>
  <c r="C10" i="22" a="1"/>
  <c r="C10" i="22"/>
  <c r="C10" i="24" a="1"/>
  <c r="C10" i="24"/>
  <c r="C10" i="20" a="1"/>
  <c r="C10" i="20"/>
  <c r="C10" i="21" a="1"/>
  <c r="C10" i="21"/>
  <c r="B10" i="14" a="1"/>
  <c r="B10" i="14"/>
  <c r="D10" i="12" a="1"/>
  <c r="D10" i="12"/>
  <c r="AI10" i="22" a="1"/>
  <c r="AI10" i="22"/>
  <c r="AI10" i="24" a="1"/>
  <c r="AI10" i="24"/>
  <c r="AI10" i="20" a="1"/>
  <c r="AI10" i="20"/>
  <c r="AI10" i="21" a="1"/>
  <c r="AI10" i="21"/>
  <c r="C10" i="2" a="1"/>
  <c r="C10" i="2"/>
  <c r="AJ10" i="24" a="1"/>
  <c r="AJ10" i="24"/>
  <c r="AH10" i="24" a="1"/>
  <c r="AH10" i="24"/>
  <c r="B10" i="3" a="1"/>
  <c r="B10" i="3"/>
  <c r="B10" i="9" a="1"/>
  <c r="B10" i="9"/>
  <c r="AL10" i="24" a="1"/>
  <c r="AL10" i="24"/>
  <c r="B10" i="8" a="1"/>
  <c r="B10" i="8"/>
  <c r="B10" i="19" a="1"/>
  <c r="B10" i="19"/>
  <c r="C10" i="3" a="1"/>
  <c r="C10" i="3"/>
  <c r="D10" i="8" a="1"/>
  <c r="D10" i="8"/>
  <c r="C10" i="9" a="1"/>
  <c r="C10" i="9"/>
  <c r="D10" i="10" a="1"/>
  <c r="D10" i="10"/>
  <c r="D10" i="22" a="1"/>
  <c r="D10" i="22"/>
  <c r="D10" i="24" a="1"/>
  <c r="D10" i="24"/>
  <c r="D10" i="20" a="1"/>
  <c r="D10" i="20"/>
  <c r="D10" i="21" a="1"/>
  <c r="D10" i="21"/>
  <c r="D10" i="2" a="1"/>
  <c r="D10" i="2"/>
  <c r="D10" i="14" a="1"/>
  <c r="D10" i="14"/>
  <c r="F10" i="12" a="1"/>
  <c r="F10" i="12"/>
  <c r="AK10" i="22" a="1"/>
  <c r="AK10" i="22"/>
  <c r="AK10" i="20" a="1"/>
  <c r="AK10" i="20"/>
  <c r="AK10" i="21" a="1"/>
  <c r="AK10" i="21"/>
  <c r="C10" i="14" a="1"/>
  <c r="C10" i="14"/>
  <c r="C10" i="8" a="1"/>
  <c r="C10" i="8"/>
  <c r="E10" i="8" a="1"/>
  <c r="E10" i="8"/>
  <c r="E10" i="12" a="1"/>
  <c r="E10" i="12"/>
  <c r="C10" i="12" a="1"/>
  <c r="C10" i="12"/>
  <c r="AJ10" i="22" a="1"/>
  <c r="AJ10" i="22"/>
  <c r="AH10" i="22" a="1"/>
  <c r="AH10" i="22"/>
  <c r="AJ10" i="20" a="1"/>
  <c r="AJ10" i="20"/>
  <c r="AH10" i="20" a="1"/>
  <c r="AH10" i="20"/>
  <c r="AJ10" i="21" a="1"/>
  <c r="AJ10" i="21"/>
  <c r="AH10" i="21" a="1"/>
  <c r="AH10" i="21"/>
  <c r="E10" i="10" a="1"/>
  <c r="E10" i="10"/>
  <c r="E10" i="22" a="1"/>
  <c r="E10" i="22"/>
  <c r="E10" i="24" a="1"/>
  <c r="E10" i="24"/>
  <c r="E10" i="20" a="1"/>
  <c r="E10" i="20"/>
  <c r="E10" i="21" a="1"/>
  <c r="E10" i="21"/>
  <c r="G10" i="14" a="1"/>
  <c r="G10" i="14"/>
  <c r="AK10" i="24" a="1"/>
  <c r="AK10" i="24"/>
  <c r="B10" i="12" a="1"/>
  <c r="B10" i="12"/>
  <c r="AG10" i="22" a="1"/>
  <c r="AG10" i="22"/>
  <c r="AG10" i="24" a="1"/>
  <c r="AG10" i="24"/>
  <c r="AG10" i="20" a="1"/>
  <c r="AG10" i="20"/>
  <c r="AG10" i="21" a="1"/>
  <c r="AG10" i="21"/>
  <c r="CH5" i="24"/>
  <c r="CG5" i="24"/>
  <c r="C5" i="24"/>
  <c r="D5" i="24"/>
  <c r="E5" i="24"/>
  <c r="B5" i="24"/>
  <c r="J7" i="24"/>
  <c r="I7" i="24"/>
  <c r="H7" i="24"/>
  <c r="G7" i="24"/>
  <c r="BR51" i="24"/>
  <c r="BR52" i="24"/>
  <c r="BR53" i="24"/>
  <c r="BR54" i="24"/>
  <c r="BR55" i="24"/>
  <c r="BR56" i="24"/>
  <c r="BR57" i="24"/>
  <c r="BR58" i="24"/>
  <c r="BR59" i="24"/>
  <c r="BR60" i="24"/>
  <c r="BR61" i="24"/>
  <c r="BR62" i="24"/>
  <c r="BR63" i="24"/>
  <c r="BR64" i="24"/>
  <c r="BR65" i="24"/>
  <c r="BR66" i="24"/>
  <c r="BR67" i="24"/>
  <c r="BR68" i="24"/>
  <c r="BR69" i="24"/>
  <c r="BR70" i="24"/>
  <c r="BR71" i="24"/>
  <c r="BR72" i="24"/>
  <c r="BR15" i="24"/>
  <c r="BR16" i="24"/>
  <c r="BR17" i="24"/>
  <c r="BR18" i="24"/>
  <c r="BR19" i="24"/>
  <c r="BR20" i="24"/>
  <c r="BR21" i="24"/>
  <c r="BR22" i="24"/>
  <c r="BR23" i="24"/>
  <c r="BR24" i="24"/>
  <c r="BR25" i="24"/>
  <c r="BR26" i="24"/>
  <c r="BR27" i="24"/>
  <c r="BR28" i="24"/>
  <c r="BR29" i="24"/>
  <c r="BR30" i="24"/>
  <c r="BR31" i="24"/>
  <c r="BR32" i="24"/>
  <c r="BR33" i="24"/>
  <c r="BR34" i="24"/>
  <c r="BR35" i="24"/>
  <c r="BR36" i="24"/>
  <c r="BR37" i="24"/>
  <c r="BR38" i="24"/>
  <c r="BR39" i="24"/>
  <c r="BR40" i="24"/>
  <c r="BR41" i="24"/>
  <c r="BR42" i="24"/>
  <c r="BR43" i="24"/>
  <c r="BR44" i="24"/>
  <c r="BR45" i="24"/>
  <c r="BR46" i="24"/>
  <c r="BR47" i="24"/>
  <c r="BR48" i="24"/>
  <c r="BR49" i="24"/>
  <c r="BR50" i="24"/>
  <c r="BR14" i="24"/>
  <c r="AL6" i="24"/>
  <c r="AV66" i="24" l="1"/>
  <c r="AV61" i="24"/>
  <c r="AV56" i="24"/>
  <c r="AV70" i="24"/>
  <c r="AV68" i="24"/>
  <c r="AV63" i="24"/>
  <c r="AV51" i="24"/>
  <c r="AV58" i="24"/>
  <c r="AV65" i="24"/>
  <c r="AV55" i="24"/>
  <c r="AV71" i="24"/>
  <c r="AV64" i="24"/>
  <c r="AV25" i="24"/>
  <c r="AV62" i="24"/>
  <c r="AV60" i="24"/>
  <c r="AV67" i="24"/>
  <c r="AV53" i="24"/>
  <c r="AV54" i="24"/>
  <c r="AV57" i="24"/>
  <c r="AV69" i="24"/>
  <c r="AV26" i="24"/>
  <c r="AV52" i="24"/>
  <c r="AV72" i="24"/>
  <c r="AV59" i="24"/>
  <c r="AK6" i="24"/>
  <c r="AS56" i="24" l="1"/>
  <c r="AS68" i="24"/>
  <c r="AS63" i="24"/>
  <c r="AS65" i="24"/>
  <c r="AS70" i="24"/>
  <c r="AS58" i="24"/>
  <c r="AS51" i="24"/>
  <c r="AS53" i="24"/>
  <c r="AS60" i="24"/>
  <c r="AS71" i="24"/>
  <c r="AS55" i="24"/>
  <c r="AS66" i="24"/>
  <c r="AS52" i="24"/>
  <c r="AS62" i="24"/>
  <c r="AS67" i="24"/>
  <c r="AS64" i="24"/>
  <c r="AJ6" i="24"/>
  <c r="AH6" i="24"/>
  <c r="AS72" i="24" l="1"/>
  <c r="AS59" i="24"/>
  <c r="AS69" i="24"/>
  <c r="AS61" i="24"/>
  <c r="AS54" i="24"/>
  <c r="AS57" i="24"/>
  <c r="AJ53" i="24"/>
  <c r="AJ60" i="24"/>
  <c r="AJ55" i="24"/>
  <c r="AJ72" i="24"/>
  <c r="AJ62" i="24"/>
  <c r="AJ66" i="24"/>
  <c r="AJ51" i="24"/>
  <c r="AJ56" i="24"/>
  <c r="AJ63" i="24"/>
  <c r="AJ64" i="24"/>
  <c r="AJ54" i="24"/>
  <c r="AJ68" i="24"/>
  <c r="AJ57" i="24"/>
  <c r="J72" i="24"/>
  <c r="D72" i="24"/>
  <c r="J71" i="24"/>
  <c r="D49" i="24"/>
  <c r="CI48" i="24"/>
  <c r="BU48" i="24"/>
  <c r="J48" i="24"/>
  <c r="D48" i="24"/>
  <c r="DR13" i="24"/>
  <c r="DQ13" i="24"/>
  <c r="DP13" i="24"/>
  <c r="AS6" i="24"/>
  <c r="AR6" i="24"/>
  <c r="AQ6" i="24"/>
  <c r="AP6" i="24"/>
  <c r="AO6" i="24"/>
  <c r="AN6" i="24"/>
  <c r="AL5" i="24" s="1"/>
  <c r="CL31" i="24"/>
  <c r="CI17" i="24"/>
  <c r="BT5" i="24"/>
  <c r="BX45" i="24" s="1"/>
  <c r="BS5" i="24"/>
  <c r="BU46" i="24" s="1"/>
  <c r="J35" i="24"/>
  <c r="D69" i="24"/>
  <c r="BT5" i="22"/>
  <c r="DJ13" i="22"/>
  <c r="DI13" i="22"/>
  <c r="AG5" i="22"/>
  <c r="AI5" i="22"/>
  <c r="AO17" i="22" s="1"/>
  <c r="AJ5" i="22"/>
  <c r="AK5" i="22"/>
  <c r="AL5" i="22"/>
  <c r="AH5" i="22"/>
  <c r="AI50" i="22"/>
  <c r="AS6" i="22"/>
  <c r="AR6" i="22"/>
  <c r="AQ6" i="22"/>
  <c r="AP6" i="22"/>
  <c r="AO6" i="22"/>
  <c r="AN6" i="22"/>
  <c r="BS5" i="22"/>
  <c r="CH5" i="22"/>
  <c r="CG5" i="22"/>
  <c r="CI37" i="22" s="1"/>
  <c r="D86" i="22"/>
  <c r="J85" i="22"/>
  <c r="D85" i="22"/>
  <c r="D84" i="22"/>
  <c r="J83" i="22"/>
  <c r="D83" i="22"/>
  <c r="D82" i="22"/>
  <c r="J81" i="22"/>
  <c r="D81" i="22"/>
  <c r="J79" i="22"/>
  <c r="D79" i="22"/>
  <c r="J78" i="22"/>
  <c r="J77" i="22"/>
  <c r="D77" i="22"/>
  <c r="J76" i="22"/>
  <c r="J75" i="22"/>
  <c r="D75" i="22"/>
  <c r="J74" i="22"/>
  <c r="J73" i="22"/>
  <c r="D73" i="22"/>
  <c r="J72" i="22"/>
  <c r="D72" i="22"/>
  <c r="J71" i="22"/>
  <c r="D71" i="22"/>
  <c r="J70" i="22"/>
  <c r="D70" i="22"/>
  <c r="D69" i="22"/>
  <c r="J68" i="22"/>
  <c r="D67" i="22"/>
  <c r="J66" i="22"/>
  <c r="D66" i="22"/>
  <c r="D65" i="22"/>
  <c r="J64" i="22"/>
  <c r="D64" i="22"/>
  <c r="J63" i="22"/>
  <c r="J62" i="22"/>
  <c r="D62" i="22"/>
  <c r="J61" i="22"/>
  <c r="J60" i="22"/>
  <c r="J59" i="22"/>
  <c r="D59" i="22"/>
  <c r="J58" i="22"/>
  <c r="D58" i="22"/>
  <c r="J57" i="22"/>
  <c r="D57" i="22"/>
  <c r="J56" i="22"/>
  <c r="D56" i="22"/>
  <c r="J55" i="22"/>
  <c r="D54" i="22"/>
  <c r="J53" i="22"/>
  <c r="D53" i="22"/>
  <c r="J51" i="22"/>
  <c r="D51" i="22"/>
  <c r="CL50" i="22"/>
  <c r="D50" i="22"/>
  <c r="DF49" i="22"/>
  <c r="CL49" i="22"/>
  <c r="D49" i="22"/>
  <c r="DF48" i="22"/>
  <c r="J48" i="22"/>
  <c r="DF47" i="22"/>
  <c r="J47" i="22"/>
  <c r="D47" i="22"/>
  <c r="DF46" i="22"/>
  <c r="CL46" i="22"/>
  <c r="J46" i="22"/>
  <c r="D46" i="22"/>
  <c r="DF45" i="22"/>
  <c r="J45" i="22"/>
  <c r="DF44" i="22"/>
  <c r="J44" i="22"/>
  <c r="D44" i="22"/>
  <c r="DF43" i="22"/>
  <c r="J43" i="22"/>
  <c r="D43" i="22"/>
  <c r="DF42" i="22"/>
  <c r="J42" i="22"/>
  <c r="DF41" i="22"/>
  <c r="BX41" i="22"/>
  <c r="J41" i="22"/>
  <c r="D41" i="22"/>
  <c r="DF40" i="22"/>
  <c r="CL40" i="22"/>
  <c r="BX40" i="22"/>
  <c r="BU40" i="22"/>
  <c r="J40" i="22"/>
  <c r="D40" i="22"/>
  <c r="DF39" i="22"/>
  <c r="BX39" i="22"/>
  <c r="D39" i="22"/>
  <c r="DF38" i="22"/>
  <c r="BX38" i="22"/>
  <c r="J38" i="22"/>
  <c r="D38" i="22"/>
  <c r="DF37" i="22"/>
  <c r="CL37" i="22"/>
  <c r="BX37" i="22"/>
  <c r="BU37" i="22"/>
  <c r="J37" i="22"/>
  <c r="D37" i="22"/>
  <c r="DF36" i="22"/>
  <c r="J36" i="22"/>
  <c r="D36" i="22"/>
  <c r="DF35" i="22"/>
  <c r="CL35" i="22"/>
  <c r="BU35" i="22"/>
  <c r="J35" i="22"/>
  <c r="DF34" i="22"/>
  <c r="J34" i="22"/>
  <c r="D34" i="22"/>
  <c r="DF33" i="22"/>
  <c r="J33" i="22"/>
  <c r="D33" i="22"/>
  <c r="DF32" i="22"/>
  <c r="J32" i="22"/>
  <c r="D32" i="22"/>
  <c r="DF31" i="22"/>
  <c r="AO31" i="22"/>
  <c r="J31" i="22"/>
  <c r="D31" i="22"/>
  <c r="DF30" i="22"/>
  <c r="J30" i="22"/>
  <c r="D30" i="22"/>
  <c r="DF29" i="22"/>
  <c r="AO29" i="22"/>
  <c r="DF28" i="22"/>
  <c r="AO28" i="22"/>
  <c r="J28" i="22"/>
  <c r="D28" i="22"/>
  <c r="DF27" i="22"/>
  <c r="J27" i="22"/>
  <c r="DF26" i="22"/>
  <c r="J26" i="22"/>
  <c r="DF25" i="22"/>
  <c r="CL25" i="22"/>
  <c r="J25" i="22"/>
  <c r="DF24" i="22"/>
  <c r="CL24" i="22"/>
  <c r="J24" i="22"/>
  <c r="DF23" i="22"/>
  <c r="D23" i="22"/>
  <c r="DF22" i="22"/>
  <c r="CL22" i="22"/>
  <c r="D22" i="22"/>
  <c r="DF21" i="22"/>
  <c r="D21" i="22"/>
  <c r="DF20" i="22"/>
  <c r="CL20" i="22"/>
  <c r="D20" i="22"/>
  <c r="DF19" i="22"/>
  <c r="D19" i="22"/>
  <c r="DF18" i="22"/>
  <c r="D18" i="22"/>
  <c r="DF17" i="22"/>
  <c r="J17" i="22"/>
  <c r="D17" i="22"/>
  <c r="DF16" i="22"/>
  <c r="J16" i="22"/>
  <c r="D16" i="22"/>
  <c r="DF15" i="22"/>
  <c r="J15" i="22"/>
  <c r="D15" i="22"/>
  <c r="DF14" i="22"/>
  <c r="DF13" i="22"/>
  <c r="AJ6" i="22"/>
  <c r="AH6" i="22"/>
  <c r="CL32" i="22"/>
  <c r="BU49" i="22"/>
  <c r="AO21" i="22"/>
  <c r="E5" i="22"/>
  <c r="D5" i="22"/>
  <c r="J29" i="22" s="1"/>
  <c r="C5" i="22"/>
  <c r="B5" i="22"/>
  <c r="J84" i="21"/>
  <c r="J83" i="21"/>
  <c r="J80" i="21"/>
  <c r="J79" i="21"/>
  <c r="J78" i="21"/>
  <c r="J76" i="21"/>
  <c r="J74" i="21"/>
  <c r="J70" i="21"/>
  <c r="D67" i="21"/>
  <c r="J58" i="21"/>
  <c r="CL50" i="21"/>
  <c r="CI50" i="21"/>
  <c r="AI50" i="21"/>
  <c r="DN49" i="21"/>
  <c r="DM49" i="21"/>
  <c r="DF49" i="21"/>
  <c r="CI49" i="21"/>
  <c r="DN48" i="21"/>
  <c r="DM48" i="21"/>
  <c r="DF48" i="21"/>
  <c r="AI48" i="21"/>
  <c r="DN47" i="21"/>
  <c r="DM47" i="21"/>
  <c r="DF47" i="21"/>
  <c r="CL47" i="21"/>
  <c r="CI47" i="21"/>
  <c r="DN46" i="21"/>
  <c r="DM46" i="21"/>
  <c r="DF46" i="21"/>
  <c r="CI46" i="21"/>
  <c r="J46" i="21"/>
  <c r="DN45" i="21"/>
  <c r="DM45" i="21"/>
  <c r="DF45" i="21"/>
  <c r="AI45" i="21"/>
  <c r="DN44" i="21"/>
  <c r="DM44" i="21"/>
  <c r="DF44" i="21"/>
  <c r="CI44" i="21"/>
  <c r="BX44" i="21"/>
  <c r="DN43" i="21"/>
  <c r="DM43" i="21"/>
  <c r="DF43" i="21"/>
  <c r="AI43" i="21"/>
  <c r="DN42" i="21"/>
  <c r="DM42" i="21"/>
  <c r="DF42" i="21"/>
  <c r="AO42" i="21"/>
  <c r="AI42" i="21"/>
  <c r="DN41" i="21"/>
  <c r="DM41" i="21"/>
  <c r="DF41" i="21"/>
  <c r="CI41" i="21"/>
  <c r="BX41" i="21"/>
  <c r="DN40" i="21"/>
  <c r="DM40" i="21"/>
  <c r="DF40" i="21"/>
  <c r="CI40" i="21"/>
  <c r="AI40" i="21"/>
  <c r="DN39" i="21"/>
  <c r="DM39" i="21"/>
  <c r="DF39" i="21"/>
  <c r="J39" i="21"/>
  <c r="DN38" i="21"/>
  <c r="DM38" i="21"/>
  <c r="DF38" i="21"/>
  <c r="DN37" i="21"/>
  <c r="DM37" i="21"/>
  <c r="DF37" i="21"/>
  <c r="CI37" i="21"/>
  <c r="AI37" i="21"/>
  <c r="DN36" i="21"/>
  <c r="DM36" i="21"/>
  <c r="DF36" i="21"/>
  <c r="CI36" i="21"/>
  <c r="AO36" i="21"/>
  <c r="AI36" i="21"/>
  <c r="DN35" i="21"/>
  <c r="DM35" i="21"/>
  <c r="DF35" i="21"/>
  <c r="CI35" i="21"/>
  <c r="BU35" i="21"/>
  <c r="DN34" i="21"/>
  <c r="DM34" i="21"/>
  <c r="DF34" i="21"/>
  <c r="CI34" i="21"/>
  <c r="BX34" i="21"/>
  <c r="DN33" i="21"/>
  <c r="DM33" i="21"/>
  <c r="DF33" i="21"/>
  <c r="CI33" i="21"/>
  <c r="BU33" i="21"/>
  <c r="AI33" i="21"/>
  <c r="J33" i="21"/>
  <c r="D33" i="21"/>
  <c r="DN32" i="21"/>
  <c r="DM32" i="21"/>
  <c r="DF32" i="21"/>
  <c r="J32" i="21"/>
  <c r="DN31" i="21"/>
  <c r="DM31" i="21"/>
  <c r="DF31" i="21"/>
  <c r="CI31" i="21"/>
  <c r="AI31" i="21"/>
  <c r="DN30" i="21"/>
  <c r="DM30" i="21"/>
  <c r="DF30" i="21"/>
  <c r="CI30" i="21"/>
  <c r="AI30" i="21"/>
  <c r="J30" i="21"/>
  <c r="DN29" i="21"/>
  <c r="DM29" i="21"/>
  <c r="DF29" i="21"/>
  <c r="CI29" i="21"/>
  <c r="BX29" i="21"/>
  <c r="BU29" i="21"/>
  <c r="AI29" i="21"/>
  <c r="DN28" i="21"/>
  <c r="DM28" i="21"/>
  <c r="DF28" i="21"/>
  <c r="CL28" i="21"/>
  <c r="CI28" i="21"/>
  <c r="DN27" i="21"/>
  <c r="DM27" i="21"/>
  <c r="DF27" i="21"/>
  <c r="CI27" i="21"/>
  <c r="AI27" i="21"/>
  <c r="DN26" i="21"/>
  <c r="DM26" i="21"/>
  <c r="DF26" i="21"/>
  <c r="CL26" i="21"/>
  <c r="CI26" i="21"/>
  <c r="AI26" i="21"/>
  <c r="DN25" i="21"/>
  <c r="DM25" i="21"/>
  <c r="DF25" i="21"/>
  <c r="CI25" i="21"/>
  <c r="AI25" i="21"/>
  <c r="J25" i="21"/>
  <c r="DN24" i="21"/>
  <c r="DM24" i="21"/>
  <c r="DF24" i="21"/>
  <c r="CI24" i="21"/>
  <c r="BX24" i="21"/>
  <c r="AO24" i="21"/>
  <c r="AI24" i="21"/>
  <c r="J24" i="21"/>
  <c r="DN23" i="21"/>
  <c r="DM23" i="21"/>
  <c r="DF23" i="21"/>
  <c r="CI23" i="21"/>
  <c r="AO23" i="21"/>
  <c r="AI23" i="21"/>
  <c r="J23" i="21"/>
  <c r="DN22" i="21"/>
  <c r="DM22" i="21"/>
  <c r="DF22" i="21"/>
  <c r="CI22" i="21"/>
  <c r="BX22" i="21"/>
  <c r="BU22" i="21"/>
  <c r="AO22" i="21"/>
  <c r="AI22" i="21"/>
  <c r="J22" i="21"/>
  <c r="DN21" i="21"/>
  <c r="DM21" i="21"/>
  <c r="DF21" i="21"/>
  <c r="CI21" i="21"/>
  <c r="BU21" i="21"/>
  <c r="AO21" i="21"/>
  <c r="AI21" i="21"/>
  <c r="J21" i="21"/>
  <c r="DN20" i="21"/>
  <c r="DM20" i="21"/>
  <c r="DF20" i="21"/>
  <c r="CI20" i="21"/>
  <c r="BX20" i="21"/>
  <c r="AI20" i="21"/>
  <c r="J20" i="21"/>
  <c r="DN19" i="21"/>
  <c r="DM19" i="21"/>
  <c r="DF19" i="21"/>
  <c r="CI19" i="21"/>
  <c r="AI19" i="21"/>
  <c r="J19" i="21"/>
  <c r="DN18" i="21"/>
  <c r="DM18" i="21"/>
  <c r="DF18" i="21"/>
  <c r="CI18" i="21"/>
  <c r="BX18" i="21"/>
  <c r="BU18" i="21"/>
  <c r="AI18" i="21"/>
  <c r="DN17" i="21"/>
  <c r="DM17" i="21"/>
  <c r="DF17" i="21"/>
  <c r="CI17" i="21"/>
  <c r="AI17" i="21"/>
  <c r="DN16" i="21"/>
  <c r="DM16" i="21"/>
  <c r="DF16" i="21"/>
  <c r="CI16" i="21"/>
  <c r="AI16" i="21"/>
  <c r="J16" i="21"/>
  <c r="DN15" i="21"/>
  <c r="DM15" i="21"/>
  <c r="DF15" i="21"/>
  <c r="CI15" i="21"/>
  <c r="BX15" i="21"/>
  <c r="BU15" i="21"/>
  <c r="AI15" i="21"/>
  <c r="J15" i="21"/>
  <c r="DN14" i="21"/>
  <c r="DM14" i="21"/>
  <c r="DF14" i="21"/>
  <c r="DF13" i="21"/>
  <c r="DN10" i="21"/>
  <c r="DM10" i="21"/>
  <c r="AJ6" i="21"/>
  <c r="AH6" i="21"/>
  <c r="CH5" i="21"/>
  <c r="CL33" i="21" s="1"/>
  <c r="CG5" i="21"/>
  <c r="BT5" i="21"/>
  <c r="BS5" i="21"/>
  <c r="AL5" i="21"/>
  <c r="AK5" i="21"/>
  <c r="AJ5" i="21"/>
  <c r="AI5" i="21"/>
  <c r="AH5" i="21"/>
  <c r="AG5" i="21"/>
  <c r="E5" i="21"/>
  <c r="D5" i="21"/>
  <c r="J62" i="21" s="1"/>
  <c r="C5" i="21"/>
  <c r="B5" i="21"/>
  <c r="AJ59" i="24" l="1"/>
  <c r="AJ52" i="24"/>
  <c r="AJ58" i="24"/>
  <c r="AJ61" i="24"/>
  <c r="AJ65" i="24"/>
  <c r="AJ70" i="24"/>
  <c r="AJ69" i="24"/>
  <c r="AJ71" i="24"/>
  <c r="AJ67" i="24"/>
  <c r="AJ5" i="24"/>
  <c r="D15" i="24"/>
  <c r="CI20" i="24"/>
  <c r="D26" i="24"/>
  <c r="D27" i="24"/>
  <c r="CL34" i="24"/>
  <c r="D76" i="24"/>
  <c r="D82" i="24"/>
  <c r="D85" i="24"/>
  <c r="AK5" i="24"/>
  <c r="J34" i="24"/>
  <c r="D28" i="24"/>
  <c r="D78" i="24"/>
  <c r="J33" i="24"/>
  <c r="D34" i="24"/>
  <c r="D35" i="24"/>
  <c r="D36" i="24"/>
  <c r="D81" i="24"/>
  <c r="D37" i="24"/>
  <c r="D38" i="24"/>
  <c r="D30" i="24"/>
  <c r="D39" i="24"/>
  <c r="D44" i="24"/>
  <c r="D29" i="24"/>
  <c r="D33" i="24"/>
  <c r="D41" i="24"/>
  <c r="D45" i="24"/>
  <c r="J21" i="24"/>
  <c r="D61" i="24"/>
  <c r="D18" i="24"/>
  <c r="D54" i="24"/>
  <c r="CI21" i="24"/>
  <c r="D63" i="24"/>
  <c r="D50" i="24"/>
  <c r="D51" i="24"/>
  <c r="D55" i="24"/>
  <c r="D58" i="24"/>
  <c r="CL21" i="24"/>
  <c r="D70" i="24"/>
  <c r="D16" i="24"/>
  <c r="D21" i="24"/>
  <c r="D22" i="24"/>
  <c r="J70" i="24"/>
  <c r="AP72" i="24"/>
  <c r="AP71" i="24"/>
  <c r="AP52" i="24"/>
  <c r="AG72" i="24"/>
  <c r="AG55" i="24"/>
  <c r="AG64" i="24"/>
  <c r="AG69" i="24"/>
  <c r="AG59" i="24"/>
  <c r="AG65" i="24"/>
  <c r="AG60" i="24"/>
  <c r="AG63" i="24"/>
  <c r="AG54" i="24"/>
  <c r="AG66" i="24"/>
  <c r="AG56" i="24"/>
  <c r="AG61" i="24"/>
  <c r="AG58" i="24"/>
  <c r="AG68" i="24"/>
  <c r="AG70" i="24"/>
  <c r="AG51" i="24"/>
  <c r="AG71" i="24"/>
  <c r="AG53" i="24"/>
  <c r="AG52" i="24"/>
  <c r="AM52" i="24"/>
  <c r="AM63" i="24"/>
  <c r="AM59" i="24"/>
  <c r="AM64" i="24"/>
  <c r="CJ51" i="24"/>
  <c r="CJ62" i="24"/>
  <c r="CJ57" i="24"/>
  <c r="CJ58" i="24"/>
  <c r="CJ68" i="24"/>
  <c r="CJ52" i="24"/>
  <c r="CJ63" i="24"/>
  <c r="CJ53" i="24"/>
  <c r="CG68" i="24"/>
  <c r="CG52" i="24"/>
  <c r="CG63" i="24"/>
  <c r="CG53" i="24"/>
  <c r="CG69" i="24"/>
  <c r="CG59" i="24"/>
  <c r="CG55" i="24"/>
  <c r="CG54" i="24"/>
  <c r="CG56" i="24"/>
  <c r="CG71" i="24"/>
  <c r="CG65" i="24"/>
  <c r="CG67" i="24"/>
  <c r="CG70" i="24"/>
  <c r="CG62" i="24"/>
  <c r="CG72" i="24"/>
  <c r="CG66" i="24"/>
  <c r="CG60" i="24"/>
  <c r="CG61" i="24"/>
  <c r="BS70" i="24"/>
  <c r="BS64" i="24"/>
  <c r="BV58" i="24"/>
  <c r="BV56" i="24"/>
  <c r="BV53" i="24"/>
  <c r="BV64" i="24"/>
  <c r="BV59" i="24"/>
  <c r="BV61" i="24"/>
  <c r="BV60" i="24"/>
  <c r="BV55" i="24"/>
  <c r="BV63" i="24"/>
  <c r="BV51" i="24"/>
  <c r="BV52" i="24"/>
  <c r="BV67" i="24"/>
  <c r="J32" i="24"/>
  <c r="J47" i="24"/>
  <c r="J69" i="24"/>
  <c r="CL20" i="24"/>
  <c r="CI32" i="24"/>
  <c r="CL47" i="24"/>
  <c r="J23" i="24"/>
  <c r="J36" i="24"/>
  <c r="J50" i="24"/>
  <c r="CI23" i="24"/>
  <c r="CL50" i="24"/>
  <c r="J78" i="24"/>
  <c r="CL23" i="24"/>
  <c r="J79" i="24"/>
  <c r="J24" i="24"/>
  <c r="J38" i="24"/>
  <c r="J51" i="24"/>
  <c r="J25" i="24"/>
  <c r="CI38" i="24"/>
  <c r="J52" i="24"/>
  <c r="CI25" i="24"/>
  <c r="J83" i="24"/>
  <c r="CL25" i="24"/>
  <c r="J17" i="24"/>
  <c r="CL43" i="24"/>
  <c r="J61" i="24"/>
  <c r="J29" i="24"/>
  <c r="CI49" i="24"/>
  <c r="CI57" i="24"/>
  <c r="CI68" i="24"/>
  <c r="CI53" i="24"/>
  <c r="CI52" i="24"/>
  <c r="CI63" i="24"/>
  <c r="CI58" i="24"/>
  <c r="CI64" i="24"/>
  <c r="CI69" i="24"/>
  <c r="CI72" i="24"/>
  <c r="CI67" i="24"/>
  <c r="CI54" i="24"/>
  <c r="CI55" i="24"/>
  <c r="CI51" i="24"/>
  <c r="CI71" i="24"/>
  <c r="CI65" i="24"/>
  <c r="CI60" i="24"/>
  <c r="CI61" i="24"/>
  <c r="CI62" i="24"/>
  <c r="CI56" i="24"/>
  <c r="CI66" i="24"/>
  <c r="CI59" i="24"/>
  <c r="CI70" i="24"/>
  <c r="J77" i="24"/>
  <c r="J39" i="24"/>
  <c r="J85" i="24"/>
  <c r="J27" i="24"/>
  <c r="CL27" i="24"/>
  <c r="J45" i="24"/>
  <c r="CL18" i="24"/>
  <c r="J30" i="24"/>
  <c r="D64" i="24"/>
  <c r="BX43" i="24"/>
  <c r="BX64" i="24"/>
  <c r="BX55" i="24"/>
  <c r="BX72" i="24"/>
  <c r="BX51" i="24"/>
  <c r="BX52" i="24"/>
  <c r="BX71" i="24"/>
  <c r="BX70" i="24"/>
  <c r="BX62" i="24"/>
  <c r="BX56" i="24"/>
  <c r="BX54" i="24"/>
  <c r="BX63" i="24"/>
  <c r="BX61" i="24"/>
  <c r="BX68" i="24"/>
  <c r="BX69" i="24"/>
  <c r="BX67" i="24"/>
  <c r="BX57" i="24"/>
  <c r="BX53" i="24"/>
  <c r="BX65" i="24"/>
  <c r="BX58" i="24"/>
  <c r="BX60" i="24"/>
  <c r="BX59" i="24"/>
  <c r="BX66" i="24"/>
  <c r="BU22" i="24"/>
  <c r="J26" i="24"/>
  <c r="J42" i="24"/>
  <c r="J15" i="24"/>
  <c r="CL42" i="24"/>
  <c r="J63" i="24"/>
  <c r="D19" i="24"/>
  <c r="CI30" i="24"/>
  <c r="CI45" i="24"/>
  <c r="D66" i="24"/>
  <c r="J56" i="24"/>
  <c r="CI26" i="24"/>
  <c r="CI42" i="24"/>
  <c r="CL15" i="24"/>
  <c r="J60" i="24"/>
  <c r="J18" i="24"/>
  <c r="J19" i="24"/>
  <c r="CL30" i="24"/>
  <c r="D46" i="24"/>
  <c r="D67" i="24"/>
  <c r="J73" i="24"/>
  <c r="J55" i="24"/>
  <c r="J41" i="24"/>
  <c r="CL19" i="24"/>
  <c r="J31" i="24"/>
  <c r="J67" i="24"/>
  <c r="BU55" i="24"/>
  <c r="BU65" i="24"/>
  <c r="BU72" i="24"/>
  <c r="BU56" i="24"/>
  <c r="BU62" i="24"/>
  <c r="BU58" i="24"/>
  <c r="BU61" i="24"/>
  <c r="BU59" i="24"/>
  <c r="BU51" i="24"/>
  <c r="BU68" i="24"/>
  <c r="BU57" i="24"/>
  <c r="BU69" i="24"/>
  <c r="BU71" i="24"/>
  <c r="BU67" i="24"/>
  <c r="BU60" i="24"/>
  <c r="BU70" i="24"/>
  <c r="BU54" i="24"/>
  <c r="BU63" i="24"/>
  <c r="BU52" i="24"/>
  <c r="BU64" i="24"/>
  <c r="BU53" i="24"/>
  <c r="BU66" i="24"/>
  <c r="J22" i="24"/>
  <c r="J58" i="24"/>
  <c r="J43" i="24"/>
  <c r="D20" i="24"/>
  <c r="CI46" i="24"/>
  <c r="J68" i="24"/>
  <c r="J49" i="24"/>
  <c r="CL17" i="24"/>
  <c r="CL67" i="24"/>
  <c r="CL51" i="24"/>
  <c r="CL62" i="24"/>
  <c r="CL57" i="24"/>
  <c r="CL63" i="24"/>
  <c r="CL52" i="24"/>
  <c r="CL68" i="24"/>
  <c r="CL58" i="24"/>
  <c r="CL60" i="24"/>
  <c r="CL70" i="24"/>
  <c r="CL56" i="24"/>
  <c r="CL69" i="24"/>
  <c r="CL61" i="24"/>
  <c r="CL71" i="24"/>
  <c r="CL59" i="24"/>
  <c r="CL55" i="24"/>
  <c r="CL66" i="24"/>
  <c r="CL54" i="24"/>
  <c r="CL64" i="24"/>
  <c r="CL65" i="24"/>
  <c r="CL72" i="24"/>
  <c r="CL53" i="24"/>
  <c r="J84" i="24"/>
  <c r="J57" i="24"/>
  <c r="J20" i="24"/>
  <c r="D32" i="24"/>
  <c r="CL46" i="24"/>
  <c r="DI13" i="24"/>
  <c r="K65" i="24"/>
  <c r="K46" i="24"/>
  <c r="K82" i="24"/>
  <c r="K23" i="24"/>
  <c r="K66" i="24"/>
  <c r="K83" i="24"/>
  <c r="K51" i="24"/>
  <c r="K29" i="24"/>
  <c r="K64" i="24"/>
  <c r="K86" i="24"/>
  <c r="K59" i="24"/>
  <c r="K27" i="24"/>
  <c r="K57" i="24"/>
  <c r="K20" i="24"/>
  <c r="K69" i="24"/>
  <c r="K77" i="24"/>
  <c r="K53" i="24"/>
  <c r="K50" i="24"/>
  <c r="K68" i="24"/>
  <c r="K52" i="24"/>
  <c r="K79" i="24"/>
  <c r="K58" i="24"/>
  <c r="K36" i="24"/>
  <c r="K25" i="24"/>
  <c r="K37" i="24"/>
  <c r="K84" i="24"/>
  <c r="K63" i="24"/>
  <c r="K14" i="24"/>
  <c r="K47" i="24"/>
  <c r="K49" i="24"/>
  <c r="K56" i="24"/>
  <c r="K24" i="24"/>
  <c r="K42" i="24"/>
  <c r="K78" i="24"/>
  <c r="K67" i="24"/>
  <c r="K26" i="24"/>
  <c r="K44" i="24"/>
  <c r="K19" i="24"/>
  <c r="K74" i="24"/>
  <c r="K17" i="24"/>
  <c r="K38" i="24"/>
  <c r="AP43" i="24"/>
  <c r="AP16" i="24"/>
  <c r="AP47" i="24"/>
  <c r="AP33" i="24"/>
  <c r="AJ37" i="24"/>
  <c r="AJ30" i="24"/>
  <c r="AJ45" i="24"/>
  <c r="AJ36" i="24"/>
  <c r="AJ49" i="24"/>
  <c r="AJ42" i="24"/>
  <c r="AJ17" i="24"/>
  <c r="AJ23" i="24"/>
  <c r="AJ32" i="24"/>
  <c r="AJ25" i="24"/>
  <c r="AJ34" i="24"/>
  <c r="AJ48" i="24"/>
  <c r="AJ38" i="24"/>
  <c r="AJ50" i="24"/>
  <c r="AJ14" i="24"/>
  <c r="AJ15" i="24"/>
  <c r="AJ26" i="24"/>
  <c r="AJ18" i="24"/>
  <c r="AJ21" i="24"/>
  <c r="AJ43" i="24"/>
  <c r="AJ27" i="24"/>
  <c r="AG36" i="24"/>
  <c r="AG45" i="24"/>
  <c r="AG27" i="24"/>
  <c r="AG38" i="24"/>
  <c r="AG48" i="24"/>
  <c r="AG29" i="24"/>
  <c r="AG41" i="24"/>
  <c r="AG17" i="24"/>
  <c r="AG25" i="24"/>
  <c r="AG47" i="24"/>
  <c r="AG46" i="24"/>
  <c r="AG50" i="24"/>
  <c r="AG49" i="24"/>
  <c r="AG16" i="24"/>
  <c r="AG33" i="24"/>
  <c r="AG40" i="24"/>
  <c r="AG30" i="24"/>
  <c r="AG22" i="24"/>
  <c r="AG39" i="24"/>
  <c r="AG43" i="24"/>
  <c r="AG23" i="24"/>
  <c r="AG35" i="24"/>
  <c r="AG18" i="24"/>
  <c r="AG26" i="24"/>
  <c r="AG19" i="24"/>
  <c r="AG37" i="24"/>
  <c r="AG42" i="24"/>
  <c r="AG24" i="24"/>
  <c r="AG28" i="24"/>
  <c r="AG31" i="24"/>
  <c r="AG44" i="24"/>
  <c r="AG21" i="24"/>
  <c r="AG15" i="24"/>
  <c r="AM46" i="24"/>
  <c r="AM16" i="24"/>
  <c r="AM44" i="24"/>
  <c r="AM24" i="24"/>
  <c r="AM19" i="24"/>
  <c r="AM43" i="24"/>
  <c r="AM27" i="24"/>
  <c r="AM39" i="24"/>
  <c r="AM21" i="24"/>
  <c r="AM32" i="24"/>
  <c r="AM22" i="24"/>
  <c r="AM47" i="24"/>
  <c r="AS25" i="24"/>
  <c r="AS50" i="24"/>
  <c r="AS34" i="24"/>
  <c r="AS33" i="24"/>
  <c r="AS37" i="24"/>
  <c r="AS46" i="24"/>
  <c r="AS32" i="24"/>
  <c r="AS14" i="24"/>
  <c r="AS43" i="24"/>
  <c r="AS20" i="24"/>
  <c r="AS38" i="24"/>
  <c r="AS23" i="24"/>
  <c r="AS40" i="24"/>
  <c r="AS45" i="24"/>
  <c r="AS35" i="24"/>
  <c r="AS26" i="24"/>
  <c r="AS28" i="24"/>
  <c r="AS17" i="24"/>
  <c r="AS30" i="24"/>
  <c r="AS44" i="24"/>
  <c r="AS24" i="24"/>
  <c r="AS16" i="24"/>
  <c r="AS41" i="24"/>
  <c r="AS22" i="24"/>
  <c r="AS49" i="24"/>
  <c r="AS29" i="24"/>
  <c r="AS19" i="24"/>
  <c r="AV43" i="24"/>
  <c r="AV20" i="24"/>
  <c r="AV33" i="24"/>
  <c r="AV49" i="24"/>
  <c r="AV47" i="24"/>
  <c r="AV14" i="24"/>
  <c r="AX54" i="24" s="1"/>
  <c r="AV19" i="24"/>
  <c r="AV38" i="24"/>
  <c r="AV42" i="24"/>
  <c r="AV44" i="24"/>
  <c r="AV50" i="24"/>
  <c r="AV21" i="24"/>
  <c r="AV15" i="24"/>
  <c r="AV45" i="24"/>
  <c r="AV28" i="24"/>
  <c r="AV23" i="24"/>
  <c r="AV24" i="24"/>
  <c r="AV30" i="24"/>
  <c r="AV17" i="24"/>
  <c r="AV31" i="24"/>
  <c r="AV40" i="24"/>
  <c r="AV16" i="24"/>
  <c r="AV22" i="24"/>
  <c r="AV37" i="24"/>
  <c r="AV39" i="24"/>
  <c r="AV18" i="24"/>
  <c r="AV34" i="24"/>
  <c r="AV46" i="24"/>
  <c r="AV48" i="24"/>
  <c r="AV27" i="24"/>
  <c r="AV29" i="24"/>
  <c r="CJ16" i="24"/>
  <c r="CJ17" i="24"/>
  <c r="CJ48" i="24"/>
  <c r="CJ25" i="24"/>
  <c r="CJ21" i="24"/>
  <c r="CJ42" i="24"/>
  <c r="CJ46" i="24"/>
  <c r="CJ30" i="24"/>
  <c r="E31" i="24"/>
  <c r="E84" i="24"/>
  <c r="E42" i="24"/>
  <c r="E57" i="24"/>
  <c r="E19" i="24"/>
  <c r="E74" i="24"/>
  <c r="E52" i="24"/>
  <c r="E30" i="24"/>
  <c r="E69" i="24"/>
  <c r="E41" i="24"/>
  <c r="E68" i="24"/>
  <c r="E80" i="24"/>
  <c r="E71" i="24"/>
  <c r="E17" i="24"/>
  <c r="E56" i="24"/>
  <c r="E46" i="24"/>
  <c r="E22" i="24"/>
  <c r="E81" i="24"/>
  <c r="E85" i="24"/>
  <c r="E75" i="24"/>
  <c r="E21" i="24"/>
  <c r="E38" i="24"/>
  <c r="E63" i="24"/>
  <c r="E72" i="24"/>
  <c r="E35" i="24"/>
  <c r="E51" i="24"/>
  <c r="E78" i="24"/>
  <c r="E28" i="24"/>
  <c r="E50" i="24"/>
  <c r="E36" i="24"/>
  <c r="B72" i="24"/>
  <c r="B29" i="24"/>
  <c r="B57" i="24"/>
  <c r="B38" i="24"/>
  <c r="B73" i="24"/>
  <c r="B58" i="24"/>
  <c r="B48" i="24"/>
  <c r="B46" i="24"/>
  <c r="B20" i="24"/>
  <c r="B14" i="24"/>
  <c r="G5" i="24" s="1"/>
  <c r="B67" i="24"/>
  <c r="B45" i="24"/>
  <c r="B44" i="24"/>
  <c r="B62" i="24"/>
  <c r="B79" i="24"/>
  <c r="B53" i="24"/>
  <c r="B50" i="24"/>
  <c r="B39" i="24"/>
  <c r="B18" i="24"/>
  <c r="B47" i="24"/>
  <c r="B24" i="24"/>
  <c r="B77" i="24"/>
  <c r="B65" i="24"/>
  <c r="B80" i="24"/>
  <c r="B71" i="24"/>
  <c r="B68" i="24"/>
  <c r="B56" i="24"/>
  <c r="B17" i="24"/>
  <c r="B86" i="24"/>
  <c r="B40" i="24"/>
  <c r="B25" i="24"/>
  <c r="B70" i="24"/>
  <c r="B41" i="24"/>
  <c r="B49" i="24"/>
  <c r="B82" i="24"/>
  <c r="B78" i="24"/>
  <c r="B27" i="24"/>
  <c r="B75" i="24"/>
  <c r="B85" i="24"/>
  <c r="B26" i="24"/>
  <c r="B30" i="24"/>
  <c r="B43" i="24"/>
  <c r="B34" i="24"/>
  <c r="B76" i="24"/>
  <c r="B55" i="24"/>
  <c r="B63" i="24"/>
  <c r="B81" i="24"/>
  <c r="B36" i="24"/>
  <c r="B15" i="24"/>
  <c r="B60" i="24"/>
  <c r="B32" i="24"/>
  <c r="B51" i="24"/>
  <c r="B52" i="24"/>
  <c r="B64" i="24"/>
  <c r="H27" i="24"/>
  <c r="H26" i="24"/>
  <c r="H62" i="24"/>
  <c r="H16" i="24"/>
  <c r="H35" i="24"/>
  <c r="H49" i="24"/>
  <c r="H24" i="24"/>
  <c r="H46" i="24"/>
  <c r="H65" i="24"/>
  <c r="H73" i="24"/>
  <c r="H61" i="24"/>
  <c r="H85" i="24"/>
  <c r="H22" i="24"/>
  <c r="H43" i="24"/>
  <c r="H57" i="24"/>
  <c r="H38" i="24"/>
  <c r="H39" i="24"/>
  <c r="H55" i="24"/>
  <c r="H84" i="24"/>
  <c r="H50" i="24"/>
  <c r="H33" i="24"/>
  <c r="H54" i="24"/>
  <c r="H18" i="24"/>
  <c r="H72" i="24"/>
  <c r="H45" i="24"/>
  <c r="H32" i="24"/>
  <c r="CG41" i="24"/>
  <c r="CG40" i="24"/>
  <c r="CG28" i="24"/>
  <c r="CG27" i="24"/>
  <c r="CG26" i="24"/>
  <c r="CG47" i="24"/>
  <c r="CG34" i="24"/>
  <c r="CG15" i="24"/>
  <c r="CG24" i="24"/>
  <c r="CG37" i="24"/>
  <c r="CG50" i="24"/>
  <c r="CG35" i="24"/>
  <c r="CG19" i="24"/>
  <c r="CG31" i="24"/>
  <c r="CG39" i="24"/>
  <c r="CG33" i="24"/>
  <c r="CG16" i="24"/>
  <c r="CG23" i="24"/>
  <c r="CG14" i="24"/>
  <c r="CG42" i="24"/>
  <c r="CG22" i="24"/>
  <c r="CG18" i="24"/>
  <c r="CG20" i="24"/>
  <c r="CG25" i="24"/>
  <c r="CG49" i="24"/>
  <c r="CG36" i="24"/>
  <c r="CG17" i="24"/>
  <c r="CG48" i="24"/>
  <c r="CG21" i="24"/>
  <c r="CG38" i="24"/>
  <c r="CG46" i="24"/>
  <c r="CG57" i="24"/>
  <c r="CG30" i="24"/>
  <c r="CG43" i="24"/>
  <c r="CG45" i="24"/>
  <c r="BS22" i="24"/>
  <c r="BS23" i="24"/>
  <c r="BS17" i="24"/>
  <c r="BS16" i="24"/>
  <c r="BS26" i="24"/>
  <c r="BS15" i="24"/>
  <c r="BS24" i="24"/>
  <c r="BS41" i="24"/>
  <c r="BS27" i="24"/>
  <c r="BS29" i="24"/>
  <c r="BV28" i="24"/>
  <c r="BV37" i="24"/>
  <c r="BV42" i="24"/>
  <c r="BV30" i="24"/>
  <c r="BV41" i="24"/>
  <c r="BV39" i="24"/>
  <c r="BV33" i="24"/>
  <c r="BV24" i="24"/>
  <c r="BV50" i="24"/>
  <c r="BV25" i="24"/>
  <c r="BV16" i="24"/>
  <c r="BV27" i="24"/>
  <c r="BV26" i="24"/>
  <c r="BV47" i="24"/>
  <c r="BV34" i="24"/>
  <c r="BV21" i="24"/>
  <c r="BV65" i="24"/>
  <c r="BV44" i="24"/>
  <c r="BV29" i="24"/>
  <c r="BV35" i="24"/>
  <c r="BV19" i="24"/>
  <c r="BV31" i="24"/>
  <c r="BV18" i="24"/>
  <c r="BV15" i="24"/>
  <c r="BV14" i="24"/>
  <c r="BV23" i="24"/>
  <c r="BV40" i="24"/>
  <c r="BV22" i="24"/>
  <c r="BV38" i="24"/>
  <c r="BV17" i="24"/>
  <c r="BV36" i="24"/>
  <c r="BV45" i="24"/>
  <c r="BV49" i="24"/>
  <c r="BV32" i="24"/>
  <c r="BV46" i="24"/>
  <c r="BV20" i="24"/>
  <c r="BV48" i="24"/>
  <c r="BV43" i="24"/>
  <c r="BU28" i="24"/>
  <c r="BU44" i="24"/>
  <c r="BU42" i="24"/>
  <c r="BU30" i="24"/>
  <c r="BU41" i="24"/>
  <c r="BU43" i="24"/>
  <c r="BU23" i="24"/>
  <c r="BU17" i="24"/>
  <c r="BU39" i="24"/>
  <c r="BU33" i="24"/>
  <c r="BU24" i="24"/>
  <c r="BU50" i="24"/>
  <c r="BU25" i="24"/>
  <c r="BU16" i="24"/>
  <c r="BU40" i="24"/>
  <c r="BU21" i="24"/>
  <c r="BU47" i="24"/>
  <c r="BU19" i="24"/>
  <c r="BU35" i="24"/>
  <c r="BU29" i="24"/>
  <c r="BU34" i="24"/>
  <c r="BU27" i="24"/>
  <c r="BU15" i="24"/>
  <c r="BU37" i="24"/>
  <c r="BU38" i="24"/>
  <c r="BU36" i="24"/>
  <c r="BU31" i="24"/>
  <c r="BU18" i="24"/>
  <c r="BU45" i="24"/>
  <c r="BU49" i="24"/>
  <c r="BX46" i="24"/>
  <c r="BX23" i="24"/>
  <c r="BX41" i="24"/>
  <c r="BX29" i="24"/>
  <c r="BX24" i="24"/>
  <c r="BX50" i="24"/>
  <c r="BX25" i="24"/>
  <c r="BX16" i="24"/>
  <c r="BX27" i="24"/>
  <c r="BX26" i="24"/>
  <c r="BX40" i="24"/>
  <c r="BX47" i="24"/>
  <c r="BX34" i="24"/>
  <c r="BX15" i="24"/>
  <c r="BX44" i="24"/>
  <c r="BX19" i="24"/>
  <c r="BX35" i="24"/>
  <c r="BX31" i="24"/>
  <c r="BX37" i="24"/>
  <c r="BX22" i="24"/>
  <c r="BX42" i="24"/>
  <c r="BX33" i="24"/>
  <c r="BX18" i="24"/>
  <c r="BX38" i="24"/>
  <c r="BX30" i="24"/>
  <c r="BX20" i="24"/>
  <c r="BX36" i="24"/>
  <c r="BX17" i="24"/>
  <c r="BX48" i="24"/>
  <c r="BX49" i="24"/>
  <c r="BX21" i="24"/>
  <c r="BX28" i="24"/>
  <c r="BX39" i="24"/>
  <c r="BU20" i="24"/>
  <c r="BU26" i="24"/>
  <c r="BU32" i="24"/>
  <c r="BX32" i="24"/>
  <c r="CI36" i="24"/>
  <c r="CL48" i="24"/>
  <c r="CL36" i="24"/>
  <c r="CI50" i="24"/>
  <c r="CI27" i="24"/>
  <c r="CI43" i="24"/>
  <c r="CI40" i="24"/>
  <c r="CI39" i="24"/>
  <c r="CI47" i="24"/>
  <c r="CI34" i="24"/>
  <c r="CI15" i="24"/>
  <c r="CI44" i="24"/>
  <c r="CI28" i="24"/>
  <c r="CI19" i="24"/>
  <c r="CI35" i="24"/>
  <c r="CI31" i="24"/>
  <c r="CI29" i="24"/>
  <c r="CI41" i="24"/>
  <c r="CI37" i="24"/>
  <c r="CI24" i="24"/>
  <c r="CI16" i="24"/>
  <c r="CI22" i="24"/>
  <c r="CI33" i="24"/>
  <c r="CL32" i="24"/>
  <c r="AI5" i="24"/>
  <c r="AH5" i="24"/>
  <c r="AG5" i="24"/>
  <c r="CI18" i="24"/>
  <c r="CL45" i="24"/>
  <c r="CL22" i="24"/>
  <c r="CL39" i="24"/>
  <c r="CL26" i="24"/>
  <c r="CL38" i="24"/>
  <c r="CL44" i="24"/>
  <c r="CL40" i="24"/>
  <c r="CL28" i="24"/>
  <c r="CL35" i="24"/>
  <c r="CL29" i="24"/>
  <c r="CL37" i="24"/>
  <c r="CL24" i="24"/>
  <c r="CL33" i="24"/>
  <c r="CL16" i="24"/>
  <c r="CL49" i="24"/>
  <c r="CL41" i="24"/>
  <c r="D74" i="24"/>
  <c r="D47" i="24"/>
  <c r="D59" i="24"/>
  <c r="D24" i="24"/>
  <c r="D75" i="24"/>
  <c r="D60" i="24"/>
  <c r="D62" i="24"/>
  <c r="D79" i="24"/>
  <c r="D43" i="24"/>
  <c r="D31" i="24"/>
  <c r="D84" i="24"/>
  <c r="D42" i="24"/>
  <c r="D57" i="24"/>
  <c r="D52" i="24"/>
  <c r="D73" i="24"/>
  <c r="D25" i="24"/>
  <c r="D40" i="24"/>
  <c r="D83" i="24"/>
  <c r="D86" i="24"/>
  <c r="D53" i="24"/>
  <c r="D56" i="24"/>
  <c r="D65" i="24"/>
  <c r="D77" i="24"/>
  <c r="J80" i="24"/>
  <c r="J37" i="24"/>
  <c r="J65" i="24"/>
  <c r="J46" i="24"/>
  <c r="J82" i="24"/>
  <c r="J81" i="24"/>
  <c r="J66" i="24"/>
  <c r="J64" i="24"/>
  <c r="J86" i="24"/>
  <c r="J59" i="24"/>
  <c r="J40" i="24"/>
  <c r="J76" i="24"/>
  <c r="J54" i="24"/>
  <c r="J75" i="24"/>
  <c r="J53" i="24"/>
  <c r="D17" i="24"/>
  <c r="J28" i="24"/>
  <c r="D68" i="24"/>
  <c r="D71" i="24"/>
  <c r="D80" i="24"/>
  <c r="J16" i="24"/>
  <c r="D23" i="24"/>
  <c r="J44" i="24"/>
  <c r="J62" i="24"/>
  <c r="J74" i="24"/>
  <c r="AI16" i="22"/>
  <c r="AI29" i="22"/>
  <c r="AI17" i="22"/>
  <c r="AI24" i="22"/>
  <c r="AI18" i="22"/>
  <c r="AI36" i="22"/>
  <c r="AI31" i="22"/>
  <c r="AI45" i="22"/>
  <c r="AI47" i="22"/>
  <c r="AI26" i="22"/>
  <c r="AI37" i="22"/>
  <c r="AI20" i="22"/>
  <c r="AI34" i="22"/>
  <c r="AI27" i="22"/>
  <c r="AI39" i="22"/>
  <c r="AI33" i="22"/>
  <c r="AI32" i="22"/>
  <c r="AI38" i="22"/>
  <c r="AI22" i="22"/>
  <c r="CI40" i="22"/>
  <c r="CI19" i="22"/>
  <c r="CI49" i="22"/>
  <c r="CI38" i="22"/>
  <c r="CI28" i="22"/>
  <c r="CG20" i="22"/>
  <c r="CG50" i="22"/>
  <c r="CG18" i="22"/>
  <c r="CG48" i="22"/>
  <c r="CG29" i="22"/>
  <c r="CG30" i="22"/>
  <c r="CG15" i="22"/>
  <c r="CG34" i="22"/>
  <c r="CJ16" i="22"/>
  <c r="CJ31" i="22"/>
  <c r="E59" i="22"/>
  <c r="E68" i="22"/>
  <c r="E60" i="22"/>
  <c r="E52" i="22"/>
  <c r="E42" i="22"/>
  <c r="E86" i="22"/>
  <c r="E81" i="22"/>
  <c r="E73" i="22"/>
  <c r="E22" i="22"/>
  <c r="E30" i="22"/>
  <c r="E51" i="22"/>
  <c r="E62" i="22"/>
  <c r="E41" i="22"/>
  <c r="E36" i="22"/>
  <c r="E75" i="22"/>
  <c r="E72" i="22"/>
  <c r="E69" i="22"/>
  <c r="E47" i="22"/>
  <c r="E85" i="22"/>
  <c r="E54" i="22"/>
  <c r="E64" i="22"/>
  <c r="E40" i="22"/>
  <c r="E32" i="22"/>
  <c r="E15" i="22"/>
  <c r="AP47" i="22"/>
  <c r="AP15" i="22"/>
  <c r="AP41" i="22"/>
  <c r="AP25" i="22"/>
  <c r="AS36" i="22"/>
  <c r="AT36" i="22" s="1"/>
  <c r="AS34" i="22"/>
  <c r="AS33" i="22"/>
  <c r="AS32" i="22"/>
  <c r="AS31" i="22"/>
  <c r="AS37" i="22"/>
  <c r="AS47" i="22"/>
  <c r="AS24" i="22"/>
  <c r="AS17" i="22"/>
  <c r="AS44" i="22"/>
  <c r="AS42" i="22"/>
  <c r="AS22" i="22"/>
  <c r="AS40" i="22"/>
  <c r="AS27" i="22"/>
  <c r="AS16" i="22"/>
  <c r="AS49" i="22"/>
  <c r="AS50" i="22"/>
  <c r="AS38" i="22"/>
  <c r="AS43" i="22"/>
  <c r="AS48" i="22"/>
  <c r="AS25" i="22"/>
  <c r="AS46" i="22"/>
  <c r="AS26" i="22"/>
  <c r="AS30" i="22"/>
  <c r="AS19" i="22"/>
  <c r="AS23" i="22"/>
  <c r="AS14" i="22"/>
  <c r="AU25" i="22" s="1"/>
  <c r="AV33" i="22"/>
  <c r="AV31" i="22"/>
  <c r="AV30" i="22"/>
  <c r="AV29" i="22"/>
  <c r="AV28" i="22"/>
  <c r="AV24" i="22"/>
  <c r="AV47" i="22"/>
  <c r="AV44" i="22"/>
  <c r="AV35" i="22"/>
  <c r="AV43" i="22"/>
  <c r="AV21" i="22"/>
  <c r="AV23" i="22"/>
  <c r="AV22" i="22"/>
  <c r="AV46" i="22"/>
  <c r="AV25" i="22"/>
  <c r="AV19" i="22"/>
  <c r="AV27" i="22"/>
  <c r="AV15" i="22"/>
  <c r="B72" i="22"/>
  <c r="C72" i="22" s="1"/>
  <c r="B31" i="22"/>
  <c r="C31" i="22" s="1"/>
  <c r="B74" i="22"/>
  <c r="C74" i="22" s="1"/>
  <c r="B84" i="22"/>
  <c r="C84" i="22" s="1"/>
  <c r="B38" i="22"/>
  <c r="C38" i="22" s="1"/>
  <c r="B25" i="22"/>
  <c r="C25" i="22" s="1"/>
  <c r="B45" i="22"/>
  <c r="C45" i="22" s="1"/>
  <c r="B16" i="22"/>
  <c r="B33" i="22"/>
  <c r="B66" i="22"/>
  <c r="B83" i="22"/>
  <c r="B69" i="22"/>
  <c r="B86" i="22"/>
  <c r="B47" i="22"/>
  <c r="B44" i="22"/>
  <c r="B79" i="22"/>
  <c r="B62" i="22"/>
  <c r="B65" i="22"/>
  <c r="C65" i="22" s="1"/>
  <c r="B41" i="22"/>
  <c r="C41" i="22" s="1"/>
  <c r="B36" i="22"/>
  <c r="C36" i="22" s="1"/>
  <c r="B71" i="22"/>
  <c r="C71" i="22" s="1"/>
  <c r="B64" i="22"/>
  <c r="C64" i="22" s="1"/>
  <c r="B49" i="22"/>
  <c r="B60" i="22"/>
  <c r="C60" i="22" s="1"/>
  <c r="B81" i="22"/>
  <c r="B67" i="22"/>
  <c r="B57" i="22"/>
  <c r="B70" i="22"/>
  <c r="B35" i="22"/>
  <c r="B29" i="22"/>
  <c r="C29" i="22" s="1"/>
  <c r="B39" i="22"/>
  <c r="B17" i="22"/>
  <c r="B85" i="22"/>
  <c r="C85" i="22" s="1"/>
  <c r="B32" i="22"/>
  <c r="C32" i="22" s="1"/>
  <c r="B22" i="22"/>
  <c r="C22" i="22" s="1"/>
  <c r="B19" i="22"/>
  <c r="B80" i="22"/>
  <c r="C80" i="22" s="1"/>
  <c r="B24" i="22"/>
  <c r="B54" i="22"/>
  <c r="B75" i="22"/>
  <c r="B23" i="22"/>
  <c r="B21" i="22"/>
  <c r="B20" i="22"/>
  <c r="B30" i="22"/>
  <c r="B37" i="22"/>
  <c r="B15" i="22"/>
  <c r="B34" i="22"/>
  <c r="B68" i="22"/>
  <c r="B50" i="22"/>
  <c r="B58" i="22"/>
  <c r="C58" i="22" s="1"/>
  <c r="B73" i="22"/>
  <c r="C73" i="22" s="1"/>
  <c r="B63" i="22"/>
  <c r="C63" i="22" s="1"/>
  <c r="B42" i="22"/>
  <c r="C42" i="22" s="1"/>
  <c r="B82" i="22"/>
  <c r="C82" i="22" s="1"/>
  <c r="B43" i="22"/>
  <c r="B40" i="22"/>
  <c r="C40" i="22" s="1"/>
  <c r="B53" i="22"/>
  <c r="B52" i="22"/>
  <c r="B77" i="22"/>
  <c r="B14" i="22"/>
  <c r="G5" i="22" s="1"/>
  <c r="B56" i="22"/>
  <c r="C56" i="22" s="1"/>
  <c r="B46" i="22"/>
  <c r="C46" i="22" s="1"/>
  <c r="B51" i="22"/>
  <c r="C51" i="22" s="1"/>
  <c r="H78" i="22"/>
  <c r="H25" i="22"/>
  <c r="H80" i="22"/>
  <c r="H65" i="22"/>
  <c r="H21" i="22"/>
  <c r="I21" i="22" s="1"/>
  <c r="H67" i="22"/>
  <c r="H20" i="22"/>
  <c r="H84" i="22"/>
  <c r="H52" i="22"/>
  <c r="H76" i="22"/>
  <c r="H68" i="22"/>
  <c r="H60" i="22"/>
  <c r="H42" i="22"/>
  <c r="H81" i="22"/>
  <c r="H73" i="22"/>
  <c r="H86" i="22"/>
  <c r="H39" i="22"/>
  <c r="H85" i="22"/>
  <c r="H77" i="22"/>
  <c r="H69" i="22"/>
  <c r="H37" i="22"/>
  <c r="I37" i="22" s="1"/>
  <c r="H33" i="22"/>
  <c r="H54" i="22"/>
  <c r="H51" i="22"/>
  <c r="H14" i="22"/>
  <c r="H5" i="22" s="1"/>
  <c r="H46" i="22"/>
  <c r="H75" i="22"/>
  <c r="H72" i="22"/>
  <c r="H58" i="22"/>
  <c r="H19" i="22"/>
  <c r="I19" i="22" s="1"/>
  <c r="H74" i="22"/>
  <c r="I74" i="22" s="1"/>
  <c r="H32" i="22"/>
  <c r="I32" i="22" s="1"/>
  <c r="H27" i="22"/>
  <c r="H16" i="22"/>
  <c r="H70" i="22"/>
  <c r="H53" i="22"/>
  <c r="H64" i="22"/>
  <c r="H15" i="22"/>
  <c r="H83" i="22"/>
  <c r="H18" i="22"/>
  <c r="H31" i="22"/>
  <c r="H59" i="22"/>
  <c r="H35" i="22"/>
  <c r="H63" i="22"/>
  <c r="H48" i="22"/>
  <c r="H29" i="22"/>
  <c r="I29" i="22" s="1"/>
  <c r="H24" i="22"/>
  <c r="H30" i="22"/>
  <c r="H49" i="22"/>
  <c r="H26" i="22"/>
  <c r="H40" i="22"/>
  <c r="H36" i="22"/>
  <c r="H44" i="22"/>
  <c r="H43" i="22"/>
  <c r="H41" i="22"/>
  <c r="H57" i="22"/>
  <c r="H45" i="22"/>
  <c r="H56" i="22"/>
  <c r="H71" i="22"/>
  <c r="H66" i="22"/>
  <c r="I66" i="22" s="1"/>
  <c r="H61" i="22"/>
  <c r="I61" i="22" s="1"/>
  <c r="H47" i="22"/>
  <c r="I47" i="22" s="1"/>
  <c r="K42" i="22"/>
  <c r="K51" i="22"/>
  <c r="AG48" i="22"/>
  <c r="AG16" i="22"/>
  <c r="AG46" i="22"/>
  <c r="AG45" i="22"/>
  <c r="AG44" i="22"/>
  <c r="AG43" i="22"/>
  <c r="AG42" i="22"/>
  <c r="AG30" i="22"/>
  <c r="AG14" i="22"/>
  <c r="AO4" i="22" s="1"/>
  <c r="AG25" i="22"/>
  <c r="AG23" i="22"/>
  <c r="AG35" i="22"/>
  <c r="AG21" i="22"/>
  <c r="AG34" i="22"/>
  <c r="AH34" i="22" s="1"/>
  <c r="AG29" i="22"/>
  <c r="AG18" i="22"/>
  <c r="AG20" i="22"/>
  <c r="AG32" i="22"/>
  <c r="AG31" i="22"/>
  <c r="AG26" i="22"/>
  <c r="AG28" i="22"/>
  <c r="AG36" i="22"/>
  <c r="AG41" i="22"/>
  <c r="AG17" i="22"/>
  <c r="AG49" i="22"/>
  <c r="AG37" i="22"/>
  <c r="AG27" i="22"/>
  <c r="AG24" i="22"/>
  <c r="AG22" i="22"/>
  <c r="AG47" i="22"/>
  <c r="AJ48" i="22"/>
  <c r="AJ37" i="22"/>
  <c r="AJ32" i="22"/>
  <c r="AJ25" i="22"/>
  <c r="AJ27" i="22"/>
  <c r="AJ22" i="22"/>
  <c r="AM49" i="22"/>
  <c r="AM44" i="22"/>
  <c r="AM45" i="22"/>
  <c r="BS27" i="22"/>
  <c r="BS25" i="22"/>
  <c r="BS24" i="22"/>
  <c r="BS23" i="22"/>
  <c r="BS22" i="22"/>
  <c r="BS38" i="22"/>
  <c r="BS28" i="22"/>
  <c r="BS18" i="22"/>
  <c r="BT18" i="22" s="1"/>
  <c r="BS46" i="22"/>
  <c r="BS49" i="22"/>
  <c r="BT49" i="22" s="1"/>
  <c r="BS43" i="22"/>
  <c r="BT43" i="22" s="1"/>
  <c r="BS48" i="22"/>
  <c r="BT48" i="22" s="1"/>
  <c r="BS20" i="22"/>
  <c r="BT20" i="22" s="1"/>
  <c r="BS29" i="22"/>
  <c r="BT29" i="22" s="1"/>
  <c r="BS34" i="22"/>
  <c r="BT34" i="22" s="1"/>
  <c r="BS39" i="22"/>
  <c r="BT39" i="22" s="1"/>
  <c r="BS33" i="22"/>
  <c r="BS15" i="22"/>
  <c r="BS50" i="22"/>
  <c r="BS40" i="22"/>
  <c r="BS37" i="22"/>
  <c r="BS42" i="22"/>
  <c r="BS44" i="22"/>
  <c r="BS41" i="22"/>
  <c r="BS45" i="22"/>
  <c r="BS31" i="22"/>
  <c r="BS26" i="22"/>
  <c r="BS17" i="22"/>
  <c r="BS30" i="22"/>
  <c r="BS47" i="22"/>
  <c r="BS21" i="22"/>
  <c r="BT21" i="22" s="1"/>
  <c r="BS19" i="22"/>
  <c r="BS16" i="22"/>
  <c r="BT16" i="22" s="1"/>
  <c r="BS36" i="22"/>
  <c r="BS32" i="22"/>
  <c r="BS35" i="22"/>
  <c r="BS14" i="22"/>
  <c r="BV24" i="22"/>
  <c r="BV50" i="22"/>
  <c r="BV28" i="22"/>
  <c r="BV14" i="22"/>
  <c r="BV42" i="22"/>
  <c r="BV17" i="22"/>
  <c r="BW17" i="22" s="1"/>
  <c r="BV27" i="22"/>
  <c r="BV25" i="22"/>
  <c r="BV23" i="22"/>
  <c r="BV26" i="22"/>
  <c r="BV18" i="22"/>
  <c r="BV32" i="22"/>
  <c r="BV16" i="22"/>
  <c r="BV36" i="22"/>
  <c r="BV49" i="22"/>
  <c r="BV38" i="22"/>
  <c r="BV15" i="22"/>
  <c r="BV37" i="22"/>
  <c r="BU15" i="22"/>
  <c r="AU49" i="22"/>
  <c r="AU48" i="22"/>
  <c r="AU42" i="22"/>
  <c r="AO40" i="22"/>
  <c r="AO38" i="22"/>
  <c r="AO37" i="22"/>
  <c r="AO36" i="22"/>
  <c r="AO35" i="22"/>
  <c r="AO34" i="22"/>
  <c r="AO27" i="22"/>
  <c r="AO20" i="22"/>
  <c r="AO18" i="22"/>
  <c r="AO25" i="22"/>
  <c r="AO46" i="22"/>
  <c r="AO23" i="22"/>
  <c r="AO43" i="22"/>
  <c r="AO32" i="22"/>
  <c r="AO49" i="22"/>
  <c r="AO47" i="22"/>
  <c r="AO44" i="22"/>
  <c r="AO26" i="22"/>
  <c r="AO30" i="22"/>
  <c r="AO41" i="22"/>
  <c r="AO39" i="22"/>
  <c r="AO15" i="22"/>
  <c r="AO50" i="22"/>
  <c r="AO42" i="22"/>
  <c r="AO45" i="22"/>
  <c r="AO22" i="22"/>
  <c r="AO24" i="22"/>
  <c r="AO16" i="22"/>
  <c r="AO19" i="22"/>
  <c r="BU25" i="22"/>
  <c r="BU23" i="22"/>
  <c r="BU22" i="22"/>
  <c r="BU21" i="22"/>
  <c r="BU20" i="22"/>
  <c r="BU38" i="22"/>
  <c r="BU18" i="22"/>
  <c r="BU48" i="22"/>
  <c r="BU45" i="22"/>
  <c r="BU33" i="22"/>
  <c r="BU29" i="22"/>
  <c r="BU24" i="22"/>
  <c r="BU39" i="22"/>
  <c r="BU31" i="22"/>
  <c r="BU34" i="22"/>
  <c r="BU30" i="22"/>
  <c r="BU50" i="22"/>
  <c r="BU41" i="22"/>
  <c r="BU44" i="22"/>
  <c r="BU47" i="22"/>
  <c r="BU43" i="22"/>
  <c r="BU42" i="22"/>
  <c r="BU46" i="22"/>
  <c r="BU17" i="22"/>
  <c r="BU26" i="22"/>
  <c r="BU32" i="22"/>
  <c r="BU19" i="22"/>
  <c r="BU28" i="22"/>
  <c r="BU27" i="22"/>
  <c r="BU16" i="22"/>
  <c r="AO48" i="22"/>
  <c r="AO33" i="22"/>
  <c r="BU36" i="22"/>
  <c r="BX22" i="22"/>
  <c r="BX20" i="22"/>
  <c r="BX19" i="22"/>
  <c r="BX50" i="22"/>
  <c r="BX18" i="22"/>
  <c r="BX49" i="22"/>
  <c r="BX17" i="22"/>
  <c r="BX48" i="22"/>
  <c r="BX45" i="22"/>
  <c r="BX35" i="22"/>
  <c r="BX42" i="22"/>
  <c r="BX25" i="22"/>
  <c r="BX32" i="22"/>
  <c r="BX23" i="22"/>
  <c r="BX34" i="22"/>
  <c r="BX44" i="22"/>
  <c r="BX47" i="22"/>
  <c r="BX26" i="22"/>
  <c r="BX36" i="22"/>
  <c r="BX31" i="22"/>
  <c r="BX24" i="22"/>
  <c r="BX46" i="22"/>
  <c r="BX43" i="22"/>
  <c r="BX30" i="22"/>
  <c r="BX21" i="22"/>
  <c r="BX33" i="22"/>
  <c r="BX29" i="22"/>
  <c r="CI34" i="22"/>
  <c r="BX28" i="22"/>
  <c r="BX16" i="22"/>
  <c r="BX27" i="22"/>
  <c r="CI30" i="22"/>
  <c r="CI33" i="22"/>
  <c r="CL16" i="22"/>
  <c r="CL18" i="22"/>
  <c r="BX15" i="22"/>
  <c r="CI50" i="22"/>
  <c r="CI18" i="22"/>
  <c r="CI48" i="22"/>
  <c r="CI16" i="22"/>
  <c r="CI47" i="22"/>
  <c r="CI46" i="22"/>
  <c r="CI45" i="22"/>
  <c r="CI44" i="22"/>
  <c r="CI32" i="22"/>
  <c r="CI39" i="22"/>
  <c r="CI29" i="22"/>
  <c r="CI22" i="22"/>
  <c r="CI27" i="22"/>
  <c r="CI31" i="22"/>
  <c r="CI24" i="22"/>
  <c r="CI36" i="22"/>
  <c r="CI26" i="22"/>
  <c r="CI41" i="22"/>
  <c r="CI23" i="22"/>
  <c r="CI25" i="22"/>
  <c r="CI35" i="22"/>
  <c r="CL47" i="22"/>
  <c r="CL45" i="22"/>
  <c r="CL44" i="22"/>
  <c r="CL43" i="22"/>
  <c r="CL42" i="22"/>
  <c r="CL41" i="22"/>
  <c r="CL39" i="22"/>
  <c r="CL29" i="22"/>
  <c r="CL48" i="22"/>
  <c r="CL15" i="22"/>
  <c r="CL36" i="22"/>
  <c r="CL31" i="22"/>
  <c r="CL34" i="22"/>
  <c r="CL26" i="22"/>
  <c r="CL33" i="22"/>
  <c r="CL17" i="22"/>
  <c r="CL38" i="22"/>
  <c r="CL28" i="22"/>
  <c r="CL27" i="22"/>
  <c r="CI15" i="22"/>
  <c r="CI17" i="22"/>
  <c r="CI20" i="22"/>
  <c r="CI21" i="22"/>
  <c r="CL30" i="22"/>
  <c r="CL21" i="22"/>
  <c r="CL23" i="22"/>
  <c r="CL19" i="22"/>
  <c r="CI42" i="22"/>
  <c r="CI43" i="22"/>
  <c r="AI46" i="22"/>
  <c r="AI44" i="22"/>
  <c r="AI43" i="22"/>
  <c r="AI42" i="22"/>
  <c r="AI41" i="22"/>
  <c r="AI40" i="22"/>
  <c r="AI19" i="22"/>
  <c r="AI49" i="22"/>
  <c r="AI30" i="22"/>
  <c r="AI23" i="22"/>
  <c r="AI28" i="22"/>
  <c r="AI48" i="22"/>
  <c r="AI25" i="22"/>
  <c r="AI15" i="22"/>
  <c r="AI21" i="22"/>
  <c r="AI35" i="22"/>
  <c r="D74" i="22"/>
  <c r="D29" i="22"/>
  <c r="D76" i="22"/>
  <c r="D27" i="22"/>
  <c r="D61" i="22"/>
  <c r="D26" i="22"/>
  <c r="D78" i="22"/>
  <c r="D25" i="22"/>
  <c r="D63" i="22"/>
  <c r="D24" i="22"/>
  <c r="D80" i="22"/>
  <c r="D42" i="22"/>
  <c r="D52" i="22"/>
  <c r="D60" i="22"/>
  <c r="J65" i="22"/>
  <c r="D68" i="22"/>
  <c r="J22" i="22"/>
  <c r="D35" i="22"/>
  <c r="D45" i="22"/>
  <c r="D48" i="22"/>
  <c r="D55" i="22"/>
  <c r="J80" i="22"/>
  <c r="J23" i="22"/>
  <c r="J82" i="22"/>
  <c r="J21" i="22"/>
  <c r="J67" i="22"/>
  <c r="J20" i="22"/>
  <c r="J84" i="22"/>
  <c r="J52" i="22"/>
  <c r="J19" i="22"/>
  <c r="J69" i="22"/>
  <c r="J50" i="22"/>
  <c r="J18" i="22"/>
  <c r="J86" i="22"/>
  <c r="J54" i="22"/>
  <c r="J49" i="22"/>
  <c r="J39" i="22"/>
  <c r="BV19" i="21"/>
  <c r="BV49" i="21"/>
  <c r="BV48" i="21"/>
  <c r="BV45" i="21"/>
  <c r="BV44" i="21"/>
  <c r="BV38" i="21"/>
  <c r="BV31" i="21"/>
  <c r="BV24" i="21"/>
  <c r="BV46" i="21"/>
  <c r="BV28" i="21"/>
  <c r="BV47" i="21"/>
  <c r="BV42" i="21"/>
  <c r="BV30" i="21"/>
  <c r="BV23" i="21"/>
  <c r="BV20" i="21"/>
  <c r="BV40" i="21"/>
  <c r="BV25" i="21"/>
  <c r="BV27" i="21"/>
  <c r="BV39" i="21"/>
  <c r="BV37" i="21"/>
  <c r="BV36" i="21"/>
  <c r="BV34" i="21"/>
  <c r="BV32" i="21"/>
  <c r="BV35" i="21"/>
  <c r="BV33" i="21"/>
  <c r="BV16" i="21"/>
  <c r="BV14" i="21"/>
  <c r="BV21" i="21"/>
  <c r="BV43" i="21"/>
  <c r="BV50" i="21"/>
  <c r="BV26" i="21"/>
  <c r="BV15" i="21"/>
  <c r="BV41" i="21"/>
  <c r="BV22" i="21"/>
  <c r="BV29" i="21"/>
  <c r="BV17" i="21"/>
  <c r="BV18" i="21"/>
  <c r="E54" i="21"/>
  <c r="E49" i="21"/>
  <c r="E71" i="21"/>
  <c r="E48" i="21"/>
  <c r="E77" i="21"/>
  <c r="E66" i="21"/>
  <c r="E65" i="21"/>
  <c r="E41" i="21"/>
  <c r="E14" i="21"/>
  <c r="G37" i="21" s="1"/>
  <c r="E51" i="21"/>
  <c r="F51" i="21" s="1"/>
  <c r="E28" i="21"/>
  <c r="E15" i="21"/>
  <c r="E33" i="21"/>
  <c r="B65" i="21"/>
  <c r="CJ44" i="21"/>
  <c r="CJ38" i="21"/>
  <c r="CJ31" i="21"/>
  <c r="CJ36" i="21"/>
  <c r="CJ28" i="21"/>
  <c r="CJ43" i="21"/>
  <c r="CJ46" i="21"/>
  <c r="CJ48" i="21"/>
  <c r="CJ26" i="21"/>
  <c r="CJ50" i="21"/>
  <c r="CJ19" i="21"/>
  <c r="CJ45" i="21"/>
  <c r="CJ40" i="21"/>
  <c r="CJ27" i="21"/>
  <c r="CJ17" i="21"/>
  <c r="CJ47" i="21"/>
  <c r="CJ39" i="21"/>
  <c r="CJ32" i="21"/>
  <c r="CJ35" i="21"/>
  <c r="CJ49" i="21"/>
  <c r="CJ18" i="21"/>
  <c r="CJ37" i="21"/>
  <c r="CJ25" i="21"/>
  <c r="AM37" i="21"/>
  <c r="AM35" i="21"/>
  <c r="AM34" i="21"/>
  <c r="AM31" i="21"/>
  <c r="AM26" i="21"/>
  <c r="AM27" i="21"/>
  <c r="AM44" i="21"/>
  <c r="AM39" i="21"/>
  <c r="AM50" i="21"/>
  <c r="AM32" i="21"/>
  <c r="AM14" i="21"/>
  <c r="AP4" i="21" s="1"/>
  <c r="AM38" i="21"/>
  <c r="AM49" i="21"/>
  <c r="AM36" i="21"/>
  <c r="AM20" i="21"/>
  <c r="AM19" i="21"/>
  <c r="AM29" i="21"/>
  <c r="AM23" i="21"/>
  <c r="AP15" i="21"/>
  <c r="AP20" i="21"/>
  <c r="AP18" i="21"/>
  <c r="AP36" i="21"/>
  <c r="AP24" i="21"/>
  <c r="AP21" i="21"/>
  <c r="AP19" i="21"/>
  <c r="AS27" i="21"/>
  <c r="AS26" i="21"/>
  <c r="AS47" i="21"/>
  <c r="AS18" i="21"/>
  <c r="AS33" i="21"/>
  <c r="AS49" i="21"/>
  <c r="AS40" i="21"/>
  <c r="AS37" i="21"/>
  <c r="AS34" i="21"/>
  <c r="AS16" i="21"/>
  <c r="AS21" i="21"/>
  <c r="AS48" i="21"/>
  <c r="AS43" i="21"/>
  <c r="AS17" i="21"/>
  <c r="AJ37" i="21"/>
  <c r="AJ27" i="21"/>
  <c r="AJ33" i="21"/>
  <c r="AJ29" i="21"/>
  <c r="AJ49" i="21"/>
  <c r="AJ44" i="21"/>
  <c r="AJ19" i="21"/>
  <c r="AJ32" i="21"/>
  <c r="AJ39" i="21"/>
  <c r="AJ46" i="21"/>
  <c r="AJ43" i="21"/>
  <c r="AJ26" i="21"/>
  <c r="AJ18" i="21"/>
  <c r="AJ50" i="21"/>
  <c r="AJ28" i="21"/>
  <c r="AJ20" i="21"/>
  <c r="AJ45" i="21"/>
  <c r="AJ22" i="21"/>
  <c r="AJ25" i="21"/>
  <c r="AJ48" i="21"/>
  <c r="AJ24" i="21"/>
  <c r="AJ35" i="21"/>
  <c r="AJ14" i="21"/>
  <c r="AJ15" i="21"/>
  <c r="AJ40" i="21"/>
  <c r="AK40" i="21" s="1"/>
  <c r="AJ31" i="21"/>
  <c r="AJ16" i="21"/>
  <c r="AJ41" i="21"/>
  <c r="AJ17" i="21"/>
  <c r="AJ36" i="21"/>
  <c r="AJ21" i="21"/>
  <c r="AJ30" i="21"/>
  <c r="AJ47" i="21"/>
  <c r="AJ23" i="21"/>
  <c r="AV47" i="21"/>
  <c r="AV46" i="21"/>
  <c r="AV34" i="21"/>
  <c r="BS22" i="21"/>
  <c r="BS48" i="21"/>
  <c r="BS47" i="21"/>
  <c r="BS41" i="21"/>
  <c r="BS50" i="21"/>
  <c r="BS32" i="21"/>
  <c r="BS43" i="21"/>
  <c r="BS23" i="21"/>
  <c r="BS49" i="21"/>
  <c r="BS36" i="21"/>
  <c r="BS33" i="21"/>
  <c r="BS25" i="21"/>
  <c r="BS15" i="21"/>
  <c r="BS28" i="21"/>
  <c r="BS44" i="21"/>
  <c r="BS21" i="21"/>
  <c r="BS19" i="21"/>
  <c r="BS39" i="21"/>
  <c r="BS29" i="21"/>
  <c r="BS18" i="21"/>
  <c r="BS45" i="21"/>
  <c r="CG44" i="21"/>
  <c r="CG16" i="21"/>
  <c r="CG28" i="21"/>
  <c r="CG22" i="21"/>
  <c r="CG20" i="21"/>
  <c r="K28" i="21"/>
  <c r="K65" i="21"/>
  <c r="K57" i="21"/>
  <c r="K78" i="21"/>
  <c r="K80" i="21"/>
  <c r="K72" i="21"/>
  <c r="K50" i="21"/>
  <c r="K45" i="21"/>
  <c r="K40" i="21"/>
  <c r="K31" i="21"/>
  <c r="K76" i="21"/>
  <c r="K66" i="21"/>
  <c r="K53" i="21"/>
  <c r="K34" i="21"/>
  <c r="K24" i="21"/>
  <c r="K82" i="21"/>
  <c r="K85" i="21"/>
  <c r="K27" i="21"/>
  <c r="K84" i="21"/>
  <c r="K67" i="21"/>
  <c r="K25" i="21"/>
  <c r="K32" i="21"/>
  <c r="K22" i="21"/>
  <c r="K75" i="21"/>
  <c r="K20" i="21"/>
  <c r="K58" i="21"/>
  <c r="K21" i="21"/>
  <c r="K19" i="21"/>
  <c r="K18" i="21"/>
  <c r="K61" i="21"/>
  <c r="K74" i="21"/>
  <c r="K55" i="21"/>
  <c r="K48" i="21"/>
  <c r="H54" i="21"/>
  <c r="H49" i="21"/>
  <c r="H73" i="21"/>
  <c r="H46" i="21"/>
  <c r="H58" i="21"/>
  <c r="H45" i="21"/>
  <c r="H64" i="21"/>
  <c r="H39" i="21"/>
  <c r="H76" i="21"/>
  <c r="H68" i="21"/>
  <c r="H24" i="21"/>
  <c r="H81" i="21"/>
  <c r="H32" i="21"/>
  <c r="H37" i="21"/>
  <c r="H33" i="21"/>
  <c r="H29" i="21"/>
  <c r="H85" i="21"/>
  <c r="H80" i="21"/>
  <c r="H74" i="21"/>
  <c r="H63" i="21"/>
  <c r="H43" i="21"/>
  <c r="H23" i="21"/>
  <c r="H79" i="21"/>
  <c r="H62" i="21"/>
  <c r="H27" i="21"/>
  <c r="H36" i="21"/>
  <c r="H38" i="21"/>
  <c r="H75" i="21"/>
  <c r="H66" i="21"/>
  <c r="H22" i="21"/>
  <c r="H78" i="21"/>
  <c r="H41" i="21"/>
  <c r="H35" i="21"/>
  <c r="H14" i="21"/>
  <c r="H5" i="21" s="1"/>
  <c r="H15" i="21"/>
  <c r="H59" i="21"/>
  <c r="AG47" i="21"/>
  <c r="AG48" i="21"/>
  <c r="AG39" i="21"/>
  <c r="AG33" i="21"/>
  <c r="D63" i="21"/>
  <c r="D24" i="21"/>
  <c r="D65" i="21"/>
  <c r="D82" i="21"/>
  <c r="D69" i="21"/>
  <c r="D50" i="21"/>
  <c r="D86" i="21"/>
  <c r="D54" i="21"/>
  <c r="D49" i="21"/>
  <c r="D60" i="21"/>
  <c r="D43" i="21"/>
  <c r="D31" i="21"/>
  <c r="D84" i="21"/>
  <c r="D76" i="21"/>
  <c r="D68" i="21"/>
  <c r="D48" i="21"/>
  <c r="D81" i="21"/>
  <c r="D57" i="21"/>
  <c r="D83" i="21"/>
  <c r="D51" i="21"/>
  <c r="D36" i="21"/>
  <c r="D26" i="21"/>
  <c r="D17" i="21"/>
  <c r="D66" i="21"/>
  <c r="D79" i="21"/>
  <c r="D85" i="21"/>
  <c r="D44" i="21"/>
  <c r="D45" i="21"/>
  <c r="D32" i="21"/>
  <c r="D27" i="21"/>
  <c r="D77" i="21"/>
  <c r="D61" i="21"/>
  <c r="D38" i="21"/>
  <c r="D56" i="21"/>
  <c r="D21" i="21"/>
  <c r="D71" i="21"/>
  <c r="D59" i="21"/>
  <c r="D22" i="21"/>
  <c r="D53" i="21"/>
  <c r="D80" i="21"/>
  <c r="D58" i="21"/>
  <c r="D52" i="21"/>
  <c r="D28" i="21"/>
  <c r="D74" i="21"/>
  <c r="D23" i="21"/>
  <c r="D62" i="21"/>
  <c r="D73" i="21"/>
  <c r="D37" i="21"/>
  <c r="D34" i="21"/>
  <c r="D20" i="21"/>
  <c r="D15" i="21"/>
  <c r="D47" i="21"/>
  <c r="D42" i="21"/>
  <c r="D25" i="21"/>
  <c r="D75" i="21"/>
  <c r="D40" i="21"/>
  <c r="D70" i="21"/>
  <c r="D19" i="21"/>
  <c r="D72" i="21"/>
  <c r="D64" i="21"/>
  <c r="D29" i="21"/>
  <c r="D30" i="21"/>
  <c r="D55" i="21"/>
  <c r="D18" i="21"/>
  <c r="D46" i="21"/>
  <c r="D41" i="21"/>
  <c r="D35" i="21"/>
  <c r="D78" i="21"/>
  <c r="D39" i="21"/>
  <c r="D16" i="21"/>
  <c r="AO35" i="21"/>
  <c r="AO33" i="21"/>
  <c r="AO32" i="21"/>
  <c r="AO29" i="21"/>
  <c r="AO30" i="21"/>
  <c r="AO19" i="21"/>
  <c r="AO37" i="21"/>
  <c r="AO25" i="21"/>
  <c r="AO48" i="21"/>
  <c r="AO43" i="21"/>
  <c r="AO34" i="21"/>
  <c r="AO41" i="21"/>
  <c r="AO49" i="21"/>
  <c r="AO40" i="21"/>
  <c r="AO46" i="21"/>
  <c r="AO39" i="21"/>
  <c r="AO27" i="21"/>
  <c r="AO45" i="21"/>
  <c r="AO15" i="21"/>
  <c r="AO44" i="21"/>
  <c r="AO26" i="21"/>
  <c r="AO20" i="21"/>
  <c r="AO47" i="21"/>
  <c r="AO18" i="21"/>
  <c r="AO31" i="21"/>
  <c r="CL18" i="21"/>
  <c r="BU20" i="21"/>
  <c r="BU50" i="21"/>
  <c r="BU49" i="21"/>
  <c r="BU46" i="21"/>
  <c r="BU45" i="21"/>
  <c r="BU39" i="21"/>
  <c r="BU27" i="21"/>
  <c r="BU42" i="21"/>
  <c r="BU16" i="21"/>
  <c r="BU38" i="21"/>
  <c r="BU34" i="21"/>
  <c r="BU30" i="21"/>
  <c r="BU23" i="21"/>
  <c r="BU47" i="21"/>
  <c r="BU44" i="21"/>
  <c r="BU25" i="21"/>
  <c r="BU37" i="21"/>
  <c r="BU36" i="21"/>
  <c r="BU32" i="21"/>
  <c r="BU31" i="21"/>
  <c r="BU24" i="21"/>
  <c r="BU19" i="21"/>
  <c r="BU40" i="21"/>
  <c r="BU48" i="21"/>
  <c r="BU41" i="21"/>
  <c r="BU17" i="21"/>
  <c r="BU28" i="21"/>
  <c r="BX49" i="21"/>
  <c r="BX17" i="21"/>
  <c r="BX47" i="21"/>
  <c r="BX46" i="21"/>
  <c r="BX43" i="21"/>
  <c r="BX42" i="21"/>
  <c r="BX36" i="21"/>
  <c r="BX45" i="21"/>
  <c r="BX33" i="21"/>
  <c r="BX38" i="21"/>
  <c r="BX26" i="21"/>
  <c r="BX31" i="21"/>
  <c r="BX40" i="21"/>
  <c r="BX32" i="21"/>
  <c r="BX21" i="21"/>
  <c r="BX37" i="21"/>
  <c r="BX35" i="21"/>
  <c r="BX16" i="21"/>
  <c r="BX39" i="21"/>
  <c r="BX19" i="21"/>
  <c r="BX30" i="21"/>
  <c r="BX48" i="21"/>
  <c r="BX23" i="21"/>
  <c r="BX50" i="21"/>
  <c r="BX28" i="21"/>
  <c r="CL42" i="21"/>
  <c r="CL40" i="21"/>
  <c r="CL39" i="21"/>
  <c r="CL36" i="21"/>
  <c r="CL29" i="21"/>
  <c r="CL45" i="21"/>
  <c r="CL32" i="21"/>
  <c r="CL25" i="21"/>
  <c r="CL46" i="21"/>
  <c r="CL43" i="21"/>
  <c r="CL38" i="21"/>
  <c r="CL24" i="21"/>
  <c r="CL34" i="21"/>
  <c r="CL37" i="21"/>
  <c r="CL21" i="21"/>
  <c r="CL30" i="21"/>
  <c r="CL19" i="21"/>
  <c r="CL48" i="21"/>
  <c r="CL41" i="21"/>
  <c r="CL23" i="21"/>
  <c r="CL17" i="21"/>
  <c r="CL49" i="21"/>
  <c r="CL27" i="21"/>
  <c r="CL22" i="21"/>
  <c r="CL20" i="21"/>
  <c r="AO38" i="21"/>
  <c r="CL44" i="21"/>
  <c r="AO17" i="21"/>
  <c r="BX27" i="21"/>
  <c r="AL36" i="21"/>
  <c r="AL35" i="21"/>
  <c r="AO16" i="21"/>
  <c r="CL35" i="21"/>
  <c r="AO50" i="21"/>
  <c r="CL15" i="21"/>
  <c r="BU26" i="21"/>
  <c r="AO28" i="21"/>
  <c r="BU43" i="21"/>
  <c r="CL16" i="21"/>
  <c r="BX25" i="21"/>
  <c r="CL31" i="21"/>
  <c r="J35" i="21"/>
  <c r="J61" i="21"/>
  <c r="J27" i="21"/>
  <c r="G84" i="21"/>
  <c r="G52" i="21"/>
  <c r="G69" i="21"/>
  <c r="G50" i="21"/>
  <c r="J69" i="21"/>
  <c r="J50" i="21"/>
  <c r="J18" i="21"/>
  <c r="J71" i="21"/>
  <c r="J48" i="21"/>
  <c r="J56" i="21"/>
  <c r="J47" i="21"/>
  <c r="J75" i="21"/>
  <c r="J44" i="21"/>
  <c r="J60" i="21"/>
  <c r="J43" i="21"/>
  <c r="J66" i="21"/>
  <c r="J37" i="21"/>
  <c r="J81" i="21"/>
  <c r="J36" i="21"/>
  <c r="J52" i="21"/>
  <c r="J86" i="21"/>
  <c r="J54" i="21"/>
  <c r="J67" i="21"/>
  <c r="J59" i="21"/>
  <c r="J51" i="21"/>
  <c r="J49" i="21"/>
  <c r="J41" i="21"/>
  <c r="J26" i="21"/>
  <c r="J17" i="21"/>
  <c r="J45" i="21"/>
  <c r="J40" i="21"/>
  <c r="J31" i="21"/>
  <c r="J42" i="21"/>
  <c r="J29" i="21"/>
  <c r="J53" i="21"/>
  <c r="J34" i="21"/>
  <c r="J82" i="21"/>
  <c r="J68" i="21"/>
  <c r="J65" i="21"/>
  <c r="J77" i="21"/>
  <c r="J57" i="21"/>
  <c r="J73" i="21"/>
  <c r="J38" i="21"/>
  <c r="J85" i="21"/>
  <c r="J64" i="21"/>
  <c r="J72" i="21"/>
  <c r="J55" i="21"/>
  <c r="J63" i="21"/>
  <c r="J28" i="21"/>
  <c r="AI41" i="21"/>
  <c r="AI39" i="21"/>
  <c r="AI38" i="21"/>
  <c r="AI35" i="21"/>
  <c r="AI28" i="21"/>
  <c r="AI46" i="21"/>
  <c r="AI47" i="21"/>
  <c r="AI34" i="21"/>
  <c r="AI32" i="21"/>
  <c r="AI49" i="21"/>
  <c r="AI44" i="21"/>
  <c r="CI45" i="21"/>
  <c r="CI43" i="21"/>
  <c r="CI42" i="21"/>
  <c r="CI39" i="21"/>
  <c r="CI38" i="21"/>
  <c r="CI32" i="21"/>
  <c r="CI48" i="21"/>
  <c r="F33" i="21" l="1"/>
  <c r="F77" i="21"/>
  <c r="C77" i="22"/>
  <c r="C52" i="22"/>
  <c r="C53" i="22"/>
  <c r="C43" i="22"/>
  <c r="C49" i="22"/>
  <c r="C79" i="22"/>
  <c r="C50" i="22"/>
  <c r="C68" i="22"/>
  <c r="C30" i="22"/>
  <c r="C69" i="22"/>
  <c r="C21" i="22"/>
  <c r="C66" i="22"/>
  <c r="C62" i="22"/>
  <c r="C23" i="22"/>
  <c r="C33" i="22"/>
  <c r="BT25" i="22"/>
  <c r="C75" i="22"/>
  <c r="C16" i="22"/>
  <c r="AN31" i="21"/>
  <c r="AN34" i="21"/>
  <c r="AN27" i="21"/>
  <c r="AN19" i="21"/>
  <c r="AN20" i="21"/>
  <c r="I27" i="21"/>
  <c r="I79" i="21"/>
  <c r="I62" i="21"/>
  <c r="I63" i="21"/>
  <c r="I54" i="22"/>
  <c r="I41" i="21"/>
  <c r="I39" i="21"/>
  <c r="I74" i="21"/>
  <c r="I85" i="21"/>
  <c r="I37" i="21"/>
  <c r="I32" i="21"/>
  <c r="I64" i="21"/>
  <c r="I81" i="21"/>
  <c r="I58" i="21"/>
  <c r="I35" i="21"/>
  <c r="I33" i="21"/>
  <c r="I68" i="21"/>
  <c r="I76" i="21"/>
  <c r="I59" i="21"/>
  <c r="I20" i="22"/>
  <c r="I80" i="21"/>
  <c r="I29" i="21"/>
  <c r="I67" i="22"/>
  <c r="K17" i="22"/>
  <c r="G82" i="21"/>
  <c r="AG27" i="21"/>
  <c r="AH27" i="21" s="1"/>
  <c r="G56" i="21"/>
  <c r="AG35" i="21"/>
  <c r="CG19" i="21"/>
  <c r="AP14" i="21"/>
  <c r="AR42" i="21" s="1"/>
  <c r="AP42" i="21"/>
  <c r="AP33" i="21"/>
  <c r="AQ33" i="21" s="1"/>
  <c r="AP47" i="21"/>
  <c r="AP39" i="21"/>
  <c r="AP37" i="21"/>
  <c r="AP30" i="21"/>
  <c r="AP48" i="21"/>
  <c r="AP25" i="21"/>
  <c r="AP50" i="21"/>
  <c r="AQ50" i="21" s="1"/>
  <c r="AP41" i="21"/>
  <c r="AP49" i="21"/>
  <c r="AQ49" i="21" s="1"/>
  <c r="AP44" i="21"/>
  <c r="AP26" i="21"/>
  <c r="AQ26" i="21" s="1"/>
  <c r="AP22" i="21"/>
  <c r="AP35" i="21"/>
  <c r="AQ35" i="21" s="1"/>
  <c r="B72" i="21"/>
  <c r="E36" i="21"/>
  <c r="F36" i="21" s="1"/>
  <c r="E31" i="21"/>
  <c r="F31" i="21" s="1"/>
  <c r="AJ31" i="22"/>
  <c r="AK31" i="22" s="1"/>
  <c r="K82" i="22"/>
  <c r="AT33" i="22"/>
  <c r="CJ27" i="22"/>
  <c r="CK27" i="22" s="1"/>
  <c r="AP27" i="24"/>
  <c r="K61" i="22"/>
  <c r="CJ37" i="22"/>
  <c r="AP20" i="24"/>
  <c r="AP67" i="24"/>
  <c r="B61" i="21"/>
  <c r="B37" i="21"/>
  <c r="B43" i="21"/>
  <c r="B58" i="21"/>
  <c r="B26" i="21"/>
  <c r="B50" i="21"/>
  <c r="B18" i="21"/>
  <c r="B45" i="21"/>
  <c r="B63" i="21"/>
  <c r="B16" i="21"/>
  <c r="B48" i="21"/>
  <c r="B74" i="21"/>
  <c r="B71" i="21"/>
  <c r="B24" i="21"/>
  <c r="B86" i="21"/>
  <c r="B54" i="21"/>
  <c r="B80" i="21"/>
  <c r="B53" i="21"/>
  <c r="B38" i="21"/>
  <c r="B79" i="21"/>
  <c r="B67" i="21"/>
  <c r="B85" i="21"/>
  <c r="B17" i="21"/>
  <c r="B60" i="21"/>
  <c r="B51" i="21"/>
  <c r="B62" i="21"/>
  <c r="B84" i="21"/>
  <c r="B68" i="21"/>
  <c r="B46" i="21"/>
  <c r="B52" i="21"/>
  <c r="B19" i="21"/>
  <c r="B41" i="21"/>
  <c r="B35" i="21"/>
  <c r="B83" i="21"/>
  <c r="B23" i="21"/>
  <c r="B47" i="21"/>
  <c r="B78" i="21"/>
  <c r="B77" i="21"/>
  <c r="B57" i="21"/>
  <c r="B66" i="21"/>
  <c r="K49" i="22"/>
  <c r="AP60" i="24"/>
  <c r="AQ60" i="24" s="1"/>
  <c r="CG50" i="21"/>
  <c r="CH50" i="21" s="1"/>
  <c r="E67" i="21"/>
  <c r="F67" i="21" s="1"/>
  <c r="E52" i="21"/>
  <c r="F52" i="21" s="1"/>
  <c r="E23" i="21"/>
  <c r="F23" i="21" s="1"/>
  <c r="AG25" i="21"/>
  <c r="E18" i="21"/>
  <c r="AP49" i="22"/>
  <c r="AP24" i="24"/>
  <c r="AP53" i="24"/>
  <c r="AG30" i="21"/>
  <c r="CG21" i="21"/>
  <c r="AP34" i="21"/>
  <c r="AQ34" i="21" s="1"/>
  <c r="B70" i="21"/>
  <c r="E24" i="21"/>
  <c r="AM41" i="22"/>
  <c r="AN41" i="22" s="1"/>
  <c r="K66" i="22"/>
  <c r="K19" i="22"/>
  <c r="L19" i="22" s="1"/>
  <c r="AP27" i="22"/>
  <c r="F30" i="22"/>
  <c r="CJ49" i="22"/>
  <c r="BS25" i="24"/>
  <c r="AP44" i="24"/>
  <c r="BS52" i="24"/>
  <c r="AG37" i="21"/>
  <c r="CG30" i="21"/>
  <c r="AL17" i="21"/>
  <c r="AL18" i="21"/>
  <c r="AL45" i="21"/>
  <c r="AS28" i="21"/>
  <c r="AS23" i="21"/>
  <c r="AS25" i="21"/>
  <c r="AS20" i="21"/>
  <c r="AS15" i="21"/>
  <c r="AS50" i="21"/>
  <c r="AS24" i="21"/>
  <c r="AT24" i="21" s="1"/>
  <c r="AS46" i="21"/>
  <c r="AS19" i="21"/>
  <c r="AS42" i="21"/>
  <c r="AS22" i="21"/>
  <c r="AS44" i="21"/>
  <c r="AS35" i="21"/>
  <c r="AS38" i="21"/>
  <c r="AS39" i="21"/>
  <c r="AS32" i="21"/>
  <c r="AS41" i="21"/>
  <c r="AS36" i="21"/>
  <c r="AS30" i="21"/>
  <c r="AN23" i="21"/>
  <c r="B15" i="21"/>
  <c r="E22" i="21"/>
  <c r="AM15" i="22"/>
  <c r="AN15" i="22" s="1"/>
  <c r="K63" i="22"/>
  <c r="K52" i="22"/>
  <c r="AT46" i="22"/>
  <c r="AP32" i="22"/>
  <c r="AQ32" i="22" s="1"/>
  <c r="CG38" i="22"/>
  <c r="BS50" i="24"/>
  <c r="BS63" i="24"/>
  <c r="BT63" i="24" s="1"/>
  <c r="BY63" i="24" s="1"/>
  <c r="DI62" i="24" s="1"/>
  <c r="AG40" i="21"/>
  <c r="I24" i="21"/>
  <c r="CG34" i="21"/>
  <c r="CH34" i="21" s="1"/>
  <c r="AV19" i="21"/>
  <c r="AS14" i="21"/>
  <c r="AU43" i="21" s="1"/>
  <c r="AN29" i="21"/>
  <c r="B39" i="21"/>
  <c r="C39" i="21" s="1"/>
  <c r="E55" i="21"/>
  <c r="F55" i="21" s="1"/>
  <c r="BV48" i="22"/>
  <c r="BW48" i="22" s="1"/>
  <c r="BY48" i="22" s="1"/>
  <c r="DI47" i="22" s="1"/>
  <c r="BV45" i="22"/>
  <c r="BV35" i="22"/>
  <c r="BW35" i="22" s="1"/>
  <c r="BV33" i="22"/>
  <c r="BW33" i="22" s="1"/>
  <c r="BV40" i="22"/>
  <c r="BV31" i="22"/>
  <c r="BW31" i="22" s="1"/>
  <c r="BV30" i="22"/>
  <c r="BV29" i="22"/>
  <c r="BV39" i="22"/>
  <c r="BV44" i="22"/>
  <c r="BW44" i="22" s="1"/>
  <c r="BY44" i="22" s="1"/>
  <c r="DI43" i="22" s="1"/>
  <c r="BV34" i="22"/>
  <c r="BW34" i="22" s="1"/>
  <c r="BV46" i="22"/>
  <c r="BW46" i="22" s="1"/>
  <c r="BY46" i="22" s="1"/>
  <c r="DI45" i="22" s="1"/>
  <c r="BV41" i="22"/>
  <c r="BW41" i="22" s="1"/>
  <c r="BV43" i="22"/>
  <c r="BW43" i="22" s="1"/>
  <c r="BV47" i="22"/>
  <c r="BW47" i="22" s="1"/>
  <c r="AM33" i="22"/>
  <c r="AN33" i="22" s="1"/>
  <c r="K73" i="22"/>
  <c r="K84" i="22"/>
  <c r="AT25" i="22"/>
  <c r="AP40" i="22"/>
  <c r="AQ40" i="22" s="1"/>
  <c r="CG14" i="22"/>
  <c r="CH48" i="22" s="1"/>
  <c r="BS39" i="24"/>
  <c r="BS68" i="24"/>
  <c r="CG26" i="21"/>
  <c r="CH26" i="21" s="1"/>
  <c r="AP29" i="24"/>
  <c r="BS51" i="24"/>
  <c r="AG20" i="21"/>
  <c r="E30" i="21"/>
  <c r="F30" i="21" s="1"/>
  <c r="AJ19" i="22"/>
  <c r="CJ45" i="22"/>
  <c r="AP28" i="21"/>
  <c r="AQ28" i="21" s="1"/>
  <c r="AP51" i="24"/>
  <c r="B29" i="21"/>
  <c r="CG24" i="21"/>
  <c r="CG32" i="21"/>
  <c r="CG33" i="21"/>
  <c r="CG29" i="21"/>
  <c r="CG36" i="21"/>
  <c r="CG49" i="21"/>
  <c r="CG39" i="21"/>
  <c r="CG35" i="21"/>
  <c r="CG23" i="21"/>
  <c r="CG48" i="21"/>
  <c r="CG31" i="21"/>
  <c r="CG18" i="21"/>
  <c r="CG46" i="21"/>
  <c r="CG38" i="21"/>
  <c r="CG14" i="21"/>
  <c r="E25" i="21"/>
  <c r="K67" i="22"/>
  <c r="I45" i="21"/>
  <c r="CG47" i="21"/>
  <c r="CH47" i="21" s="1"/>
  <c r="AV40" i="21"/>
  <c r="AW40" i="21" s="1"/>
  <c r="AS45" i="21"/>
  <c r="AT45" i="21" s="1"/>
  <c r="AN38" i="21"/>
  <c r="B20" i="21"/>
  <c r="E17" i="21"/>
  <c r="AU22" i="22"/>
  <c r="AM35" i="22"/>
  <c r="K26" i="22"/>
  <c r="AT49" i="22"/>
  <c r="AP33" i="22"/>
  <c r="CG28" i="22"/>
  <c r="CH28" i="22" s="1"/>
  <c r="BS21" i="24"/>
  <c r="B21" i="21"/>
  <c r="AG24" i="21"/>
  <c r="AG31" i="21"/>
  <c r="AG15" i="21"/>
  <c r="AG45" i="21"/>
  <c r="AG50" i="21"/>
  <c r="AG42" i="21"/>
  <c r="AG17" i="21"/>
  <c r="AG22" i="21"/>
  <c r="AG44" i="21"/>
  <c r="AG21" i="21"/>
  <c r="AG46" i="21"/>
  <c r="AG26" i="21"/>
  <c r="AG18" i="21"/>
  <c r="AG23" i="21"/>
  <c r="AH23" i="21" s="1"/>
  <c r="AG19" i="21"/>
  <c r="AP15" i="24"/>
  <c r="B75" i="21"/>
  <c r="AP32" i="24"/>
  <c r="AG38" i="21"/>
  <c r="AP46" i="22"/>
  <c r="CG45" i="21"/>
  <c r="AG41" i="21"/>
  <c r="K32" i="22"/>
  <c r="AV20" i="21"/>
  <c r="CG43" i="21"/>
  <c r="CH43" i="21" s="1"/>
  <c r="B81" i="21"/>
  <c r="B44" i="21"/>
  <c r="C44" i="21" s="1"/>
  <c r="AU46" i="22"/>
  <c r="I78" i="21"/>
  <c r="AM23" i="22"/>
  <c r="K56" i="22"/>
  <c r="AT22" i="22"/>
  <c r="E28" i="22"/>
  <c r="E50" i="22"/>
  <c r="E83" i="22"/>
  <c r="E61" i="22"/>
  <c r="E58" i="22"/>
  <c r="E67" i="22"/>
  <c r="E26" i="22"/>
  <c r="E19" i="22"/>
  <c r="E43" i="22"/>
  <c r="E78" i="22"/>
  <c r="E14" i="22"/>
  <c r="G47" i="22" s="1"/>
  <c r="E77" i="22"/>
  <c r="E25" i="22"/>
  <c r="F25" i="22" s="1"/>
  <c r="E79" i="22"/>
  <c r="F79" i="22" s="1"/>
  <c r="E46" i="22"/>
  <c r="E63" i="22"/>
  <c r="E17" i="22"/>
  <c r="E56" i="22"/>
  <c r="E24" i="22"/>
  <c r="E82" i="22"/>
  <c r="E71" i="22"/>
  <c r="E80" i="22"/>
  <c r="F80" i="22" s="1"/>
  <c r="E57" i="22"/>
  <c r="E66" i="22"/>
  <c r="F66" i="22" s="1"/>
  <c r="E23" i="22"/>
  <c r="F23" i="22" s="1"/>
  <c r="E27" i="22"/>
  <c r="E44" i="22"/>
  <c r="F44" i="22" s="1"/>
  <c r="E65" i="22"/>
  <c r="F65" i="22" s="1"/>
  <c r="E37" i="22"/>
  <c r="F37" i="22" s="1"/>
  <c r="E18" i="22"/>
  <c r="E74" i="22"/>
  <c r="E76" i="22"/>
  <c r="E21" i="22"/>
  <c r="E55" i="22"/>
  <c r="E20" i="22"/>
  <c r="E48" i="22"/>
  <c r="E16" i="22"/>
  <c r="E45" i="22"/>
  <c r="E33" i="22"/>
  <c r="E35" i="22"/>
  <c r="E84" i="22"/>
  <c r="CJ40" i="22"/>
  <c r="CG32" i="22"/>
  <c r="E42" i="21"/>
  <c r="E72" i="21"/>
  <c r="F72" i="21" s="1"/>
  <c r="E84" i="21"/>
  <c r="F84" i="21" s="1"/>
  <c r="E68" i="21"/>
  <c r="F68" i="21" s="1"/>
  <c r="E19" i="21"/>
  <c r="F19" i="21" s="1"/>
  <c r="E39" i="21"/>
  <c r="F39" i="21" s="1"/>
  <c r="E64" i="21"/>
  <c r="F64" i="21" s="1"/>
  <c r="E81" i="21"/>
  <c r="F81" i="21" s="1"/>
  <c r="E43" i="21"/>
  <c r="F43" i="21" s="1"/>
  <c r="E62" i="21"/>
  <c r="F62" i="21" s="1"/>
  <c r="E74" i="21"/>
  <c r="F74" i="21" s="1"/>
  <c r="E60" i="21"/>
  <c r="F60" i="21" s="1"/>
  <c r="E76" i="21"/>
  <c r="F76" i="21" s="1"/>
  <c r="E40" i="21"/>
  <c r="F40" i="21" s="1"/>
  <c r="E73" i="21"/>
  <c r="F73" i="21" s="1"/>
  <c r="E50" i="21"/>
  <c r="F50" i="21" s="1"/>
  <c r="E78" i="21"/>
  <c r="F78" i="21" s="1"/>
  <c r="E58" i="21"/>
  <c r="F58" i="21" s="1"/>
  <c r="E70" i="21"/>
  <c r="F70" i="21" s="1"/>
  <c r="E21" i="21"/>
  <c r="F21" i="21" s="1"/>
  <c r="E44" i="21"/>
  <c r="F44" i="21" s="1"/>
  <c r="E75" i="21"/>
  <c r="F75" i="21" s="1"/>
  <c r="E46" i="21"/>
  <c r="F46" i="21" s="1"/>
  <c r="E57" i="21"/>
  <c r="F57" i="21" s="1"/>
  <c r="E26" i="21"/>
  <c r="F26" i="21" s="1"/>
  <c r="E83" i="21"/>
  <c r="F83" i="21" s="1"/>
  <c r="E16" i="21"/>
  <c r="F16" i="21" s="1"/>
  <c r="E61" i="21"/>
  <c r="F61" i="21" s="1"/>
  <c r="E38" i="21"/>
  <c r="F38" i="21" s="1"/>
  <c r="E37" i="21"/>
  <c r="F37" i="21" s="1"/>
  <c r="CG15" i="21"/>
  <c r="CJ17" i="22"/>
  <c r="AM25" i="22"/>
  <c r="AN25" i="22" s="1"/>
  <c r="AV16" i="21"/>
  <c r="AW16" i="21" s="1"/>
  <c r="AP27" i="21"/>
  <c r="AT42" i="22"/>
  <c r="E38" i="22"/>
  <c r="F38" i="22" s="1"/>
  <c r="CJ14" i="22"/>
  <c r="CK37" i="22" s="1"/>
  <c r="CG35" i="22"/>
  <c r="CH35" i="22" s="1"/>
  <c r="K14" i="22"/>
  <c r="M45" i="22" s="1"/>
  <c r="K71" i="22"/>
  <c r="L71" i="22" s="1"/>
  <c r="K79" i="22"/>
  <c r="K59" i="22"/>
  <c r="K48" i="22"/>
  <c r="K36" i="22"/>
  <c r="L36" i="22" s="1"/>
  <c r="K29" i="22"/>
  <c r="L29" i="22" s="1"/>
  <c r="K80" i="22"/>
  <c r="L80" i="22" s="1"/>
  <c r="K75" i="22"/>
  <c r="K62" i="22"/>
  <c r="K25" i="22"/>
  <c r="K57" i="22"/>
  <c r="L57" i="22" s="1"/>
  <c r="K24" i="22"/>
  <c r="K78" i="22"/>
  <c r="K27" i="22"/>
  <c r="K70" i="22"/>
  <c r="K35" i="22"/>
  <c r="K47" i="22"/>
  <c r="L47" i="22" s="1"/>
  <c r="K39" i="22"/>
  <c r="K44" i="22"/>
  <c r="K16" i="22"/>
  <c r="K72" i="22"/>
  <c r="K74" i="22"/>
  <c r="K58" i="22"/>
  <c r="K40" i="22"/>
  <c r="L40" i="22" s="1"/>
  <c r="K55" i="22"/>
  <c r="K37" i="22"/>
  <c r="K38" i="22"/>
  <c r="L38" i="22" s="1"/>
  <c r="K34" i="22"/>
  <c r="K33" i="22"/>
  <c r="K31" i="22"/>
  <c r="B30" i="21"/>
  <c r="CJ19" i="22"/>
  <c r="CK19" i="22" s="1"/>
  <c r="K86" i="22"/>
  <c r="B25" i="21"/>
  <c r="G19" i="21"/>
  <c r="E80" i="21"/>
  <c r="F80" i="21" s="1"/>
  <c r="K21" i="22"/>
  <c r="L21" i="22" s="1"/>
  <c r="K83" i="22"/>
  <c r="L83" i="22" s="1"/>
  <c r="E34" i="21"/>
  <c r="F34" i="21" s="1"/>
  <c r="E29" i="21"/>
  <c r="F29" i="21" s="1"/>
  <c r="F68" i="22"/>
  <c r="AL39" i="21"/>
  <c r="AL27" i="21"/>
  <c r="AV49" i="21"/>
  <c r="E53" i="21"/>
  <c r="F53" i="21" s="1"/>
  <c r="K60" i="22"/>
  <c r="AN39" i="21"/>
  <c r="G86" i="21"/>
  <c r="AL44" i="21"/>
  <c r="I75" i="21"/>
  <c r="AV39" i="21"/>
  <c r="AP46" i="21"/>
  <c r="AQ46" i="21" s="1"/>
  <c r="B40" i="21"/>
  <c r="E32" i="21"/>
  <c r="F32" i="21" s="1"/>
  <c r="AU40" i="22"/>
  <c r="BV19" i="22"/>
  <c r="BW19" i="22" s="1"/>
  <c r="AJ36" i="22"/>
  <c r="AK36" i="22" s="1"/>
  <c r="K45" i="22"/>
  <c r="AV41" i="22"/>
  <c r="AW41" i="22" s="1"/>
  <c r="AV34" i="22"/>
  <c r="AW34" i="22" s="1"/>
  <c r="AV14" i="22"/>
  <c r="AX48" i="22" s="1"/>
  <c r="AV39" i="22"/>
  <c r="AW39" i="22" s="1"/>
  <c r="AV26" i="22"/>
  <c r="AW26" i="22" s="1"/>
  <c r="AV32" i="22"/>
  <c r="AW32" i="22" s="1"/>
  <c r="AV16" i="22"/>
  <c r="AV20" i="22"/>
  <c r="AV42" i="22"/>
  <c r="AV18" i="22"/>
  <c r="AV48" i="22"/>
  <c r="AV45" i="22"/>
  <c r="AV37" i="22"/>
  <c r="AV17" i="22"/>
  <c r="AV38" i="22"/>
  <c r="AT44" i="22"/>
  <c r="E39" i="22"/>
  <c r="CJ38" i="22"/>
  <c r="CG45" i="22"/>
  <c r="H44" i="24"/>
  <c r="H31" i="24"/>
  <c r="H47" i="24"/>
  <c r="I47" i="24" s="1"/>
  <c r="H64" i="24"/>
  <c r="I64" i="24" s="1"/>
  <c r="H21" i="24"/>
  <c r="I21" i="24" s="1"/>
  <c r="H67" i="24"/>
  <c r="I67" i="24" s="1"/>
  <c r="H74" i="24"/>
  <c r="H20" i="24"/>
  <c r="I20" i="24" s="1"/>
  <c r="H75" i="24"/>
  <c r="H52" i="24"/>
  <c r="I52" i="24" s="1"/>
  <c r="H36" i="24"/>
  <c r="I36" i="24" s="1"/>
  <c r="H15" i="24"/>
  <c r="I15" i="24" s="1"/>
  <c r="H42" i="24"/>
  <c r="I42" i="24" s="1"/>
  <c r="H53" i="24"/>
  <c r="I53" i="24" s="1"/>
  <c r="H60" i="24"/>
  <c r="I60" i="24" s="1"/>
  <c r="H30" i="24"/>
  <c r="I30" i="24" s="1"/>
  <c r="H48" i="24"/>
  <c r="I48" i="24" s="1"/>
  <c r="H69" i="24"/>
  <c r="H37" i="24"/>
  <c r="I37" i="24" s="1"/>
  <c r="H41" i="24"/>
  <c r="I41" i="24" s="1"/>
  <c r="H58" i="24"/>
  <c r="I58" i="24" s="1"/>
  <c r="H29" i="24"/>
  <c r="H76" i="24"/>
  <c r="H81" i="24"/>
  <c r="H56" i="24"/>
  <c r="H86" i="24"/>
  <c r="H23" i="24"/>
  <c r="H83" i="24"/>
  <c r="H19" i="24"/>
  <c r="H40" i="24"/>
  <c r="H82" i="24"/>
  <c r="H25" i="24"/>
  <c r="H66" i="24"/>
  <c r="H77" i="24"/>
  <c r="I77" i="24" s="1"/>
  <c r="H70" i="24"/>
  <c r="I70" i="24" s="1"/>
  <c r="H34" i="24"/>
  <c r="I34" i="24" s="1"/>
  <c r="H68" i="24"/>
  <c r="I68" i="24" s="1"/>
  <c r="H79" i="24"/>
  <c r="I79" i="24" s="1"/>
  <c r="K28" i="22"/>
  <c r="CJ28" i="22"/>
  <c r="G21" i="21"/>
  <c r="AP14" i="24"/>
  <c r="AR53" i="24" s="1"/>
  <c r="AP55" i="24"/>
  <c r="AQ55" i="24" s="1"/>
  <c r="AP30" i="24"/>
  <c r="AP26" i="24"/>
  <c r="AP69" i="24"/>
  <c r="AQ69" i="24" s="1"/>
  <c r="AP46" i="24"/>
  <c r="AQ46" i="24" s="1"/>
  <c r="AP17" i="24"/>
  <c r="AP59" i="24"/>
  <c r="AP35" i="24"/>
  <c r="AQ35" i="24" s="1"/>
  <c r="AP19" i="24"/>
  <c r="AP56" i="24"/>
  <c r="AP34" i="24"/>
  <c r="AP25" i="24"/>
  <c r="AP66" i="24"/>
  <c r="AP42" i="24"/>
  <c r="AP62" i="24"/>
  <c r="AQ62" i="24" s="1"/>
  <c r="AP31" i="24"/>
  <c r="AP64" i="24"/>
  <c r="AQ64" i="24" s="1"/>
  <c r="AP49" i="24"/>
  <c r="AQ49" i="24" s="1"/>
  <c r="AP61" i="24"/>
  <c r="AQ61" i="24" s="1"/>
  <c r="AP37" i="24"/>
  <c r="AP57" i="24"/>
  <c r="AQ57" i="24" s="1"/>
  <c r="AP18" i="24"/>
  <c r="AQ18" i="24" s="1"/>
  <c r="AP54" i="24"/>
  <c r="AP36" i="24"/>
  <c r="AP45" i="24"/>
  <c r="AP38" i="24"/>
  <c r="AP23" i="24"/>
  <c r="AP50" i="24"/>
  <c r="AP40" i="24"/>
  <c r="AP28" i="24"/>
  <c r="AP48" i="24"/>
  <c r="AP63" i="24"/>
  <c r="AQ63" i="24" s="1"/>
  <c r="AP41" i="24"/>
  <c r="AQ41" i="24" s="1"/>
  <c r="AP68" i="24"/>
  <c r="AQ68" i="24" s="1"/>
  <c r="AP21" i="24"/>
  <c r="AQ21" i="24" s="1"/>
  <c r="AP22" i="24"/>
  <c r="AQ22" i="24" s="1"/>
  <c r="F54" i="21"/>
  <c r="CJ43" i="22"/>
  <c r="CK43" i="22" s="1"/>
  <c r="AN44" i="22"/>
  <c r="K76" i="22"/>
  <c r="AP58" i="24"/>
  <c r="AP31" i="21"/>
  <c r="AQ31" i="21" s="1"/>
  <c r="AM50" i="22"/>
  <c r="CJ47" i="22"/>
  <c r="CK47" i="22" s="1"/>
  <c r="AT30" i="22"/>
  <c r="AM47" i="22"/>
  <c r="AV32" i="21"/>
  <c r="E56" i="21"/>
  <c r="F56" i="21" s="1"/>
  <c r="AU33" i="22"/>
  <c r="K65" i="22"/>
  <c r="AT27" i="22"/>
  <c r="BS43" i="24"/>
  <c r="B31" i="21"/>
  <c r="I22" i="21"/>
  <c r="AV36" i="21"/>
  <c r="I66" i="21"/>
  <c r="AG36" i="21"/>
  <c r="AV42" i="21"/>
  <c r="AP23" i="21"/>
  <c r="AQ23" i="21" s="1"/>
  <c r="AM21" i="21"/>
  <c r="AN21" i="21" s="1"/>
  <c r="AM30" i="21"/>
  <c r="AN30" i="21" s="1"/>
  <c r="AM16" i="21"/>
  <c r="AN16" i="21" s="1"/>
  <c r="AM42" i="21"/>
  <c r="AN42" i="21" s="1"/>
  <c r="AM28" i="21"/>
  <c r="AN28" i="21" s="1"/>
  <c r="AM41" i="21"/>
  <c r="AN41" i="21" s="1"/>
  <c r="AM15" i="21"/>
  <c r="AN15" i="21" s="1"/>
  <c r="AM45" i="21"/>
  <c r="AN45" i="21" s="1"/>
  <c r="AM22" i="21"/>
  <c r="AN22" i="21" s="1"/>
  <c r="AM33" i="21"/>
  <c r="AN33" i="21" s="1"/>
  <c r="AM25" i="21"/>
  <c r="AN25" i="21" s="1"/>
  <c r="AM40" i="21"/>
  <c r="AN40" i="21" s="1"/>
  <c r="AM18" i="21"/>
  <c r="AN18" i="21" s="1"/>
  <c r="AM48" i="21"/>
  <c r="AN48" i="21" s="1"/>
  <c r="AM43" i="21"/>
  <c r="AN43" i="21" s="1"/>
  <c r="B76" i="21"/>
  <c r="E45" i="21"/>
  <c r="F45" i="21" s="1"/>
  <c r="AU15" i="22"/>
  <c r="BV20" i="22"/>
  <c r="BW20" i="22" s="1"/>
  <c r="BY20" i="22" s="1"/>
  <c r="DI19" i="22" s="1"/>
  <c r="AJ38" i="22"/>
  <c r="K53" i="22"/>
  <c r="AT17" i="22"/>
  <c r="E53" i="22"/>
  <c r="CJ34" i="22"/>
  <c r="CG46" i="22"/>
  <c r="H80" i="24"/>
  <c r="CJ70" i="24"/>
  <c r="CJ19" i="24"/>
  <c r="CJ65" i="24"/>
  <c r="CJ27" i="24"/>
  <c r="CK27" i="24" s="1"/>
  <c r="CJ20" i="24"/>
  <c r="CK20" i="24" s="1"/>
  <c r="CJ59" i="24"/>
  <c r="CK59" i="24" s="1"/>
  <c r="CJ36" i="24"/>
  <c r="CJ43" i="24"/>
  <c r="CK43" i="24" s="1"/>
  <c r="CJ55" i="24"/>
  <c r="CK55" i="24" s="1"/>
  <c r="CJ28" i="24"/>
  <c r="CJ26" i="24"/>
  <c r="CK26" i="24" s="1"/>
  <c r="CJ54" i="24"/>
  <c r="CJ39" i="24"/>
  <c r="CK39" i="24" s="1"/>
  <c r="CJ38" i="24"/>
  <c r="CK38" i="24" s="1"/>
  <c r="CJ72" i="24"/>
  <c r="CK72" i="24" s="1"/>
  <c r="CJ15" i="24"/>
  <c r="CK15" i="24" s="1"/>
  <c r="CJ23" i="24"/>
  <c r="CK23" i="24" s="1"/>
  <c r="CJ60" i="24"/>
  <c r="CK60" i="24" s="1"/>
  <c r="CJ44" i="24"/>
  <c r="CK44" i="24" s="1"/>
  <c r="CJ45" i="24"/>
  <c r="CK45" i="24" s="1"/>
  <c r="CJ67" i="24"/>
  <c r="CK67" i="24" s="1"/>
  <c r="CJ40" i="24"/>
  <c r="CK40" i="24" s="1"/>
  <c r="CJ71" i="24"/>
  <c r="CK71" i="24" s="1"/>
  <c r="CJ35" i="24"/>
  <c r="CJ56" i="24"/>
  <c r="CJ29" i="24"/>
  <c r="CJ69" i="24"/>
  <c r="CJ31" i="24"/>
  <c r="CJ66" i="24"/>
  <c r="CJ50" i="24"/>
  <c r="CJ47" i="24"/>
  <c r="CJ37" i="24"/>
  <c r="CJ24" i="24"/>
  <c r="CJ33" i="24"/>
  <c r="CJ64" i="24"/>
  <c r="CJ34" i="24"/>
  <c r="CJ61" i="24"/>
  <c r="CJ14" i="24"/>
  <c r="CK30" i="24" s="1"/>
  <c r="CG27" i="21"/>
  <c r="E85" i="21"/>
  <c r="F85" i="21" s="1"/>
  <c r="AP20" i="22"/>
  <c r="B59" i="21"/>
  <c r="K85" i="22"/>
  <c r="BS31" i="24"/>
  <c r="AS29" i="21"/>
  <c r="K23" i="22"/>
  <c r="AU43" i="22"/>
  <c r="I54" i="21"/>
  <c r="AV37" i="21"/>
  <c r="AW37" i="21" s="1"/>
  <c r="B69" i="21"/>
  <c r="AU38" i="22"/>
  <c r="AL15" i="21"/>
  <c r="AL16" i="21"/>
  <c r="AG28" i="21"/>
  <c r="H60" i="21"/>
  <c r="I60" i="21" s="1"/>
  <c r="H30" i="21"/>
  <c r="I30" i="21" s="1"/>
  <c r="H61" i="21"/>
  <c r="I61" i="21" s="1"/>
  <c r="H31" i="21"/>
  <c r="I31" i="21" s="1"/>
  <c r="H57" i="21"/>
  <c r="I57" i="21" s="1"/>
  <c r="H83" i="21"/>
  <c r="I83" i="21" s="1"/>
  <c r="H69" i="21"/>
  <c r="I69" i="21" s="1"/>
  <c r="H72" i="21"/>
  <c r="I72" i="21" s="1"/>
  <c r="H21" i="21"/>
  <c r="I21" i="21" s="1"/>
  <c r="H44" i="21"/>
  <c r="I44" i="21" s="1"/>
  <c r="H56" i="21"/>
  <c r="I56" i="21" s="1"/>
  <c r="H47" i="21"/>
  <c r="I47" i="21" s="1"/>
  <c r="H18" i="21"/>
  <c r="I18" i="21" s="1"/>
  <c r="H17" i="21"/>
  <c r="I17" i="21" s="1"/>
  <c r="H67" i="21"/>
  <c r="I67" i="21" s="1"/>
  <c r="H48" i="21"/>
  <c r="I48" i="21" s="1"/>
  <c r="H42" i="21"/>
  <c r="I42" i="21" s="1"/>
  <c r="H82" i="21"/>
  <c r="I82" i="21" s="1"/>
  <c r="H16" i="21"/>
  <c r="I16" i="21" s="1"/>
  <c r="H65" i="21"/>
  <c r="I65" i="21" s="1"/>
  <c r="H70" i="21"/>
  <c r="I70" i="21" s="1"/>
  <c r="H34" i="21"/>
  <c r="I34" i="21" s="1"/>
  <c r="H53" i="21"/>
  <c r="I53" i="21" s="1"/>
  <c r="H77" i="21"/>
  <c r="I77" i="21" s="1"/>
  <c r="H40" i="21"/>
  <c r="I40" i="21" s="1"/>
  <c r="H20" i="21"/>
  <c r="I20" i="21" s="1"/>
  <c r="H52" i="21"/>
  <c r="I52" i="21" s="1"/>
  <c r="H19" i="21"/>
  <c r="I19" i="21" s="1"/>
  <c r="H50" i="21"/>
  <c r="I50" i="21" s="1"/>
  <c r="H84" i="21"/>
  <c r="I84" i="21" s="1"/>
  <c r="H71" i="21"/>
  <c r="I71" i="21" s="1"/>
  <c r="H86" i="21"/>
  <c r="I86" i="21" s="1"/>
  <c r="H28" i="21"/>
  <c r="H26" i="21"/>
  <c r="AV23" i="21"/>
  <c r="AP17" i="21"/>
  <c r="AM47" i="21"/>
  <c r="AN47" i="21" s="1"/>
  <c r="B33" i="21"/>
  <c r="C33" i="21" s="1"/>
  <c r="E59" i="21"/>
  <c r="F59" i="21" s="1"/>
  <c r="AU39" i="22"/>
  <c r="BV21" i="22"/>
  <c r="AJ17" i="22"/>
  <c r="K77" i="22"/>
  <c r="L77" i="22" s="1"/>
  <c r="AV40" i="22"/>
  <c r="AT24" i="22"/>
  <c r="E31" i="22"/>
  <c r="CG47" i="22"/>
  <c r="H14" i="24"/>
  <c r="H5" i="24" s="1"/>
  <c r="Q55" i="24" s="1"/>
  <c r="H28" i="24"/>
  <c r="CJ32" i="24"/>
  <c r="CK32" i="24" s="1"/>
  <c r="CJ48" i="22"/>
  <c r="CJ39" i="22"/>
  <c r="CJ29" i="22"/>
  <c r="CJ22" i="22"/>
  <c r="CK22" i="22" s="1"/>
  <c r="CJ15" i="22"/>
  <c r="CK15" i="22" s="1"/>
  <c r="CJ20" i="22"/>
  <c r="CJ24" i="22"/>
  <c r="CK24" i="22" s="1"/>
  <c r="CJ36" i="22"/>
  <c r="CK36" i="22" s="1"/>
  <c r="CJ26" i="22"/>
  <c r="CK26" i="22" s="1"/>
  <c r="CJ41" i="22"/>
  <c r="CK41" i="22" s="1"/>
  <c r="CJ35" i="22"/>
  <c r="CK35" i="22" s="1"/>
  <c r="CJ25" i="22"/>
  <c r="CK25" i="22" s="1"/>
  <c r="CJ50" i="22"/>
  <c r="CK50" i="22" s="1"/>
  <c r="CJ42" i="22"/>
  <c r="CK42" i="22" s="1"/>
  <c r="CJ21" i="22"/>
  <c r="CK21" i="22" s="1"/>
  <c r="CJ23" i="22"/>
  <c r="B27" i="21"/>
  <c r="C27" i="21" s="1"/>
  <c r="G36" i="21"/>
  <c r="G57" i="21"/>
  <c r="G81" i="21"/>
  <c r="G34" i="21"/>
  <c r="G68" i="21"/>
  <c r="G67" i="21"/>
  <c r="G43" i="21"/>
  <c r="G74" i="21"/>
  <c r="G24" i="21"/>
  <c r="G60" i="21"/>
  <c r="G71" i="21"/>
  <c r="G41" i="21"/>
  <c r="G51" i="21"/>
  <c r="G17" i="21"/>
  <c r="AT48" i="21"/>
  <c r="AG29" i="21"/>
  <c r="E86" i="21"/>
  <c r="F86" i="21" s="1"/>
  <c r="AJ14" i="22"/>
  <c r="AL46" i="22" s="1"/>
  <c r="AP26" i="22"/>
  <c r="AM20" i="22"/>
  <c r="AN20" i="22" s="1"/>
  <c r="AM18" i="22"/>
  <c r="AN18" i="22" s="1"/>
  <c r="AM26" i="22"/>
  <c r="AN26" i="22" s="1"/>
  <c r="AM40" i="22"/>
  <c r="AN40" i="22" s="1"/>
  <c r="AM17" i="22"/>
  <c r="AN17" i="22" s="1"/>
  <c r="AM22" i="22"/>
  <c r="AM16" i="22"/>
  <c r="AM21" i="22"/>
  <c r="AM19" i="22"/>
  <c r="AM48" i="22"/>
  <c r="AM24" i="22"/>
  <c r="AM42" i="22"/>
  <c r="AM39" i="22"/>
  <c r="AM29" i="22"/>
  <c r="AM38" i="22"/>
  <c r="AM34" i="22"/>
  <c r="AM37" i="22"/>
  <c r="AM28" i="22"/>
  <c r="AM36" i="22"/>
  <c r="AM31" i="22"/>
  <c r="AM46" i="22"/>
  <c r="K81" i="22"/>
  <c r="L81" i="22" s="1"/>
  <c r="CG41" i="21"/>
  <c r="K41" i="22"/>
  <c r="K64" i="22"/>
  <c r="AL37" i="21"/>
  <c r="CG33" i="22"/>
  <c r="AT40" i="22"/>
  <c r="AL21" i="21"/>
  <c r="G23" i="21"/>
  <c r="AP29" i="21"/>
  <c r="AN44" i="21"/>
  <c r="E27" i="21"/>
  <c r="I38" i="21"/>
  <c r="G44" i="21"/>
  <c r="G49" i="21"/>
  <c r="AL40" i="21"/>
  <c r="AG14" i="21"/>
  <c r="AH37" i="21" s="1"/>
  <c r="H25" i="21"/>
  <c r="I25" i="21" s="1"/>
  <c r="K83" i="21"/>
  <c r="BS24" i="21"/>
  <c r="BT24" i="21" s="1"/>
  <c r="BY24" i="21" s="1"/>
  <c r="BS38" i="21"/>
  <c r="BT38" i="21" s="1"/>
  <c r="BY38" i="21" s="1"/>
  <c r="BS37" i="21"/>
  <c r="BS27" i="21"/>
  <c r="BS35" i="21"/>
  <c r="BS17" i="21"/>
  <c r="BT17" i="21" s="1"/>
  <c r="BS16" i="21"/>
  <c r="BS31" i="21"/>
  <c r="BT31" i="21" s="1"/>
  <c r="BS40" i="21"/>
  <c r="BS42" i="21"/>
  <c r="BT42" i="21" s="1"/>
  <c r="BS34" i="21"/>
  <c r="BS14" i="21"/>
  <c r="BT36" i="21" s="1"/>
  <c r="BS30" i="21"/>
  <c r="BS26" i="21"/>
  <c r="BS20" i="21"/>
  <c r="AV50" i="21"/>
  <c r="AP40" i="21"/>
  <c r="AM17" i="21"/>
  <c r="AN17" i="21" s="1"/>
  <c r="B73" i="21"/>
  <c r="E47" i="21"/>
  <c r="F47" i="21" s="1"/>
  <c r="AU36" i="22"/>
  <c r="BV22" i="22"/>
  <c r="BW22" i="22" s="1"/>
  <c r="BT46" i="22"/>
  <c r="AJ28" i="22"/>
  <c r="AK28" i="22" s="1"/>
  <c r="K30" i="22"/>
  <c r="AV49" i="22"/>
  <c r="AW49" i="22" s="1"/>
  <c r="AT47" i="22"/>
  <c r="E34" i="22"/>
  <c r="CJ18" i="22"/>
  <c r="CK18" i="22" s="1"/>
  <c r="CG16" i="22"/>
  <c r="H71" i="24"/>
  <c r="H63" i="24"/>
  <c r="CJ18" i="24"/>
  <c r="AP50" i="22"/>
  <c r="AP42" i="22"/>
  <c r="AP45" i="22"/>
  <c r="AP29" i="22"/>
  <c r="AQ29" i="22" s="1"/>
  <c r="AP24" i="22"/>
  <c r="AP22" i="22"/>
  <c r="AQ22" i="22" s="1"/>
  <c r="AP31" i="22"/>
  <c r="AQ31" i="22" s="1"/>
  <c r="AP19" i="22"/>
  <c r="AQ19" i="22" s="1"/>
  <c r="AP21" i="22"/>
  <c r="AP18" i="22"/>
  <c r="AP28" i="22"/>
  <c r="AQ28" i="22" s="1"/>
  <c r="AP39" i="22"/>
  <c r="AP16" i="22"/>
  <c r="AP37" i="22"/>
  <c r="AP30" i="22"/>
  <c r="AP36" i="22"/>
  <c r="AP48" i="22"/>
  <c r="AP35" i="22"/>
  <c r="AP14" i="22"/>
  <c r="AQ25" i="22" s="1"/>
  <c r="AP34" i="22"/>
  <c r="AQ34" i="22" s="1"/>
  <c r="AP17" i="22"/>
  <c r="AQ17" i="22" s="1"/>
  <c r="K54" i="22"/>
  <c r="AP70" i="24"/>
  <c r="AQ70" i="24" s="1"/>
  <c r="G27" i="21"/>
  <c r="AP65" i="24"/>
  <c r="AQ65" i="24" s="1"/>
  <c r="AP44" i="22"/>
  <c r="AQ44" i="22" s="1"/>
  <c r="AG34" i="21"/>
  <c r="B22" i="21"/>
  <c r="K50" i="22"/>
  <c r="AP32" i="21"/>
  <c r="AM30" i="22"/>
  <c r="CG40" i="21"/>
  <c r="E20" i="21"/>
  <c r="F20" i="21" s="1"/>
  <c r="AP43" i="22"/>
  <c r="AM43" i="22"/>
  <c r="B82" i="21"/>
  <c r="AM14" i="22"/>
  <c r="AP4" i="22" s="1"/>
  <c r="BB18" i="22" s="1"/>
  <c r="B56" i="21"/>
  <c r="AS31" i="21"/>
  <c r="AG16" i="21"/>
  <c r="CG37" i="21"/>
  <c r="E63" i="21"/>
  <c r="AJ34" i="22"/>
  <c r="AK34" i="22" s="1"/>
  <c r="K68" i="22"/>
  <c r="L68" i="22" s="1"/>
  <c r="E49" i="22"/>
  <c r="CJ32" i="22"/>
  <c r="H59" i="24"/>
  <c r="H78" i="24"/>
  <c r="CJ22" i="24"/>
  <c r="CK22" i="24" s="1"/>
  <c r="B34" i="21"/>
  <c r="F72" i="22"/>
  <c r="AP38" i="22"/>
  <c r="AQ38" i="22" s="1"/>
  <c r="B32" i="21"/>
  <c r="AU20" i="22"/>
  <c r="AU21" i="22"/>
  <c r="AU37" i="22"/>
  <c r="AU26" i="22"/>
  <c r="AU29" i="22"/>
  <c r="AU19" i="22"/>
  <c r="AU34" i="22"/>
  <c r="AU23" i="22"/>
  <c r="AU32" i="22"/>
  <c r="AU28" i="22"/>
  <c r="AU31" i="22"/>
  <c r="AU27" i="22"/>
  <c r="AU30" i="22"/>
  <c r="AU17" i="22"/>
  <c r="AU47" i="22"/>
  <c r="AU44" i="22"/>
  <c r="AU41" i="22"/>
  <c r="AU50" i="22"/>
  <c r="E82" i="21"/>
  <c r="AJ35" i="22"/>
  <c r="AK35" i="22" s="1"/>
  <c r="CJ46" i="22"/>
  <c r="B42" i="21"/>
  <c r="K69" i="22"/>
  <c r="K20" i="22"/>
  <c r="L20" i="22" s="1"/>
  <c r="AT48" i="22"/>
  <c r="AG43" i="21"/>
  <c r="AM32" i="22"/>
  <c r="AN32" i="22" s="1"/>
  <c r="CG37" i="22"/>
  <c r="CG22" i="22"/>
  <c r="CG31" i="22"/>
  <c r="CH31" i="22" s="1"/>
  <c r="CG44" i="22"/>
  <c r="CH44" i="22" s="1"/>
  <c r="CG24" i="22"/>
  <c r="CH24" i="22" s="1"/>
  <c r="CG36" i="22"/>
  <c r="CH36" i="22" s="1"/>
  <c r="CG26" i="22"/>
  <c r="CH26" i="22" s="1"/>
  <c r="CM26" i="22" s="1"/>
  <c r="DJ25" i="22" s="1"/>
  <c r="CG41" i="22"/>
  <c r="CG23" i="22"/>
  <c r="CG40" i="22"/>
  <c r="CH40" i="22" s="1"/>
  <c r="CG21" i="22"/>
  <c r="CG42" i="22"/>
  <c r="CG43" i="22"/>
  <c r="CG25" i="22"/>
  <c r="CG19" i="22"/>
  <c r="CG27" i="22"/>
  <c r="E35" i="21"/>
  <c r="F35" i="21" s="1"/>
  <c r="AU24" i="22"/>
  <c r="C25" i="24"/>
  <c r="AU35" i="22"/>
  <c r="G61" i="21"/>
  <c r="G64" i="21"/>
  <c r="AL43" i="21"/>
  <c r="AV30" i="21"/>
  <c r="AN26" i="21"/>
  <c r="AU16" i="22"/>
  <c r="G72" i="21"/>
  <c r="AL25" i="21"/>
  <c r="AG49" i="21"/>
  <c r="H55" i="21"/>
  <c r="I55" i="21" s="1"/>
  <c r="CG17" i="21"/>
  <c r="CH17" i="21" s="1"/>
  <c r="BS46" i="21"/>
  <c r="AP43" i="21"/>
  <c r="AM46" i="21"/>
  <c r="AN46" i="21" s="1"/>
  <c r="B64" i="21"/>
  <c r="B28" i="21"/>
  <c r="E69" i="21"/>
  <c r="F69" i="21" s="1"/>
  <c r="AU18" i="22"/>
  <c r="BT28" i="22"/>
  <c r="K43" i="22"/>
  <c r="L43" i="22" s="1"/>
  <c r="AV36" i="22"/>
  <c r="E29" i="22"/>
  <c r="CJ30" i="22"/>
  <c r="CG17" i="22"/>
  <c r="H17" i="24"/>
  <c r="C64" i="24"/>
  <c r="E53" i="24"/>
  <c r="E70" i="24"/>
  <c r="E47" i="24"/>
  <c r="F47" i="24" s="1"/>
  <c r="E29" i="24"/>
  <c r="F29" i="24" s="1"/>
  <c r="E86" i="24"/>
  <c r="E67" i="24"/>
  <c r="E83" i="24"/>
  <c r="E48" i="24"/>
  <c r="E62" i="24"/>
  <c r="E66" i="24"/>
  <c r="E40" i="24"/>
  <c r="E58" i="24"/>
  <c r="E25" i="24"/>
  <c r="F25" i="24" s="1"/>
  <c r="E20" i="24"/>
  <c r="E59" i="24"/>
  <c r="E44" i="24"/>
  <c r="E14" i="24"/>
  <c r="F35" i="24" s="1"/>
  <c r="E24" i="24"/>
  <c r="F24" i="24" s="1"/>
  <c r="E34" i="24"/>
  <c r="E18" i="24"/>
  <c r="F18" i="24" s="1"/>
  <c r="E76" i="24"/>
  <c r="F76" i="24" s="1"/>
  <c r="E27" i="24"/>
  <c r="F27" i="24" s="1"/>
  <c r="E37" i="24"/>
  <c r="F37" i="24" s="1"/>
  <c r="E33" i="24"/>
  <c r="E26" i="24"/>
  <c r="E82" i="24"/>
  <c r="E60" i="24"/>
  <c r="E16" i="24"/>
  <c r="F16" i="24" s="1"/>
  <c r="E64" i="24"/>
  <c r="F64" i="24" s="1"/>
  <c r="E49" i="24"/>
  <c r="E54" i="24"/>
  <c r="E45" i="24"/>
  <c r="E77" i="24"/>
  <c r="E73" i="24"/>
  <c r="E23" i="24"/>
  <c r="F23" i="24" s="1"/>
  <c r="E79" i="24"/>
  <c r="F79" i="24" s="1"/>
  <c r="E39" i="24"/>
  <c r="E15" i="24"/>
  <c r="E43" i="24"/>
  <c r="E61" i="24"/>
  <c r="E32" i="24"/>
  <c r="E65" i="24"/>
  <c r="E55" i="24"/>
  <c r="CJ41" i="24"/>
  <c r="CK41" i="24" s="1"/>
  <c r="AM51" i="24"/>
  <c r="AN51" i="24" s="1"/>
  <c r="AM35" i="24"/>
  <c r="AN35" i="24" s="1"/>
  <c r="AM37" i="24"/>
  <c r="AN37" i="24" s="1"/>
  <c r="AM58" i="24"/>
  <c r="AM36" i="24"/>
  <c r="AN36" i="24" s="1"/>
  <c r="AM20" i="24"/>
  <c r="AN20" i="24" s="1"/>
  <c r="AM65" i="24"/>
  <c r="AN65" i="24" s="1"/>
  <c r="AM49" i="24"/>
  <c r="AN49" i="24" s="1"/>
  <c r="AM17" i="24"/>
  <c r="AN17" i="24" s="1"/>
  <c r="AM70" i="24"/>
  <c r="AN70" i="24" s="1"/>
  <c r="AM42" i="24"/>
  <c r="AN42" i="24" s="1"/>
  <c r="AM33" i="24"/>
  <c r="AM62" i="24"/>
  <c r="AM31" i="24"/>
  <c r="AM50" i="24"/>
  <c r="AM72" i="24"/>
  <c r="AM14" i="24"/>
  <c r="AN21" i="24" s="1"/>
  <c r="AM53" i="24"/>
  <c r="AM25" i="24"/>
  <c r="AM60" i="24"/>
  <c r="AN60" i="24" s="1"/>
  <c r="AM34" i="24"/>
  <c r="AM55" i="24"/>
  <c r="AN55" i="24" s="1"/>
  <c r="AM18" i="24"/>
  <c r="AN18" i="24" s="1"/>
  <c r="AM67" i="24"/>
  <c r="AM48" i="24"/>
  <c r="AN48" i="24" s="1"/>
  <c r="AM54" i="24"/>
  <c r="AN54" i="24" s="1"/>
  <c r="AM30" i="24"/>
  <c r="AM68" i="24"/>
  <c r="AN68" i="24" s="1"/>
  <c r="AM45" i="24"/>
  <c r="AN45" i="24" s="1"/>
  <c r="AM57" i="24"/>
  <c r="AM38" i="24"/>
  <c r="AN38" i="24" s="1"/>
  <c r="AM71" i="24"/>
  <c r="AN71" i="24" s="1"/>
  <c r="AM23" i="24"/>
  <c r="AN23" i="24" s="1"/>
  <c r="AM56" i="24"/>
  <c r="AN56" i="24" s="1"/>
  <c r="AM40" i="24"/>
  <c r="AN40" i="24" s="1"/>
  <c r="AM66" i="24"/>
  <c r="AN66" i="24" s="1"/>
  <c r="AM28" i="24"/>
  <c r="AN28" i="24" s="1"/>
  <c r="AM69" i="24"/>
  <c r="AN69" i="24" s="1"/>
  <c r="AM61" i="24"/>
  <c r="AN61" i="24" s="1"/>
  <c r="AM29" i="24"/>
  <c r="AN29" i="24" s="1"/>
  <c r="AM15" i="24"/>
  <c r="AN15" i="24" s="1"/>
  <c r="AM26" i="24"/>
  <c r="AN26" i="24" s="1"/>
  <c r="AM41" i="24"/>
  <c r="AN41" i="24" s="1"/>
  <c r="CH22" i="21"/>
  <c r="CH20" i="22"/>
  <c r="AJ50" i="22"/>
  <c r="AK50" i="22" s="1"/>
  <c r="AJ45" i="22"/>
  <c r="AJ44" i="22"/>
  <c r="AJ43" i="22"/>
  <c r="AJ18" i="22"/>
  <c r="AJ42" i="22"/>
  <c r="AJ26" i="22"/>
  <c r="AJ41" i="22"/>
  <c r="AK41" i="22" s="1"/>
  <c r="AJ29" i="22"/>
  <c r="AJ40" i="22"/>
  <c r="AK40" i="22" s="1"/>
  <c r="AJ47" i="22"/>
  <c r="AK47" i="22" s="1"/>
  <c r="AJ39" i="22"/>
  <c r="AK39" i="22" s="1"/>
  <c r="AJ20" i="22"/>
  <c r="AJ33" i="22"/>
  <c r="AK33" i="22" s="1"/>
  <c r="AJ15" i="22"/>
  <c r="AK15" i="22" s="1"/>
  <c r="AJ30" i="22"/>
  <c r="AK30" i="22" s="1"/>
  <c r="AJ46" i="22"/>
  <c r="AK46" i="22" s="1"/>
  <c r="AJ23" i="22"/>
  <c r="AK23" i="22" s="1"/>
  <c r="AJ49" i="22"/>
  <c r="AJ16" i="22"/>
  <c r="AJ21" i="22"/>
  <c r="CJ44" i="22"/>
  <c r="AP16" i="21"/>
  <c r="K18" i="22"/>
  <c r="AP39" i="24"/>
  <c r="CG42" i="21"/>
  <c r="CH42" i="21" s="1"/>
  <c r="F51" i="22"/>
  <c r="AV18" i="21"/>
  <c r="AW18" i="21" s="1"/>
  <c r="AV38" i="21"/>
  <c r="AW38" i="21" s="1"/>
  <c r="AV24" i="21"/>
  <c r="AW24" i="21" s="1"/>
  <c r="AV35" i="21"/>
  <c r="AV43" i="21"/>
  <c r="AV33" i="21"/>
  <c r="AV27" i="21"/>
  <c r="AV29" i="21"/>
  <c r="AV21" i="21"/>
  <c r="AV45" i="21"/>
  <c r="AV26" i="21"/>
  <c r="AV44" i="21"/>
  <c r="AW44" i="21" s="1"/>
  <c r="AV17" i="21"/>
  <c r="AV28" i="21"/>
  <c r="AV31" i="21"/>
  <c r="AW31" i="21" s="1"/>
  <c r="AV25" i="21"/>
  <c r="AV14" i="21"/>
  <c r="AX27" i="21" s="1"/>
  <c r="AV22" i="21"/>
  <c r="AV15" i="21"/>
  <c r="AP23" i="22"/>
  <c r="K22" i="22"/>
  <c r="L22" i="22" s="1"/>
  <c r="BS14" i="24"/>
  <c r="BS34" i="24"/>
  <c r="BS59" i="24"/>
  <c r="BS37" i="24"/>
  <c r="BS53" i="24"/>
  <c r="BS30" i="24"/>
  <c r="BS58" i="24"/>
  <c r="BS40" i="24"/>
  <c r="BS60" i="24"/>
  <c r="BT60" i="24" s="1"/>
  <c r="BS36" i="24"/>
  <c r="BS56" i="24"/>
  <c r="BT56" i="24" s="1"/>
  <c r="BS32" i="24"/>
  <c r="BS61" i="24"/>
  <c r="BS20" i="24"/>
  <c r="BS65" i="24"/>
  <c r="BS49" i="24"/>
  <c r="BS55" i="24"/>
  <c r="BS38" i="24"/>
  <c r="BS62" i="24"/>
  <c r="BS28" i="24"/>
  <c r="BS54" i="24"/>
  <c r="BS33" i="24"/>
  <c r="BS18" i="24"/>
  <c r="BS72" i="24"/>
  <c r="BS42" i="24"/>
  <c r="BS46" i="24"/>
  <c r="BS66" i="24"/>
  <c r="BS47" i="24"/>
  <c r="BS35" i="24"/>
  <c r="BS69" i="24"/>
  <c r="BS45" i="24"/>
  <c r="BS19" i="24"/>
  <c r="BS57" i="24"/>
  <c r="BT57" i="24" s="1"/>
  <c r="BS44" i="24"/>
  <c r="BS48" i="24"/>
  <c r="BS67" i="24"/>
  <c r="BS71" i="24"/>
  <c r="AT16" i="22"/>
  <c r="C70" i="24"/>
  <c r="AV48" i="21"/>
  <c r="AM27" i="22"/>
  <c r="AN27" i="22" s="1"/>
  <c r="CG39" i="22"/>
  <c r="CH39" i="22" s="1"/>
  <c r="B36" i="21"/>
  <c r="AL50" i="21"/>
  <c r="I36" i="21"/>
  <c r="AP38" i="21"/>
  <c r="AQ38" i="21" s="1"/>
  <c r="B14" i="21"/>
  <c r="G47" i="21"/>
  <c r="AL32" i="21"/>
  <c r="AG32" i="21"/>
  <c r="H51" i="21"/>
  <c r="I51" i="21" s="1"/>
  <c r="K14" i="21"/>
  <c r="M18" i="21" s="1"/>
  <c r="K86" i="21"/>
  <c r="K81" i="21"/>
  <c r="K26" i="21"/>
  <c r="K79" i="21"/>
  <c r="K54" i="21"/>
  <c r="K71" i="21"/>
  <c r="K41" i="21"/>
  <c r="K37" i="21"/>
  <c r="K30" i="21"/>
  <c r="K49" i="21"/>
  <c r="L49" i="21" s="1"/>
  <c r="K44" i="21"/>
  <c r="K35" i="21"/>
  <c r="L35" i="21" s="1"/>
  <c r="K59" i="21"/>
  <c r="K43" i="21"/>
  <c r="K17" i="21"/>
  <c r="L17" i="21" s="1"/>
  <c r="K38" i="21"/>
  <c r="L38" i="21" s="1"/>
  <c r="K70" i="21"/>
  <c r="L70" i="21" s="1"/>
  <c r="K68" i="21"/>
  <c r="L68" i="21" s="1"/>
  <c r="K56" i="21"/>
  <c r="K29" i="21"/>
  <c r="K16" i="21"/>
  <c r="L16" i="21" s="1"/>
  <c r="K69" i="21"/>
  <c r="L69" i="21" s="1"/>
  <c r="K47" i="21"/>
  <c r="L47" i="21" s="1"/>
  <c r="K64" i="21"/>
  <c r="K15" i="21"/>
  <c r="K60" i="21"/>
  <c r="K77" i="21"/>
  <c r="K73" i="21"/>
  <c r="K46" i="21"/>
  <c r="K52" i="21"/>
  <c r="K39" i="21"/>
  <c r="L39" i="21" s="1"/>
  <c r="K33" i="21"/>
  <c r="L33" i="21" s="1"/>
  <c r="K42" i="21"/>
  <c r="K63" i="21"/>
  <c r="K51" i="21"/>
  <c r="K23" i="21"/>
  <c r="L23" i="21" s="1"/>
  <c r="K36" i="21"/>
  <c r="L36" i="21" s="1"/>
  <c r="K62" i="21"/>
  <c r="CG25" i="21"/>
  <c r="AV41" i="21"/>
  <c r="AW41" i="21" s="1"/>
  <c r="AP45" i="21"/>
  <c r="AQ45" i="21" s="1"/>
  <c r="AM24" i="21"/>
  <c r="AN24" i="21" s="1"/>
  <c r="B55" i="21"/>
  <c r="B49" i="21"/>
  <c r="E79" i="21"/>
  <c r="F79" i="21" s="1"/>
  <c r="AU45" i="22"/>
  <c r="AJ24" i="22"/>
  <c r="K46" i="22"/>
  <c r="AV50" i="22"/>
  <c r="AW50" i="22" s="1"/>
  <c r="E70" i="22"/>
  <c r="CJ33" i="22"/>
  <c r="CG49" i="22"/>
  <c r="CH49" i="22" s="1"/>
  <c r="H51" i="24"/>
  <c r="CJ49" i="24"/>
  <c r="CK49" i="24" s="1"/>
  <c r="K43" i="24"/>
  <c r="L43" i="24" s="1"/>
  <c r="AJ42" i="21"/>
  <c r="AK42" i="21" s="1"/>
  <c r="CJ33" i="21"/>
  <c r="CK33" i="21" s="1"/>
  <c r="CJ41" i="21"/>
  <c r="CK41" i="21" s="1"/>
  <c r="BW26" i="21"/>
  <c r="BT47" i="22"/>
  <c r="AG39" i="22"/>
  <c r="AH39" i="22" s="1"/>
  <c r="I71" i="22"/>
  <c r="H55" i="22"/>
  <c r="I55" i="22" s="1"/>
  <c r="H82" i="22"/>
  <c r="I82" i="22" s="1"/>
  <c r="C54" i="22"/>
  <c r="B48" i="22"/>
  <c r="C48" i="22" s="1"/>
  <c r="AS21" i="22"/>
  <c r="AT21" i="22" s="1"/>
  <c r="CG44" i="24"/>
  <c r="CH44" i="24" s="1"/>
  <c r="B28" i="24"/>
  <c r="C28" i="24" s="1"/>
  <c r="B23" i="24"/>
  <c r="C23" i="24" s="1"/>
  <c r="K32" i="24"/>
  <c r="K85" i="24"/>
  <c r="L85" i="24" s="1"/>
  <c r="CG64" i="24"/>
  <c r="CH64" i="24" s="1"/>
  <c r="AG62" i="24"/>
  <c r="AH62" i="24" s="1"/>
  <c r="AK19" i="21"/>
  <c r="CJ23" i="21"/>
  <c r="CJ42" i="21"/>
  <c r="BT30" i="22"/>
  <c r="AH21" i="22"/>
  <c r="H22" i="22"/>
  <c r="C24" i="22"/>
  <c r="B55" i="22"/>
  <c r="C55" i="22" s="1"/>
  <c r="AS20" i="22"/>
  <c r="AT20" i="22" s="1"/>
  <c r="B59" i="24"/>
  <c r="C59" i="24" s="1"/>
  <c r="K31" i="24"/>
  <c r="L31" i="24" s="1"/>
  <c r="K22" i="24"/>
  <c r="L22" i="24" s="1"/>
  <c r="BV62" i="24"/>
  <c r="BW62" i="24" s="1"/>
  <c r="CG58" i="24"/>
  <c r="CH58" i="24" s="1"/>
  <c r="AG57" i="24"/>
  <c r="CK49" i="21"/>
  <c r="BW43" i="21"/>
  <c r="BT17" i="22"/>
  <c r="BY17" i="22" s="1"/>
  <c r="DI16" i="22" s="1"/>
  <c r="I45" i="22"/>
  <c r="I72" i="22"/>
  <c r="I65" i="22"/>
  <c r="AT43" i="22"/>
  <c r="K18" i="24"/>
  <c r="K61" i="24"/>
  <c r="AK49" i="21"/>
  <c r="CJ22" i="21"/>
  <c r="BW21" i="21"/>
  <c r="BT26" i="22"/>
  <c r="I57" i="22"/>
  <c r="I75" i="22"/>
  <c r="H23" i="22"/>
  <c r="I23" i="22" s="1"/>
  <c r="C19" i="22"/>
  <c r="B18" i="22"/>
  <c r="C18" i="22" s="1"/>
  <c r="AS35" i="22"/>
  <c r="AT35" i="22" s="1"/>
  <c r="B22" i="24"/>
  <c r="C22" i="24" s="1"/>
  <c r="K80" i="24"/>
  <c r="K73" i="24"/>
  <c r="L73" i="24" s="1"/>
  <c r="BV68" i="24"/>
  <c r="BW68" i="24" s="1"/>
  <c r="AG67" i="24"/>
  <c r="AK29" i="21"/>
  <c r="BT31" i="22"/>
  <c r="BY31" i="22" s="1"/>
  <c r="DI30" i="22" s="1"/>
  <c r="AH25" i="22"/>
  <c r="I41" i="22"/>
  <c r="I46" i="22"/>
  <c r="I80" i="22"/>
  <c r="AT38" i="22"/>
  <c r="K72" i="24"/>
  <c r="K41" i="24"/>
  <c r="L41" i="24" s="1"/>
  <c r="AT50" i="22"/>
  <c r="K39" i="24"/>
  <c r="L39" i="24" s="1"/>
  <c r="K48" i="24"/>
  <c r="L48" i="24" s="1"/>
  <c r="K34" i="24"/>
  <c r="L34" i="24" s="1"/>
  <c r="K35" i="24"/>
  <c r="L35" i="24" s="1"/>
  <c r="BW63" i="24"/>
  <c r="AK44" i="21"/>
  <c r="AK23" i="21"/>
  <c r="AK30" i="21"/>
  <c r="AJ34" i="21"/>
  <c r="AK34" i="21" s="1"/>
  <c r="CJ20" i="21"/>
  <c r="BT44" i="22"/>
  <c r="AG50" i="22"/>
  <c r="H62" i="22"/>
  <c r="I62" i="22" s="1"/>
  <c r="H28" i="22"/>
  <c r="I28" i="22" s="1"/>
  <c r="C17" i="22"/>
  <c r="B78" i="22"/>
  <c r="C78" i="22" s="1"/>
  <c r="AS15" i="22"/>
  <c r="AT15" i="22" s="1"/>
  <c r="CG29" i="24"/>
  <c r="CH29" i="24" s="1"/>
  <c r="B61" i="24"/>
  <c r="C61" i="24" s="1"/>
  <c r="B21" i="24"/>
  <c r="K75" i="24"/>
  <c r="L75" i="24" s="1"/>
  <c r="K28" i="24"/>
  <c r="L28" i="24" s="1"/>
  <c r="BV57" i="24"/>
  <c r="BW57" i="24" s="1"/>
  <c r="CJ16" i="21"/>
  <c r="AK21" i="21"/>
  <c r="AK37" i="21"/>
  <c r="CJ15" i="21"/>
  <c r="CK15" i="21" s="1"/>
  <c r="BT42" i="22"/>
  <c r="C39" i="22"/>
  <c r="B26" i="22"/>
  <c r="C26" i="22" s="1"/>
  <c r="AS39" i="22"/>
  <c r="AT39" i="22" s="1"/>
  <c r="B16" i="24"/>
  <c r="C16" i="24" s="1"/>
  <c r="B33" i="24"/>
  <c r="C33" i="24" s="1"/>
  <c r="K21" i="24"/>
  <c r="L21" i="24" s="1"/>
  <c r="K16" i="24"/>
  <c r="L16" i="24" s="1"/>
  <c r="BV66" i="24"/>
  <c r="BW66" i="24" s="1"/>
  <c r="AK47" i="21"/>
  <c r="AK36" i="21"/>
  <c r="AJ38" i="21"/>
  <c r="AK38" i="21" s="1"/>
  <c r="CJ29" i="21"/>
  <c r="BT37" i="22"/>
  <c r="AG38" i="22"/>
  <c r="B61" i="22"/>
  <c r="C61" i="22" s="1"/>
  <c r="AS28" i="22"/>
  <c r="AT28" i="22" s="1"/>
  <c r="CG32" i="24"/>
  <c r="CH32" i="24" s="1"/>
  <c r="B19" i="24"/>
  <c r="C19" i="24" s="1"/>
  <c r="B83" i="24"/>
  <c r="K30" i="24"/>
  <c r="L30" i="24" s="1"/>
  <c r="K70" i="24"/>
  <c r="L70" i="24" s="1"/>
  <c r="BV70" i="24"/>
  <c r="BW70" i="24" s="1"/>
  <c r="BT41" i="22"/>
  <c r="AK17" i="21"/>
  <c r="CJ21" i="21"/>
  <c r="BT40" i="22"/>
  <c r="AG40" i="22"/>
  <c r="AH40" i="22" s="1"/>
  <c r="H38" i="22"/>
  <c r="I38" i="22" s="1"/>
  <c r="C35" i="22"/>
  <c r="B27" i="22"/>
  <c r="C27" i="22" s="1"/>
  <c r="AS41" i="22"/>
  <c r="AT41" i="22" s="1"/>
  <c r="B54" i="24"/>
  <c r="C54" i="24" s="1"/>
  <c r="B42" i="24"/>
  <c r="C42" i="24" s="1"/>
  <c r="AG34" i="24"/>
  <c r="K62" i="24"/>
  <c r="L62" i="24" s="1"/>
  <c r="K71" i="24"/>
  <c r="L71" i="24" s="1"/>
  <c r="BV69" i="24"/>
  <c r="CJ24" i="21"/>
  <c r="CK24" i="21" s="1"/>
  <c r="AK41" i="21"/>
  <c r="CJ30" i="21"/>
  <c r="BT50" i="22"/>
  <c r="AG15" i="22"/>
  <c r="AH15" i="22" s="1"/>
  <c r="H34" i="22"/>
  <c r="H17" i="22"/>
  <c r="B76" i="22"/>
  <c r="C76" i="22" s="1"/>
  <c r="AS18" i="22"/>
  <c r="AT18" i="22" s="1"/>
  <c r="B37" i="24"/>
  <c r="C37" i="24" s="1"/>
  <c r="B74" i="24"/>
  <c r="C74" i="24" s="1"/>
  <c r="AG20" i="24"/>
  <c r="K33" i="24"/>
  <c r="L33" i="24" s="1"/>
  <c r="K54" i="24"/>
  <c r="L54" i="24" s="1"/>
  <c r="BV72" i="24"/>
  <c r="AK33" i="21"/>
  <c r="BT45" i="22"/>
  <c r="AK16" i="21"/>
  <c r="CJ14" i="21"/>
  <c r="CK44" i="21" s="1"/>
  <c r="AG33" i="22"/>
  <c r="I49" i="22"/>
  <c r="H50" i="22"/>
  <c r="I50" i="22" s="1"/>
  <c r="C57" i="22"/>
  <c r="B28" i="22"/>
  <c r="C28" i="22" s="1"/>
  <c r="AS29" i="22"/>
  <c r="AT29" i="22" s="1"/>
  <c r="B69" i="24"/>
  <c r="C69" i="24" s="1"/>
  <c r="B84" i="24"/>
  <c r="C84" i="24" s="1"/>
  <c r="AG32" i="24"/>
  <c r="AH32" i="24" s="1"/>
  <c r="K60" i="24"/>
  <c r="K76" i="24"/>
  <c r="L76" i="24" s="1"/>
  <c r="BV71" i="24"/>
  <c r="BW71" i="24" s="1"/>
  <c r="AK27" i="21"/>
  <c r="AK31" i="21"/>
  <c r="CJ34" i="21"/>
  <c r="CK34" i="21" s="1"/>
  <c r="AG19" i="22"/>
  <c r="H79" i="22"/>
  <c r="C67" i="22"/>
  <c r="B59" i="22"/>
  <c r="C59" i="22" s="1"/>
  <c r="AS45" i="22"/>
  <c r="AT45" i="22" s="1"/>
  <c r="B35" i="24"/>
  <c r="C35" i="24" s="1"/>
  <c r="B31" i="24"/>
  <c r="C31" i="24" s="1"/>
  <c r="AG14" i="24"/>
  <c r="AH45" i="24" s="1"/>
  <c r="K55" i="24"/>
  <c r="K81" i="24"/>
  <c r="L81" i="24" s="1"/>
  <c r="BV54" i="24"/>
  <c r="CG51" i="24"/>
  <c r="BT33" i="22"/>
  <c r="I24" i="22"/>
  <c r="C81" i="22"/>
  <c r="B66" i="24"/>
  <c r="C66" i="24" s="1"/>
  <c r="K45" i="24"/>
  <c r="L45" i="24" s="1"/>
  <c r="K40" i="24"/>
  <c r="L40" i="24" s="1"/>
  <c r="AX31" i="24"/>
  <c r="AX47" i="24"/>
  <c r="AX20" i="24"/>
  <c r="AT20" i="24"/>
  <c r="CK37" i="24"/>
  <c r="I82" i="24"/>
  <c r="AW50" i="24"/>
  <c r="AU58" i="24"/>
  <c r="AN53" i="24"/>
  <c r="CH26" i="24"/>
  <c r="C26" i="24"/>
  <c r="F60" i="24"/>
  <c r="AW44" i="24"/>
  <c r="C85" i="24"/>
  <c r="C39" i="24"/>
  <c r="F82" i="24"/>
  <c r="AW42" i="24"/>
  <c r="F73" i="24"/>
  <c r="AW15" i="24"/>
  <c r="AW21" i="24"/>
  <c r="AW19" i="24"/>
  <c r="AX60" i="24"/>
  <c r="AX50" i="24"/>
  <c r="AW28" i="24"/>
  <c r="AW45" i="24"/>
  <c r="AN46" i="24"/>
  <c r="AW26" i="24"/>
  <c r="C30" i="24"/>
  <c r="C18" i="24"/>
  <c r="AW38" i="24"/>
  <c r="AX57" i="24"/>
  <c r="AX56" i="24"/>
  <c r="AX51" i="24"/>
  <c r="CH27" i="24"/>
  <c r="AX61" i="24"/>
  <c r="CH45" i="24"/>
  <c r="AU68" i="24"/>
  <c r="AX68" i="24"/>
  <c r="AX66" i="24"/>
  <c r="AX70" i="24"/>
  <c r="AX72" i="24"/>
  <c r="AX37" i="24"/>
  <c r="AU63" i="24"/>
  <c r="BW52" i="24"/>
  <c r="AU61" i="24"/>
  <c r="BW51" i="24"/>
  <c r="AU56" i="24"/>
  <c r="AK54" i="24"/>
  <c r="AU65" i="24"/>
  <c r="BW67" i="24"/>
  <c r="CH68" i="24"/>
  <c r="AN57" i="24"/>
  <c r="AH55" i="24"/>
  <c r="CH40" i="24"/>
  <c r="C27" i="24"/>
  <c r="C53" i="24"/>
  <c r="CH28" i="24"/>
  <c r="C75" i="24"/>
  <c r="CH30" i="24"/>
  <c r="C83" i="24"/>
  <c r="AX69" i="24"/>
  <c r="CH43" i="24"/>
  <c r="C21" i="24"/>
  <c r="AX71" i="24"/>
  <c r="C50" i="24"/>
  <c r="AX67" i="24"/>
  <c r="BW60" i="24"/>
  <c r="CH60" i="24"/>
  <c r="CK61" i="24"/>
  <c r="AX53" i="24"/>
  <c r="CH49" i="24"/>
  <c r="CH72" i="24"/>
  <c r="CH62" i="24"/>
  <c r="CK52" i="24"/>
  <c r="C82" i="24"/>
  <c r="C62" i="24"/>
  <c r="AK68" i="24"/>
  <c r="CH70" i="24"/>
  <c r="G86" i="24"/>
  <c r="C49" i="24"/>
  <c r="AX58" i="24"/>
  <c r="G83" i="24"/>
  <c r="AX25" i="24"/>
  <c r="C41" i="24"/>
  <c r="AX63" i="24"/>
  <c r="C52" i="24"/>
  <c r="C40" i="24"/>
  <c r="C20" i="24"/>
  <c r="C51" i="24"/>
  <c r="C56" i="24"/>
  <c r="C58" i="24"/>
  <c r="CH69" i="24"/>
  <c r="C17" i="24"/>
  <c r="AK55" i="24"/>
  <c r="CH59" i="24"/>
  <c r="C60" i="24"/>
  <c r="C15" i="24"/>
  <c r="C68" i="24"/>
  <c r="C73" i="24"/>
  <c r="AU70" i="24"/>
  <c r="CH53" i="24"/>
  <c r="AN63" i="24"/>
  <c r="C86" i="24"/>
  <c r="C46" i="24"/>
  <c r="C32" i="24"/>
  <c r="C48" i="24"/>
  <c r="G34" i="24"/>
  <c r="AK60" i="24"/>
  <c r="AU51" i="24"/>
  <c r="CH63" i="24"/>
  <c r="AN52" i="24"/>
  <c r="CH52" i="24"/>
  <c r="AR30" i="24"/>
  <c r="AR69" i="24"/>
  <c r="AR65" i="24"/>
  <c r="AR32" i="24"/>
  <c r="AR51" i="24"/>
  <c r="AR19" i="24"/>
  <c r="AR59" i="24"/>
  <c r="AR70" i="24"/>
  <c r="AR23" i="24"/>
  <c r="AK59" i="24"/>
  <c r="AK72" i="24"/>
  <c r="AK71" i="24"/>
  <c r="AU50" i="24"/>
  <c r="AT61" i="24"/>
  <c r="AT51" i="24"/>
  <c r="AT58" i="24"/>
  <c r="AT63" i="24"/>
  <c r="AT53" i="24"/>
  <c r="AT56" i="24"/>
  <c r="AT70" i="24"/>
  <c r="AT62" i="24"/>
  <c r="AT69" i="24"/>
  <c r="AT54" i="24"/>
  <c r="AT66" i="24"/>
  <c r="AT71" i="24"/>
  <c r="AT68" i="24"/>
  <c r="AT52" i="24"/>
  <c r="AT57" i="24"/>
  <c r="AT60" i="24"/>
  <c r="AT67" i="24"/>
  <c r="AT59" i="24"/>
  <c r="AT64" i="24"/>
  <c r="AT65" i="24"/>
  <c r="AT72" i="24"/>
  <c r="AT55" i="24"/>
  <c r="AK51" i="24"/>
  <c r="AK70" i="24"/>
  <c r="BW69" i="24"/>
  <c r="AK57" i="24"/>
  <c r="BW72" i="24"/>
  <c r="AQ36" i="24"/>
  <c r="AK67" i="24"/>
  <c r="F44" i="24"/>
  <c r="AU72" i="24"/>
  <c r="AK66" i="24"/>
  <c r="BW54" i="24"/>
  <c r="CH51" i="24"/>
  <c r="CK65" i="24"/>
  <c r="AN58" i="24"/>
  <c r="AK56" i="24"/>
  <c r="AK58" i="24"/>
  <c r="AI53" i="24"/>
  <c r="AI60" i="24"/>
  <c r="AI64" i="24"/>
  <c r="AI62" i="24"/>
  <c r="AI72" i="24"/>
  <c r="AI69" i="24"/>
  <c r="AI55" i="24"/>
  <c r="AI67" i="24"/>
  <c r="AI57" i="24"/>
  <c r="AI70" i="24"/>
  <c r="AI52" i="24"/>
  <c r="AI54" i="24"/>
  <c r="AI63" i="24"/>
  <c r="AI61" i="24"/>
  <c r="AI68" i="24"/>
  <c r="AI66" i="24"/>
  <c r="AI58" i="24"/>
  <c r="AI56" i="24"/>
  <c r="AI59" i="24"/>
  <c r="AI51" i="24"/>
  <c r="AI65" i="24"/>
  <c r="AI71" i="24"/>
  <c r="AL51" i="24"/>
  <c r="AL58" i="24"/>
  <c r="AL65" i="24"/>
  <c r="AL70" i="24"/>
  <c r="AL53" i="24"/>
  <c r="AL60" i="24"/>
  <c r="AL72" i="24"/>
  <c r="AL55" i="24"/>
  <c r="AL67" i="24"/>
  <c r="AL62" i="24"/>
  <c r="AL68" i="24"/>
  <c r="AL64" i="24"/>
  <c r="AL66" i="24"/>
  <c r="AL56" i="24"/>
  <c r="AL71" i="24"/>
  <c r="AL52" i="24"/>
  <c r="AL69" i="24"/>
  <c r="AL63" i="24"/>
  <c r="AL59" i="24"/>
  <c r="AL57" i="24"/>
  <c r="AL61" i="24"/>
  <c r="AL54" i="24"/>
  <c r="AO70" i="24"/>
  <c r="AO55" i="24"/>
  <c r="AO51" i="24"/>
  <c r="AO58" i="24"/>
  <c r="AO65" i="24"/>
  <c r="AO53" i="24"/>
  <c r="AO60" i="24"/>
  <c r="AO72" i="24"/>
  <c r="AO67" i="24"/>
  <c r="AO63" i="24"/>
  <c r="AO59" i="24"/>
  <c r="AO62" i="24"/>
  <c r="AO68" i="24"/>
  <c r="AO71" i="24"/>
  <c r="AO57" i="24"/>
  <c r="AO66" i="24"/>
  <c r="AO54" i="24"/>
  <c r="AO61" i="24"/>
  <c r="AO52" i="24"/>
  <c r="AO69" i="24"/>
  <c r="AO64" i="24"/>
  <c r="AO56" i="24"/>
  <c r="AX48" i="24"/>
  <c r="AW53" i="24"/>
  <c r="AW51" i="24"/>
  <c r="AW56" i="24"/>
  <c r="AW69" i="24"/>
  <c r="AW70" i="24"/>
  <c r="AW60" i="24"/>
  <c r="AW62" i="24"/>
  <c r="AW64" i="24"/>
  <c r="AW67" i="24"/>
  <c r="AW63" i="24"/>
  <c r="AW65" i="24"/>
  <c r="AW55" i="24"/>
  <c r="AW61" i="24"/>
  <c r="AW59" i="24"/>
  <c r="AW66" i="24"/>
  <c r="AW54" i="24"/>
  <c r="AW71" i="24"/>
  <c r="AW68" i="24"/>
  <c r="AW58" i="24"/>
  <c r="AW72" i="24"/>
  <c r="AW52" i="24"/>
  <c r="AW57" i="24"/>
  <c r="AU69" i="24"/>
  <c r="BW65" i="24"/>
  <c r="CH57" i="24"/>
  <c r="AU66" i="24"/>
  <c r="AK52" i="24"/>
  <c r="BW55" i="24"/>
  <c r="CH61" i="24"/>
  <c r="AU53" i="24"/>
  <c r="BW61" i="24"/>
  <c r="CH66" i="24"/>
  <c r="AH71" i="24"/>
  <c r="AU62" i="24"/>
  <c r="AU59" i="24"/>
  <c r="BW59" i="24"/>
  <c r="AH51" i="24"/>
  <c r="AQ71" i="24"/>
  <c r="AK62" i="24"/>
  <c r="AU67" i="24"/>
  <c r="AK64" i="24"/>
  <c r="BW64" i="24"/>
  <c r="AQ67" i="24"/>
  <c r="AK65" i="24"/>
  <c r="AU55" i="24"/>
  <c r="AX65" i="24"/>
  <c r="AU71" i="24"/>
  <c r="BW56" i="24"/>
  <c r="CH67" i="24"/>
  <c r="CK58" i="24"/>
  <c r="AK69" i="24"/>
  <c r="AK63" i="24"/>
  <c r="CK34" i="24"/>
  <c r="AX59" i="24"/>
  <c r="AU60" i="24"/>
  <c r="BW58" i="24"/>
  <c r="CH65" i="24"/>
  <c r="AK53" i="24"/>
  <c r="AK61" i="24"/>
  <c r="C44" i="24"/>
  <c r="AX62" i="24"/>
  <c r="AU52" i="24"/>
  <c r="CH71" i="24"/>
  <c r="CH22" i="24"/>
  <c r="C45" i="24"/>
  <c r="AX64" i="24"/>
  <c r="AU54" i="24"/>
  <c r="CH56" i="24"/>
  <c r="CK51" i="24"/>
  <c r="AQ58" i="24"/>
  <c r="AQ50" i="24"/>
  <c r="C67" i="24"/>
  <c r="AX55" i="24"/>
  <c r="AU64" i="24"/>
  <c r="CH54" i="24"/>
  <c r="AN64" i="24"/>
  <c r="AH54" i="24"/>
  <c r="AQ51" i="24"/>
  <c r="BW53" i="24"/>
  <c r="AN22" i="24"/>
  <c r="AX52" i="24"/>
  <c r="AU57" i="24"/>
  <c r="CH55" i="24"/>
  <c r="AN59" i="24"/>
  <c r="CK46" i="24"/>
  <c r="CH46" i="24"/>
  <c r="CH41" i="24"/>
  <c r="CH38" i="24"/>
  <c r="CH21" i="24"/>
  <c r="CH48" i="24"/>
  <c r="CH17" i="24"/>
  <c r="CK36" i="24"/>
  <c r="CH36" i="24"/>
  <c r="CH25" i="24"/>
  <c r="CH42" i="24"/>
  <c r="CK42" i="24"/>
  <c r="CH19" i="24"/>
  <c r="CH35" i="24"/>
  <c r="CH39" i="24"/>
  <c r="CH23" i="24"/>
  <c r="CK48" i="24"/>
  <c r="CH31" i="24"/>
  <c r="BT26" i="24"/>
  <c r="AX49" i="24"/>
  <c r="AR33" i="24"/>
  <c r="AH41" i="24"/>
  <c r="AH29" i="24"/>
  <c r="AN43" i="24"/>
  <c r="AH48" i="24"/>
  <c r="AH44" i="24"/>
  <c r="AW23" i="24"/>
  <c r="AX32" i="24"/>
  <c r="AX38" i="24"/>
  <c r="AW33" i="24"/>
  <c r="AW48" i="24"/>
  <c r="AW22" i="24"/>
  <c r="AW16" i="24"/>
  <c r="AX39" i="24"/>
  <c r="AW25" i="24"/>
  <c r="AV32" i="24"/>
  <c r="AW32" i="24" s="1"/>
  <c r="AX40" i="24"/>
  <c r="AX28" i="24"/>
  <c r="AX27" i="24"/>
  <c r="AX44" i="24"/>
  <c r="AV41" i="24"/>
  <c r="AW41" i="24" s="1"/>
  <c r="AX45" i="24"/>
  <c r="AV35" i="24"/>
  <c r="AW35" i="24" s="1"/>
  <c r="AX43" i="24"/>
  <c r="AX19" i="24"/>
  <c r="AX46" i="24"/>
  <c r="AV36" i="24"/>
  <c r="AW36" i="24" s="1"/>
  <c r="AT38" i="24"/>
  <c r="AU22" i="24"/>
  <c r="AU46" i="24"/>
  <c r="AU21" i="24"/>
  <c r="AU33" i="24"/>
  <c r="AU43" i="24"/>
  <c r="AU34" i="24"/>
  <c r="AT28" i="24"/>
  <c r="AT33" i="24"/>
  <c r="AT34" i="24"/>
  <c r="AT22" i="24"/>
  <c r="AT50" i="24"/>
  <c r="AU39" i="24"/>
  <c r="AU49" i="24"/>
  <c r="AS39" i="24"/>
  <c r="AT39" i="24" s="1"/>
  <c r="AS48" i="24"/>
  <c r="AT48" i="24" s="1"/>
  <c r="AT19" i="24"/>
  <c r="AT29" i="24"/>
  <c r="AT49" i="24"/>
  <c r="AU48" i="24"/>
  <c r="AU27" i="24"/>
  <c r="AS27" i="24"/>
  <c r="AT27" i="24" s="1"/>
  <c r="AU40" i="24"/>
  <c r="AU30" i="24"/>
  <c r="AT17" i="24"/>
  <c r="AU17" i="24"/>
  <c r="AU31" i="24"/>
  <c r="AS31" i="24"/>
  <c r="AT31" i="24" s="1"/>
  <c r="AU28" i="24"/>
  <c r="AT45" i="24"/>
  <c r="AU42" i="24"/>
  <c r="AS15" i="24"/>
  <c r="AT15" i="24" s="1"/>
  <c r="AU36" i="24"/>
  <c r="AS47" i="24"/>
  <c r="AT47" i="24" s="1"/>
  <c r="AU41" i="24"/>
  <c r="AU38" i="24"/>
  <c r="AS42" i="24"/>
  <c r="AT42" i="24" s="1"/>
  <c r="AU35" i="24"/>
  <c r="AU19" i="24"/>
  <c r="AS36" i="24"/>
  <c r="AT36" i="24" s="1"/>
  <c r="AU25" i="24"/>
  <c r="AU24" i="24"/>
  <c r="AT26" i="24"/>
  <c r="AU26" i="24"/>
  <c r="AS21" i="24"/>
  <c r="AT21" i="24" s="1"/>
  <c r="AU20" i="24"/>
  <c r="AS18" i="24"/>
  <c r="AT18" i="24" s="1"/>
  <c r="AU16" i="24"/>
  <c r="AT35" i="24"/>
  <c r="AU18" i="24"/>
  <c r="AU32" i="24"/>
  <c r="AJ33" i="24"/>
  <c r="AK33" i="24" s="1"/>
  <c r="AJ40" i="24"/>
  <c r="AK40" i="24" s="1"/>
  <c r="AJ28" i="24"/>
  <c r="AK28" i="24" s="1"/>
  <c r="AJ31" i="24"/>
  <c r="AK31" i="24" s="1"/>
  <c r="AJ39" i="24"/>
  <c r="AK39" i="24" s="1"/>
  <c r="AJ35" i="24"/>
  <c r="AK35" i="24" s="1"/>
  <c r="AJ22" i="24"/>
  <c r="AK22" i="24" s="1"/>
  <c r="AJ41" i="24"/>
  <c r="AK41" i="24" s="1"/>
  <c r="AJ24" i="24"/>
  <c r="AK24" i="24" s="1"/>
  <c r="AJ16" i="24"/>
  <c r="AK16" i="24" s="1"/>
  <c r="AJ46" i="24"/>
  <c r="AK46" i="24" s="1"/>
  <c r="AJ19" i="24"/>
  <c r="AK19" i="24" s="1"/>
  <c r="AJ44" i="24"/>
  <c r="AK44" i="24" s="1"/>
  <c r="AJ47" i="24"/>
  <c r="AK47" i="24" s="1"/>
  <c r="AJ29" i="24"/>
  <c r="AK29" i="24" s="1"/>
  <c r="AJ20" i="24"/>
  <c r="AK20" i="24" s="1"/>
  <c r="Q27" i="24"/>
  <c r="Q70" i="24"/>
  <c r="Q66" i="24"/>
  <c r="Q15" i="24"/>
  <c r="Q48" i="24"/>
  <c r="Q29" i="24"/>
  <c r="Q65" i="24"/>
  <c r="Q49" i="24"/>
  <c r="Q84" i="24"/>
  <c r="Q33" i="24"/>
  <c r="Q40" i="24"/>
  <c r="Q75" i="24"/>
  <c r="Q23" i="24"/>
  <c r="Q24" i="24"/>
  <c r="M73" i="24"/>
  <c r="M61" i="24"/>
  <c r="M70" i="24"/>
  <c r="M58" i="24"/>
  <c r="M55" i="24"/>
  <c r="M45" i="24"/>
  <c r="M36" i="24"/>
  <c r="M20" i="24"/>
  <c r="M43" i="24"/>
  <c r="M69" i="24"/>
  <c r="M57" i="24"/>
  <c r="M30" i="24"/>
  <c r="M77" i="24"/>
  <c r="M65" i="24"/>
  <c r="M17" i="24"/>
  <c r="M79" i="24"/>
  <c r="M25" i="24"/>
  <c r="M63" i="24"/>
  <c r="M37" i="24"/>
  <c r="M50" i="24"/>
  <c r="M74" i="24"/>
  <c r="M49" i="24"/>
  <c r="M82" i="24"/>
  <c r="M66" i="24"/>
  <c r="M18" i="24"/>
  <c r="M60" i="24"/>
  <c r="M62" i="24"/>
  <c r="M47" i="24"/>
  <c r="M46" i="24"/>
  <c r="M34" i="24"/>
  <c r="M22" i="24"/>
  <c r="M23" i="24"/>
  <c r="M75" i="24"/>
  <c r="M83" i="24"/>
  <c r="M72" i="24"/>
  <c r="M31" i="24"/>
  <c r="M80" i="24"/>
  <c r="M19" i="24"/>
  <c r="M64" i="24"/>
  <c r="M51" i="24"/>
  <c r="M26" i="24"/>
  <c r="M33" i="24"/>
  <c r="M56" i="24"/>
  <c r="M42" i="24"/>
  <c r="M24" i="24"/>
  <c r="M16" i="24"/>
  <c r="M44" i="24"/>
  <c r="M78" i="24"/>
  <c r="M38" i="24"/>
  <c r="M21" i="24"/>
  <c r="M84" i="24"/>
  <c r="M59" i="24"/>
  <c r="M40" i="24"/>
  <c r="M29" i="24"/>
  <c r="M35" i="24"/>
  <c r="M32" i="24"/>
  <c r="M67" i="24"/>
  <c r="M28" i="24"/>
  <c r="M48" i="24"/>
  <c r="M52" i="24"/>
  <c r="M15" i="24"/>
  <c r="M41" i="24"/>
  <c r="M68" i="24"/>
  <c r="M85" i="24"/>
  <c r="M53" i="24"/>
  <c r="M86" i="24"/>
  <c r="M81" i="24"/>
  <c r="M76" i="24"/>
  <c r="M54" i="24"/>
  <c r="M71" i="24"/>
  <c r="M39" i="24"/>
  <c r="M27" i="24"/>
  <c r="L27" i="24"/>
  <c r="BW19" i="24"/>
  <c r="AK17" i="24"/>
  <c r="L32" i="24"/>
  <c r="G25" i="24"/>
  <c r="G27" i="24"/>
  <c r="BW35" i="24"/>
  <c r="F34" i="24"/>
  <c r="AN32" i="24"/>
  <c r="AK42" i="24"/>
  <c r="L61" i="24"/>
  <c r="AO44" i="24"/>
  <c r="AO21" i="24"/>
  <c r="AO36" i="24"/>
  <c r="AO23" i="24"/>
  <c r="AO35" i="24"/>
  <c r="AO46" i="24"/>
  <c r="AO42" i="24"/>
  <c r="AO31" i="24"/>
  <c r="AO49" i="24"/>
  <c r="AO32" i="24"/>
  <c r="AO48" i="24"/>
  <c r="AO40" i="24"/>
  <c r="AO30" i="24"/>
  <c r="AO45" i="24"/>
  <c r="AO38" i="24"/>
  <c r="AO18" i="24"/>
  <c r="AO28" i="24"/>
  <c r="AO29" i="24"/>
  <c r="AO19" i="24"/>
  <c r="AO24" i="24"/>
  <c r="AO43" i="24"/>
  <c r="AO39" i="24"/>
  <c r="AP4" i="24"/>
  <c r="AO15" i="24"/>
  <c r="AO47" i="24"/>
  <c r="AO37" i="24"/>
  <c r="AO25" i="24"/>
  <c r="AO33" i="24"/>
  <c r="AO20" i="24"/>
  <c r="AO22" i="24"/>
  <c r="AO34" i="24"/>
  <c r="AO41" i="24"/>
  <c r="AO26" i="24"/>
  <c r="AO16" i="24"/>
  <c r="AO50" i="24"/>
  <c r="AO27" i="24"/>
  <c r="AO17" i="24"/>
  <c r="F58" i="24"/>
  <c r="AN27" i="24"/>
  <c r="AK43" i="24"/>
  <c r="AK45" i="24"/>
  <c r="L72" i="24"/>
  <c r="AK30" i="24"/>
  <c r="BW34" i="24"/>
  <c r="AN19" i="24"/>
  <c r="AK37" i="24"/>
  <c r="AK21" i="24"/>
  <c r="BW47" i="24"/>
  <c r="F86" i="24"/>
  <c r="AN24" i="24"/>
  <c r="AK36" i="24"/>
  <c r="AX36" i="24"/>
  <c r="AX22" i="24"/>
  <c r="L49" i="24"/>
  <c r="G26" i="24"/>
  <c r="AL49" i="24"/>
  <c r="AL26" i="24"/>
  <c r="AL37" i="24"/>
  <c r="AL24" i="24"/>
  <c r="AL36" i="24"/>
  <c r="AL42" i="24"/>
  <c r="AL32" i="24"/>
  <c r="AL45" i="24"/>
  <c r="AL38" i="24"/>
  <c r="AL25" i="24"/>
  <c r="AL34" i="24"/>
  <c r="AL48" i="24"/>
  <c r="AL23" i="24"/>
  <c r="AL30" i="24"/>
  <c r="AL47" i="24"/>
  <c r="AL43" i="24"/>
  <c r="AL35" i="24"/>
  <c r="AL46" i="24"/>
  <c r="AL16" i="24"/>
  <c r="AL44" i="24"/>
  <c r="AL29" i="24"/>
  <c r="AL19" i="24"/>
  <c r="AL28" i="24"/>
  <c r="AL22" i="24"/>
  <c r="AL21" i="24"/>
  <c r="AL27" i="24"/>
  <c r="AL50" i="24"/>
  <c r="AL40" i="24"/>
  <c r="AL15" i="24"/>
  <c r="AL41" i="24"/>
  <c r="AL18" i="24"/>
  <c r="AL39" i="24"/>
  <c r="AL20" i="24"/>
  <c r="AL31" i="24"/>
  <c r="AL33" i="24"/>
  <c r="AL17" i="24"/>
  <c r="F20" i="24"/>
  <c r="L80" i="24"/>
  <c r="BW21" i="24"/>
  <c r="L57" i="24"/>
  <c r="L18" i="24"/>
  <c r="BW44" i="24"/>
  <c r="AR25" i="24"/>
  <c r="AX29" i="24"/>
  <c r="BW26" i="24"/>
  <c r="AK18" i="24"/>
  <c r="AQ31" i="24"/>
  <c r="BW27" i="24"/>
  <c r="CH20" i="24"/>
  <c r="C43" i="24"/>
  <c r="AW29" i="24"/>
  <c r="AW47" i="24"/>
  <c r="AT40" i="24"/>
  <c r="AN44" i="24"/>
  <c r="AK26" i="24"/>
  <c r="G74" i="24"/>
  <c r="AU29" i="24"/>
  <c r="AR20" i="24"/>
  <c r="BW16" i="24"/>
  <c r="CH18" i="24"/>
  <c r="C78" i="24"/>
  <c r="C79" i="24"/>
  <c r="F50" i="24"/>
  <c r="F56" i="24"/>
  <c r="AW27" i="24"/>
  <c r="AW49" i="24"/>
  <c r="AT23" i="24"/>
  <c r="AK15" i="24"/>
  <c r="AX16" i="24"/>
  <c r="BW24" i="24"/>
  <c r="AW46" i="24"/>
  <c r="AW20" i="24"/>
  <c r="AT43" i="24"/>
  <c r="AQ30" i="24"/>
  <c r="L55" i="24"/>
  <c r="F59" i="24"/>
  <c r="L60" i="24"/>
  <c r="G68" i="24"/>
  <c r="G62" i="24"/>
  <c r="AX24" i="24"/>
  <c r="BW33" i="24"/>
  <c r="AW34" i="24"/>
  <c r="AW43" i="24"/>
  <c r="K15" i="24"/>
  <c r="L15" i="24" s="1"/>
  <c r="BW50" i="24"/>
  <c r="F28" i="24"/>
  <c r="G65" i="24"/>
  <c r="G78" i="24"/>
  <c r="AX30" i="24"/>
  <c r="AR29" i="24"/>
  <c r="BW43" i="24"/>
  <c r="BW39" i="24"/>
  <c r="CH16" i="24"/>
  <c r="AW18" i="24"/>
  <c r="AT32" i="24"/>
  <c r="AX41" i="24"/>
  <c r="BW48" i="24"/>
  <c r="BW41" i="24"/>
  <c r="CH33" i="24"/>
  <c r="F41" i="24"/>
  <c r="AW39" i="24"/>
  <c r="AT46" i="24"/>
  <c r="AQ20" i="24"/>
  <c r="L63" i="24"/>
  <c r="L59" i="24"/>
  <c r="G16" i="24"/>
  <c r="G46" i="24"/>
  <c r="G85" i="24"/>
  <c r="G73" i="24"/>
  <c r="G81" i="24"/>
  <c r="G43" i="24"/>
  <c r="G36" i="24"/>
  <c r="G82" i="24"/>
  <c r="G76" i="24"/>
  <c r="G29" i="24"/>
  <c r="G70" i="24"/>
  <c r="G55" i="24"/>
  <c r="G32" i="24"/>
  <c r="G60" i="24"/>
  <c r="G15" i="24"/>
  <c r="AK50" i="24"/>
  <c r="AX42" i="24"/>
  <c r="BW20" i="24"/>
  <c r="BW30" i="24"/>
  <c r="AW37" i="24"/>
  <c r="AT37" i="24"/>
  <c r="AN30" i="24"/>
  <c r="AH49" i="24"/>
  <c r="L84" i="24"/>
  <c r="L86" i="24"/>
  <c r="L20" i="24"/>
  <c r="AH24" i="24"/>
  <c r="BW42" i="24"/>
  <c r="F30" i="24"/>
  <c r="BW32" i="24"/>
  <c r="F21" i="24"/>
  <c r="AX35" i="24"/>
  <c r="L69" i="24"/>
  <c r="AK49" i="24"/>
  <c r="BW49" i="24"/>
  <c r="L36" i="24"/>
  <c r="AX26" i="24"/>
  <c r="CH50" i="24"/>
  <c r="AT25" i="24"/>
  <c r="L58" i="24"/>
  <c r="AR36" i="24"/>
  <c r="C57" i="24"/>
  <c r="AQ29" i="24"/>
  <c r="G77" i="24"/>
  <c r="AU37" i="24"/>
  <c r="AX17" i="24"/>
  <c r="AR47" i="24"/>
  <c r="AU45" i="24"/>
  <c r="BW17" i="24"/>
  <c r="CH24" i="24"/>
  <c r="C63" i="24"/>
  <c r="C65" i="24"/>
  <c r="C29" i="24"/>
  <c r="AW30" i="24"/>
  <c r="AH34" i="24"/>
  <c r="L26" i="24"/>
  <c r="L52" i="24"/>
  <c r="L23" i="24"/>
  <c r="AK25" i="24"/>
  <c r="BW31" i="24"/>
  <c r="BW29" i="24"/>
  <c r="AK27" i="24"/>
  <c r="BW25" i="24"/>
  <c r="BW46" i="24"/>
  <c r="L29" i="24"/>
  <c r="L74" i="24"/>
  <c r="C36" i="24"/>
  <c r="AN25" i="24"/>
  <c r="L79" i="24"/>
  <c r="AX23" i="24"/>
  <c r="AU15" i="24"/>
  <c r="BW38" i="24"/>
  <c r="CH15" i="24"/>
  <c r="C55" i="24"/>
  <c r="C77" i="24"/>
  <c r="C72" i="24"/>
  <c r="F22" i="24"/>
  <c r="AW24" i="24"/>
  <c r="AT16" i="24"/>
  <c r="AN33" i="24"/>
  <c r="AH20" i="24"/>
  <c r="AQ39" i="24"/>
  <c r="L67" i="24"/>
  <c r="L68" i="24"/>
  <c r="L82" i="24"/>
  <c r="AK34" i="24"/>
  <c r="BW18" i="24"/>
  <c r="L47" i="24"/>
  <c r="L37" i="24"/>
  <c r="BW37" i="24"/>
  <c r="L51" i="24"/>
  <c r="BW45" i="24"/>
  <c r="C38" i="24"/>
  <c r="L19" i="24"/>
  <c r="C80" i="24"/>
  <c r="AX33" i="24"/>
  <c r="AU44" i="24"/>
  <c r="BW22" i="24"/>
  <c r="C76" i="24"/>
  <c r="C24" i="24"/>
  <c r="AT24" i="24"/>
  <c r="L78" i="24"/>
  <c r="L50" i="24"/>
  <c r="L46" i="24"/>
  <c r="AK23" i="24"/>
  <c r="L64" i="24"/>
  <c r="L17" i="24"/>
  <c r="BW28" i="24"/>
  <c r="AN34" i="24"/>
  <c r="AR21" i="24"/>
  <c r="C71" i="24"/>
  <c r="AT41" i="24"/>
  <c r="BW36" i="24"/>
  <c r="AW17" i="24"/>
  <c r="L66" i="24"/>
  <c r="AX21" i="24"/>
  <c r="AU47" i="24"/>
  <c r="BW40" i="24"/>
  <c r="CH34" i="24"/>
  <c r="C34" i="24"/>
  <c r="C47" i="24"/>
  <c r="AT44" i="24"/>
  <c r="AK38" i="24"/>
  <c r="L42" i="24"/>
  <c r="L53" i="24"/>
  <c r="L65" i="24"/>
  <c r="L56" i="24"/>
  <c r="BW15" i="24"/>
  <c r="AK32" i="24"/>
  <c r="AI22" i="24"/>
  <c r="AI31" i="24"/>
  <c r="AI47" i="24"/>
  <c r="AI38" i="24"/>
  <c r="AI25" i="24"/>
  <c r="AI17" i="24"/>
  <c r="AI37" i="24"/>
  <c r="AI41" i="24"/>
  <c r="AI30" i="24"/>
  <c r="AI45" i="24"/>
  <c r="AI36" i="24"/>
  <c r="AI34" i="24"/>
  <c r="AI32" i="24"/>
  <c r="AI48" i="24"/>
  <c r="AI16" i="24"/>
  <c r="AI42" i="24"/>
  <c r="AI20" i="24"/>
  <c r="AI44" i="24"/>
  <c r="AI29" i="24"/>
  <c r="AI19" i="24"/>
  <c r="AI46" i="24"/>
  <c r="AI24" i="24"/>
  <c r="AI43" i="24"/>
  <c r="AI15" i="24"/>
  <c r="AI23" i="24"/>
  <c r="AI39" i="24"/>
  <c r="AI40" i="24"/>
  <c r="AI50" i="24"/>
  <c r="AI35" i="24"/>
  <c r="AI26" i="24"/>
  <c r="AI28" i="24"/>
  <c r="AI49" i="24"/>
  <c r="AI18" i="24"/>
  <c r="AI33" i="24"/>
  <c r="AI21" i="24"/>
  <c r="AI27" i="24"/>
  <c r="L38" i="24"/>
  <c r="L25" i="24"/>
  <c r="AX34" i="24"/>
  <c r="AW40" i="24"/>
  <c r="AW31" i="24"/>
  <c r="L83" i="24"/>
  <c r="AX15" i="24"/>
  <c r="AU23" i="24"/>
  <c r="CH37" i="24"/>
  <c r="C81" i="24"/>
  <c r="L44" i="24"/>
  <c r="AX18" i="24"/>
  <c r="BW23" i="24"/>
  <c r="CH47" i="24"/>
  <c r="F15" i="24"/>
  <c r="CK24" i="24"/>
  <c r="AT30" i="24"/>
  <c r="AK48" i="24"/>
  <c r="L24" i="24"/>
  <c r="L77" i="24"/>
  <c r="M37" i="22"/>
  <c r="M32" i="22"/>
  <c r="M77" i="22"/>
  <c r="M66" i="22"/>
  <c r="M60" i="22"/>
  <c r="M81" i="22"/>
  <c r="M23" i="22"/>
  <c r="M76" i="22"/>
  <c r="M57" i="22"/>
  <c r="M29" i="22"/>
  <c r="M78" i="22"/>
  <c r="M34" i="22"/>
  <c r="M50" i="22"/>
  <c r="M53" i="22"/>
  <c r="M84" i="22"/>
  <c r="M33" i="22"/>
  <c r="M16" i="22"/>
  <c r="M47" i="22"/>
  <c r="M86" i="22"/>
  <c r="M17" i="22"/>
  <c r="AH35" i="22"/>
  <c r="AR26" i="22"/>
  <c r="AR19" i="22"/>
  <c r="AQ35" i="22"/>
  <c r="AX40" i="22"/>
  <c r="AR23" i="22"/>
  <c r="AH23" i="22"/>
  <c r="I56" i="22"/>
  <c r="I58" i="22"/>
  <c r="I22" i="22"/>
  <c r="AQ48" i="22"/>
  <c r="AQ36" i="22"/>
  <c r="BW39" i="22"/>
  <c r="BY39" i="22" s="1"/>
  <c r="DI38" i="22" s="1"/>
  <c r="BW30" i="22"/>
  <c r="AH30" i="22"/>
  <c r="AR38" i="22"/>
  <c r="AH50" i="22"/>
  <c r="L39" i="22"/>
  <c r="L75" i="22"/>
  <c r="I43" i="22"/>
  <c r="I25" i="22"/>
  <c r="BW29" i="22"/>
  <c r="BY29" i="22" s="1"/>
  <c r="DI28" i="22" s="1"/>
  <c r="I51" i="22"/>
  <c r="AR28" i="22"/>
  <c r="AW42" i="22"/>
  <c r="AR41" i="22"/>
  <c r="BW40" i="22"/>
  <c r="L24" i="22"/>
  <c r="I36" i="22"/>
  <c r="I40" i="22"/>
  <c r="I33" i="22"/>
  <c r="AK18" i="22"/>
  <c r="AK43" i="22"/>
  <c r="AH33" i="22"/>
  <c r="I26" i="22"/>
  <c r="AQ24" i="22"/>
  <c r="L55" i="22"/>
  <c r="BB42" i="22"/>
  <c r="BB48" i="22"/>
  <c r="BB19" i="22"/>
  <c r="BB33" i="22"/>
  <c r="BB50" i="22"/>
  <c r="BB43" i="22"/>
  <c r="BB40" i="22"/>
  <c r="BB44" i="22"/>
  <c r="BB46" i="22"/>
  <c r="BB23" i="22"/>
  <c r="BB21" i="22"/>
  <c r="BB47" i="22"/>
  <c r="L58" i="22"/>
  <c r="AX35" i="22"/>
  <c r="AR17" i="22"/>
  <c r="BY41" i="22"/>
  <c r="DI40" i="22" s="1"/>
  <c r="I44" i="22"/>
  <c r="I78" i="22"/>
  <c r="AQ21" i="22"/>
  <c r="AH38" i="22"/>
  <c r="AL25" i="22"/>
  <c r="AR49" i="22"/>
  <c r="BW45" i="22"/>
  <c r="BT15" i="22"/>
  <c r="AH19" i="22"/>
  <c r="I34" i="22"/>
  <c r="I17" i="22"/>
  <c r="C70" i="22"/>
  <c r="G68" i="22"/>
  <c r="G60" i="22"/>
  <c r="G52" i="22"/>
  <c r="G37" i="22"/>
  <c r="G85" i="22"/>
  <c r="G77" i="22"/>
  <c r="G17" i="22"/>
  <c r="G58" i="22"/>
  <c r="G38" i="22"/>
  <c r="G33" i="22"/>
  <c r="G51" i="22"/>
  <c r="G84" i="22"/>
  <c r="G16" i="22"/>
  <c r="G27" i="22"/>
  <c r="G54" i="22"/>
  <c r="G25" i="22"/>
  <c r="G59" i="22"/>
  <c r="G78" i="22"/>
  <c r="G53" i="22"/>
  <c r="G40" i="22"/>
  <c r="G43" i="22"/>
  <c r="G44" i="22"/>
  <c r="G66" i="22"/>
  <c r="G71" i="22"/>
  <c r="G46" i="22"/>
  <c r="F78" i="22"/>
  <c r="AH42" i="22"/>
  <c r="BW42" i="22"/>
  <c r="AH47" i="22"/>
  <c r="AH43" i="22"/>
  <c r="L85" i="22"/>
  <c r="I30" i="22"/>
  <c r="I79" i="22"/>
  <c r="AQ42" i="22"/>
  <c r="BW15" i="22"/>
  <c r="AH37" i="22"/>
  <c r="AH16" i="22"/>
  <c r="I63" i="22"/>
  <c r="I77" i="22"/>
  <c r="AH49" i="22"/>
  <c r="AH48" i="22"/>
  <c r="I59" i="22"/>
  <c r="AQ26" i="22"/>
  <c r="CK34" i="22"/>
  <c r="L51" i="22"/>
  <c r="AH22" i="22"/>
  <c r="AX18" i="22"/>
  <c r="BW28" i="22"/>
  <c r="BY28" i="22" s="1"/>
  <c r="DI27" i="22" s="1"/>
  <c r="AH45" i="22"/>
  <c r="AQ41" i="22"/>
  <c r="BW37" i="22"/>
  <c r="AH46" i="22"/>
  <c r="BW21" i="22"/>
  <c r="BY21" i="22" s="1"/>
  <c r="DI20" i="22" s="1"/>
  <c r="L76" i="22"/>
  <c r="BW36" i="22"/>
  <c r="K15" i="22"/>
  <c r="L30" i="22"/>
  <c r="I81" i="22"/>
  <c r="BT38" i="22"/>
  <c r="AH26" i="22"/>
  <c r="I42" i="22"/>
  <c r="AR34" i="22"/>
  <c r="BW18" i="22"/>
  <c r="BY18" i="22" s="1"/>
  <c r="DI17" i="22" s="1"/>
  <c r="BT35" i="22"/>
  <c r="BT22" i="22"/>
  <c r="AK32" i="22"/>
  <c r="AH31" i="22"/>
  <c r="L73" i="22"/>
  <c r="L84" i="22"/>
  <c r="I64" i="22"/>
  <c r="I60" i="22"/>
  <c r="C34" i="22"/>
  <c r="C44" i="22"/>
  <c r="AT37" i="22"/>
  <c r="F73" i="22"/>
  <c r="AR40" i="22"/>
  <c r="AH44" i="22"/>
  <c r="BW38" i="22"/>
  <c r="L86" i="22"/>
  <c r="I31" i="22"/>
  <c r="BW16" i="22"/>
  <c r="BY16" i="22" s="1"/>
  <c r="DI15" i="22" s="1"/>
  <c r="AH36" i="22"/>
  <c r="I73" i="22"/>
  <c r="AQ47" i="22"/>
  <c r="BW32" i="22"/>
  <c r="I83" i="22"/>
  <c r="AR33" i="22"/>
  <c r="AK25" i="22"/>
  <c r="BW26" i="22"/>
  <c r="BY26" i="22" s="1"/>
  <c r="DI25" i="22" s="1"/>
  <c r="BT32" i="22"/>
  <c r="BT23" i="22"/>
  <c r="AK37" i="22"/>
  <c r="AH32" i="22"/>
  <c r="I53" i="22"/>
  <c r="I68" i="22"/>
  <c r="C15" i="22"/>
  <c r="C47" i="22"/>
  <c r="AT23" i="22"/>
  <c r="AT31" i="22"/>
  <c r="F81" i="22"/>
  <c r="CH15" i="22"/>
  <c r="CH18" i="22"/>
  <c r="L28" i="22"/>
  <c r="Q69" i="22"/>
  <c r="Q50" i="22"/>
  <c r="Q18" i="22"/>
  <c r="Q71" i="22"/>
  <c r="Q48" i="22"/>
  <c r="Q16" i="22"/>
  <c r="Q56" i="22"/>
  <c r="Q47" i="22"/>
  <c r="Q73" i="22"/>
  <c r="Q46" i="22"/>
  <c r="Q58" i="22"/>
  <c r="Q45" i="22"/>
  <c r="Q75" i="22"/>
  <c r="Q44" i="22"/>
  <c r="Q86" i="22"/>
  <c r="Q65" i="22"/>
  <c r="Q57" i="22"/>
  <c r="Q78" i="22"/>
  <c r="Q70" i="22"/>
  <c r="Q62" i="22"/>
  <c r="Q83" i="22"/>
  <c r="Q43" i="22"/>
  <c r="Q26" i="22"/>
  <c r="Q19" i="22"/>
  <c r="Q82" i="22"/>
  <c r="Q74" i="22"/>
  <c r="Q66" i="22"/>
  <c r="Q24" i="22"/>
  <c r="Q17" i="22"/>
  <c r="Q79" i="22"/>
  <c r="Q61" i="22"/>
  <c r="Q54" i="22"/>
  <c r="Q21" i="22"/>
  <c r="Q68" i="22"/>
  <c r="Q30" i="22"/>
  <c r="Q15" i="22"/>
  <c r="Q64" i="22"/>
  <c r="Q85" i="22"/>
  <c r="Q40" i="22"/>
  <c r="Q14" i="22"/>
  <c r="R14" i="22" s="1"/>
  <c r="Q35" i="22"/>
  <c r="Q23" i="22"/>
  <c r="Q84" i="22"/>
  <c r="Q63" i="22"/>
  <c r="Q39" i="22"/>
  <c r="Q34" i="22"/>
  <c r="Q29" i="22"/>
  <c r="Q80" i="22"/>
  <c r="Q55" i="22"/>
  <c r="Q27" i="22"/>
  <c r="Q59" i="22"/>
  <c r="Q32" i="22"/>
  <c r="Q31" i="22"/>
  <c r="Q33" i="22"/>
  <c r="Q36" i="22"/>
  <c r="Q53" i="22"/>
  <c r="Q77" i="22"/>
  <c r="Q28" i="22"/>
  <c r="Q49" i="22"/>
  <c r="Q37" i="22"/>
  <c r="Q38" i="22"/>
  <c r="Q42" i="22"/>
  <c r="Q41" i="22"/>
  <c r="Q67" i="22"/>
  <c r="Q51" i="22"/>
  <c r="Q72" i="22"/>
  <c r="Q52" i="22"/>
  <c r="Q81" i="22"/>
  <c r="Q22" i="22"/>
  <c r="Q60" i="22"/>
  <c r="Q76" i="22"/>
  <c r="Q20" i="22"/>
  <c r="Q25" i="22"/>
  <c r="BY34" i="22"/>
  <c r="DI33" i="22" s="1"/>
  <c r="AR29" i="22"/>
  <c r="I35" i="22"/>
  <c r="AR31" i="22"/>
  <c r="AH41" i="22"/>
  <c r="I86" i="22"/>
  <c r="I18" i="22"/>
  <c r="CK49" i="22"/>
  <c r="AH28" i="22"/>
  <c r="CK32" i="22"/>
  <c r="L63" i="22"/>
  <c r="I15" i="22"/>
  <c r="AQ27" i="22"/>
  <c r="AR37" i="22"/>
  <c r="BW23" i="22"/>
  <c r="BT36" i="22"/>
  <c r="BT24" i="22"/>
  <c r="AH20" i="22"/>
  <c r="I70" i="22"/>
  <c r="I76" i="22"/>
  <c r="C37" i="22"/>
  <c r="C86" i="22"/>
  <c r="AT19" i="22"/>
  <c r="AT32" i="22"/>
  <c r="AQ43" i="22"/>
  <c r="CH30" i="22"/>
  <c r="L26" i="22"/>
  <c r="L74" i="22"/>
  <c r="AR42" i="22"/>
  <c r="AH24" i="22"/>
  <c r="BW50" i="22"/>
  <c r="AH27" i="22"/>
  <c r="I69" i="22"/>
  <c r="BY43" i="22"/>
  <c r="DI42" i="22" s="1"/>
  <c r="I85" i="22"/>
  <c r="BW49" i="22"/>
  <c r="BY49" i="22" s="1"/>
  <c r="DI48" i="22" s="1"/>
  <c r="AH17" i="22"/>
  <c r="I39" i="22"/>
  <c r="I52" i="22"/>
  <c r="I48" i="22"/>
  <c r="AR48" i="22"/>
  <c r="AR24" i="22"/>
  <c r="AR20" i="22"/>
  <c r="BW24" i="22"/>
  <c r="BW25" i="22"/>
  <c r="BY25" i="22"/>
  <c r="DI24" i="22" s="1"/>
  <c r="AL28" i="22"/>
  <c r="AL31" i="22"/>
  <c r="AL34" i="22"/>
  <c r="AL17" i="22"/>
  <c r="AH18" i="22"/>
  <c r="I16" i="22"/>
  <c r="AQ23" i="22"/>
  <c r="CK31" i="22"/>
  <c r="BW27" i="22"/>
  <c r="BT19" i="22"/>
  <c r="BT27" i="22"/>
  <c r="AH29" i="22"/>
  <c r="I27" i="22"/>
  <c r="I84" i="22"/>
  <c r="C20" i="22"/>
  <c r="C83" i="22"/>
  <c r="AW40" i="22"/>
  <c r="AT26" i="22"/>
  <c r="AT34" i="22"/>
  <c r="AQ46" i="22"/>
  <c r="AR17" i="21"/>
  <c r="AR50" i="21"/>
  <c r="AR31" i="21"/>
  <c r="AR27" i="21"/>
  <c r="AR24" i="21"/>
  <c r="AR26" i="21"/>
  <c r="AR36" i="21"/>
  <c r="AR49" i="21"/>
  <c r="M37" i="21"/>
  <c r="M30" i="21"/>
  <c r="M50" i="21"/>
  <c r="M81" i="21"/>
  <c r="M29" i="21"/>
  <c r="M19" i="21"/>
  <c r="M82" i="21"/>
  <c r="M74" i="21"/>
  <c r="M65" i="21"/>
  <c r="M64" i="21"/>
  <c r="M61" i="21"/>
  <c r="M16" i="21"/>
  <c r="M51" i="21"/>
  <c r="M84" i="21"/>
  <c r="M60" i="21"/>
  <c r="M79" i="21"/>
  <c r="M85" i="21"/>
  <c r="M80" i="21"/>
  <c r="M36" i="21"/>
  <c r="M24" i="21"/>
  <c r="M26" i="21"/>
  <c r="M31" i="21"/>
  <c r="M62" i="21"/>
  <c r="M45" i="21"/>
  <c r="M67" i="21"/>
  <c r="M75" i="21"/>
  <c r="BW50" i="21"/>
  <c r="L51" i="21"/>
  <c r="AX24" i="21"/>
  <c r="L63" i="21"/>
  <c r="AX17" i="21"/>
  <c r="L64" i="21"/>
  <c r="L44" i="21"/>
  <c r="L71" i="21"/>
  <c r="BW39" i="21"/>
  <c r="AL38" i="21"/>
  <c r="BW27" i="21"/>
  <c r="G65" i="21"/>
  <c r="L85" i="21"/>
  <c r="BT25" i="21"/>
  <c r="AK15" i="21"/>
  <c r="AQ42" i="21"/>
  <c r="CK35" i="21"/>
  <c r="F42" i="21"/>
  <c r="L42" i="21"/>
  <c r="AW45" i="21"/>
  <c r="AK35" i="21"/>
  <c r="F48" i="21"/>
  <c r="G62" i="21"/>
  <c r="L18" i="21"/>
  <c r="L34" i="21"/>
  <c r="BT49" i="21"/>
  <c r="AK24" i="21"/>
  <c r="F15" i="21"/>
  <c r="F17" i="21"/>
  <c r="F71" i="21"/>
  <c r="BW20" i="21"/>
  <c r="AW43" i="21"/>
  <c r="BT34" i="21"/>
  <c r="BT40" i="21"/>
  <c r="BY40" i="21" s="1"/>
  <c r="L29" i="21"/>
  <c r="L61" i="21"/>
  <c r="BW40" i="21"/>
  <c r="G54" i="21"/>
  <c r="BT23" i="21"/>
  <c r="AK48" i="21"/>
  <c r="CK17" i="21"/>
  <c r="F28" i="21"/>
  <c r="F49" i="21"/>
  <c r="BW23" i="21"/>
  <c r="BW33" i="21"/>
  <c r="BW36" i="21"/>
  <c r="AX35" i="21"/>
  <c r="BT29" i="21"/>
  <c r="BT41" i="21"/>
  <c r="AK20" i="21"/>
  <c r="F27" i="21"/>
  <c r="F82" i="21"/>
  <c r="BW28" i="21"/>
  <c r="BW34" i="21"/>
  <c r="BW37" i="21"/>
  <c r="L21" i="21"/>
  <c r="CK45" i="21"/>
  <c r="L75" i="21"/>
  <c r="L45" i="21"/>
  <c r="AK28" i="21"/>
  <c r="CK50" i="21"/>
  <c r="BW46" i="21"/>
  <c r="AL28" i="21"/>
  <c r="AL49" i="21"/>
  <c r="AL19" i="21"/>
  <c r="AL23" i="21"/>
  <c r="BT18" i="21"/>
  <c r="L22" i="21"/>
  <c r="L50" i="21"/>
  <c r="BT19" i="21"/>
  <c r="BT48" i="21"/>
  <c r="BY48" i="21" s="1"/>
  <c r="AW42" i="21"/>
  <c r="AK50" i="21"/>
  <c r="AU16" i="21"/>
  <c r="CK26" i="21"/>
  <c r="BW24" i="21"/>
  <c r="L26" i="21"/>
  <c r="AK25" i="21"/>
  <c r="G80" i="21"/>
  <c r="AX33" i="21"/>
  <c r="AL41" i="21"/>
  <c r="L32" i="21"/>
  <c r="BW31" i="21"/>
  <c r="G55" i="21"/>
  <c r="AL42" i="21"/>
  <c r="I15" i="21"/>
  <c r="I23" i="21"/>
  <c r="I46" i="21"/>
  <c r="AK26" i="21"/>
  <c r="AN36" i="21"/>
  <c r="AN35" i="21"/>
  <c r="C76" i="21"/>
  <c r="F18" i="21"/>
  <c r="BW18" i="21"/>
  <c r="BW38" i="21"/>
  <c r="AW21" i="21"/>
  <c r="BT37" i="21"/>
  <c r="BT33" i="21"/>
  <c r="BT43" i="21"/>
  <c r="BW30" i="21"/>
  <c r="BT45" i="21"/>
  <c r="G25" i="21"/>
  <c r="G42" i="21"/>
  <c r="G78" i="21"/>
  <c r="G66" i="21"/>
  <c r="G20" i="21"/>
  <c r="G18" i="21"/>
  <c r="G70" i="21"/>
  <c r="G58" i="21"/>
  <c r="G30" i="21"/>
  <c r="G29" i="21"/>
  <c r="G53" i="21"/>
  <c r="G83" i="21"/>
  <c r="G31" i="21"/>
  <c r="G48" i="21"/>
  <c r="G26" i="21"/>
  <c r="G38" i="21"/>
  <c r="G35" i="21"/>
  <c r="G32" i="21"/>
  <c r="G16" i="21"/>
  <c r="G77" i="21"/>
  <c r="G15" i="21"/>
  <c r="G59" i="21"/>
  <c r="G33" i="21"/>
  <c r="BW47" i="21"/>
  <c r="G75" i="21"/>
  <c r="G22" i="21"/>
  <c r="G76" i="21"/>
  <c r="AK18" i="21"/>
  <c r="CK48" i="21"/>
  <c r="G63" i="21"/>
  <c r="AL34" i="21"/>
  <c r="I43" i="21"/>
  <c r="I73" i="21"/>
  <c r="L78" i="21"/>
  <c r="BT28" i="21"/>
  <c r="AW30" i="21"/>
  <c r="AK43" i="21"/>
  <c r="AQ21" i="21"/>
  <c r="AN49" i="21"/>
  <c r="AN37" i="21"/>
  <c r="F24" i="21"/>
  <c r="F63" i="21"/>
  <c r="BW17" i="21"/>
  <c r="BW44" i="21"/>
  <c r="L30" i="21"/>
  <c r="BT16" i="21"/>
  <c r="AQ17" i="21"/>
  <c r="AL46" i="21"/>
  <c r="AK45" i="21"/>
  <c r="AL20" i="21"/>
  <c r="AL26" i="21"/>
  <c r="AL47" i="21"/>
  <c r="F25" i="21"/>
  <c r="G40" i="21"/>
  <c r="AL29" i="21"/>
  <c r="AL22" i="21"/>
  <c r="I49" i="21"/>
  <c r="AW34" i="21"/>
  <c r="AK46" i="21"/>
  <c r="AT26" i="21"/>
  <c r="AQ24" i="21"/>
  <c r="F22" i="21"/>
  <c r="BW29" i="21"/>
  <c r="BW45" i="21"/>
  <c r="AX26" i="21"/>
  <c r="L54" i="21"/>
  <c r="L19" i="21"/>
  <c r="F41" i="21"/>
  <c r="G79" i="21"/>
  <c r="AX28" i="21"/>
  <c r="L84" i="21"/>
  <c r="BT15" i="21"/>
  <c r="AW19" i="21"/>
  <c r="AK39" i="21"/>
  <c r="CK25" i="21"/>
  <c r="CK36" i="21"/>
  <c r="BW22" i="21"/>
  <c r="BW48" i="21"/>
  <c r="BW16" i="21"/>
  <c r="BW35" i="21"/>
  <c r="BW25" i="21"/>
  <c r="BT32" i="21"/>
  <c r="BW42" i="21"/>
  <c r="AW36" i="21"/>
  <c r="G39" i="21"/>
  <c r="BT21" i="21"/>
  <c r="G46" i="21"/>
  <c r="AL48" i="21"/>
  <c r="I26" i="21"/>
  <c r="I28" i="21"/>
  <c r="BT46" i="21"/>
  <c r="BY46" i="21" s="1"/>
  <c r="AK32" i="21"/>
  <c r="AQ36" i="21"/>
  <c r="AN32" i="21"/>
  <c r="BW41" i="21"/>
  <c r="BW49" i="21"/>
  <c r="L79" i="21"/>
  <c r="L43" i="21"/>
  <c r="BW32" i="21"/>
  <c r="AL33" i="21"/>
  <c r="AW48" i="21"/>
  <c r="AL24" i="21"/>
  <c r="AK22" i="21"/>
  <c r="F65" i="21"/>
  <c r="G28" i="21"/>
  <c r="G45" i="21"/>
  <c r="AL31" i="21"/>
  <c r="G85" i="21"/>
  <c r="G73" i="21"/>
  <c r="AL30" i="21"/>
  <c r="AX25" i="21"/>
  <c r="BT20" i="21"/>
  <c r="AW15" i="21"/>
  <c r="AW22" i="21"/>
  <c r="AN50" i="21"/>
  <c r="CK18" i="21"/>
  <c r="CK38" i="21"/>
  <c r="F66" i="21"/>
  <c r="BW15" i="21"/>
  <c r="BW19" i="21"/>
  <c r="L28" i="21" l="1"/>
  <c r="M63" i="21"/>
  <c r="M66" i="21"/>
  <c r="L27" i="21"/>
  <c r="L31" i="21"/>
  <c r="M72" i="21"/>
  <c r="M49" i="21"/>
  <c r="M20" i="21"/>
  <c r="L25" i="22"/>
  <c r="M44" i="21"/>
  <c r="N44" i="21" s="1"/>
  <c r="M83" i="21"/>
  <c r="M42" i="21"/>
  <c r="M21" i="22"/>
  <c r="L59" i="21"/>
  <c r="M17" i="21"/>
  <c r="L57" i="21"/>
  <c r="L40" i="21"/>
  <c r="N40" i="21" s="1"/>
  <c r="M22" i="21"/>
  <c r="M57" i="21"/>
  <c r="L67" i="21"/>
  <c r="L20" i="21"/>
  <c r="M71" i="21"/>
  <c r="M27" i="21"/>
  <c r="M44" i="22"/>
  <c r="N44" i="22" s="1"/>
  <c r="R44" i="22" s="1"/>
  <c r="L37" i="21"/>
  <c r="L24" i="21"/>
  <c r="M43" i="21"/>
  <c r="N43" i="21" s="1"/>
  <c r="M58" i="22"/>
  <c r="N58" i="22" s="1"/>
  <c r="R58" i="22" s="1"/>
  <c r="DG21" i="22" s="1"/>
  <c r="L41" i="21"/>
  <c r="L59" i="22"/>
  <c r="M73" i="21"/>
  <c r="N73" i="21" s="1"/>
  <c r="L74" i="21"/>
  <c r="M59" i="21"/>
  <c r="L48" i="22"/>
  <c r="L32" i="22"/>
  <c r="M56" i="21"/>
  <c r="M77" i="21"/>
  <c r="L58" i="21"/>
  <c r="M25" i="21"/>
  <c r="M39" i="21"/>
  <c r="M79" i="22"/>
  <c r="L62" i="21"/>
  <c r="M47" i="21"/>
  <c r="L66" i="21"/>
  <c r="M33" i="21"/>
  <c r="M41" i="21"/>
  <c r="M48" i="21"/>
  <c r="M74" i="22"/>
  <c r="M25" i="22"/>
  <c r="L50" i="22"/>
  <c r="L25" i="21"/>
  <c r="M76" i="21"/>
  <c r="M53" i="21"/>
  <c r="M69" i="21"/>
  <c r="L83" i="21"/>
  <c r="L72" i="21"/>
  <c r="M28" i="21"/>
  <c r="N28" i="21" s="1"/>
  <c r="M40" i="21"/>
  <c r="M15" i="21"/>
  <c r="M68" i="21"/>
  <c r="M78" i="21"/>
  <c r="L31" i="22"/>
  <c r="M80" i="22"/>
  <c r="L55" i="21"/>
  <c r="N55" i="21" s="1"/>
  <c r="L52" i="21"/>
  <c r="M38" i="21"/>
  <c r="L46" i="21"/>
  <c r="L73" i="21"/>
  <c r="M52" i="21"/>
  <c r="M28" i="22"/>
  <c r="L60" i="21"/>
  <c r="M58" i="21"/>
  <c r="M55" i="21"/>
  <c r="M34" i="21"/>
  <c r="M23" i="21"/>
  <c r="L77" i="21"/>
  <c r="N77" i="21" s="1"/>
  <c r="L53" i="21"/>
  <c r="M35" i="21"/>
  <c r="M21" i="21"/>
  <c r="L44" i="22"/>
  <c r="M54" i="22"/>
  <c r="L15" i="21"/>
  <c r="M32" i="21"/>
  <c r="N32" i="21" s="1"/>
  <c r="L76" i="21"/>
  <c r="M54" i="21"/>
  <c r="L82" i="21"/>
  <c r="L86" i="21"/>
  <c r="M70" i="21"/>
  <c r="M49" i="22"/>
  <c r="L81" i="21"/>
  <c r="L56" i="21"/>
  <c r="L48" i="21"/>
  <c r="M46" i="21"/>
  <c r="L65" i="21"/>
  <c r="L80" i="21"/>
  <c r="M86" i="21"/>
  <c r="N86" i="21" s="1"/>
  <c r="M18" i="22"/>
  <c r="M41" i="22"/>
  <c r="AR46" i="24"/>
  <c r="AR60" i="24"/>
  <c r="AQ66" i="24"/>
  <c r="AR44" i="24"/>
  <c r="AQ52" i="24"/>
  <c r="AR67" i="24"/>
  <c r="AQ25" i="24"/>
  <c r="AR64" i="24"/>
  <c r="AQ34" i="24"/>
  <c r="AR37" i="24"/>
  <c r="AQ56" i="24"/>
  <c r="AQ19" i="24"/>
  <c r="AR55" i="24"/>
  <c r="AY55" i="24" s="1"/>
  <c r="AQ42" i="24"/>
  <c r="AR50" i="24"/>
  <c r="AR49" i="24"/>
  <c r="AR63" i="24"/>
  <c r="AR39" i="24"/>
  <c r="AR22" i="24"/>
  <c r="AY22" i="24" s="1"/>
  <c r="AQ17" i="24"/>
  <c r="AQ40" i="24"/>
  <c r="AQ32" i="24"/>
  <c r="AR18" i="24"/>
  <c r="AQ59" i="24"/>
  <c r="AQ24" i="24"/>
  <c r="AY24" i="24" s="1"/>
  <c r="AQ38" i="24"/>
  <c r="AR40" i="24"/>
  <c r="AR34" i="24"/>
  <c r="AR15" i="24"/>
  <c r="AQ45" i="24"/>
  <c r="AY45" i="24" s="1"/>
  <c r="G74" i="22"/>
  <c r="F39" i="24"/>
  <c r="F42" i="22"/>
  <c r="F18" i="22"/>
  <c r="F27" i="22"/>
  <c r="BY27" i="22"/>
  <c r="DI26" i="22" s="1"/>
  <c r="DM26" i="22" s="1"/>
  <c r="G41" i="22"/>
  <c r="G28" i="22"/>
  <c r="F57" i="22"/>
  <c r="F29" i="22"/>
  <c r="F62" i="22"/>
  <c r="F71" i="22"/>
  <c r="F41" i="22"/>
  <c r="N29" i="22"/>
  <c r="R29" i="22" s="1"/>
  <c r="BY21" i="21"/>
  <c r="G42" i="22"/>
  <c r="G50" i="22"/>
  <c r="G57" i="22"/>
  <c r="N57" i="22" s="1"/>
  <c r="R57" i="22" s="1"/>
  <c r="DG20" i="22" s="1"/>
  <c r="G79" i="22"/>
  <c r="G22" i="24"/>
  <c r="F82" i="22"/>
  <c r="BY45" i="21"/>
  <c r="F86" i="22"/>
  <c r="G62" i="22"/>
  <c r="G19" i="22"/>
  <c r="G49" i="24"/>
  <c r="BY47" i="22"/>
  <c r="DI46" i="22" s="1"/>
  <c r="DM47" i="22" s="1"/>
  <c r="F24" i="22"/>
  <c r="N24" i="22" s="1"/>
  <c r="R24" i="22" s="1"/>
  <c r="F22" i="22"/>
  <c r="BY29" i="21"/>
  <c r="F64" i="22"/>
  <c r="G83" i="22"/>
  <c r="G75" i="22"/>
  <c r="G33" i="24"/>
  <c r="F26" i="24"/>
  <c r="F34" i="22"/>
  <c r="F56" i="22"/>
  <c r="BY32" i="21"/>
  <c r="G36" i="22"/>
  <c r="G69" i="22"/>
  <c r="G39" i="24"/>
  <c r="F33" i="24"/>
  <c r="F17" i="22"/>
  <c r="F46" i="22"/>
  <c r="F54" i="22"/>
  <c r="N54" i="22" s="1"/>
  <c r="R54" i="22" s="1"/>
  <c r="DG17" i="22" s="1"/>
  <c r="F75" i="22"/>
  <c r="F77" i="22"/>
  <c r="N77" i="22" s="1"/>
  <c r="R77" i="22" s="1"/>
  <c r="DG40" i="22" s="1"/>
  <c r="F70" i="22"/>
  <c r="F84" i="22"/>
  <c r="N84" i="22" s="1"/>
  <c r="R84" i="22" s="1"/>
  <c r="DG47" i="22" s="1"/>
  <c r="F43" i="22"/>
  <c r="F40" i="22"/>
  <c r="F69" i="22"/>
  <c r="G49" i="22"/>
  <c r="G52" i="24"/>
  <c r="G67" i="24"/>
  <c r="F26" i="22"/>
  <c r="G29" i="22"/>
  <c r="G72" i="24"/>
  <c r="G70" i="22"/>
  <c r="G66" i="24"/>
  <c r="F78" i="24"/>
  <c r="N78" i="24" s="1"/>
  <c r="R78" i="24" s="1"/>
  <c r="DG63" i="24" s="1"/>
  <c r="BY57" i="24"/>
  <c r="DI56" i="24" s="1"/>
  <c r="F55" i="24"/>
  <c r="F40" i="24"/>
  <c r="F31" i="22"/>
  <c r="F35" i="22"/>
  <c r="F46" i="24"/>
  <c r="F49" i="22"/>
  <c r="F83" i="24"/>
  <c r="F71" i="24"/>
  <c r="G15" i="22"/>
  <c r="G45" i="24"/>
  <c r="G64" i="24"/>
  <c r="F65" i="24"/>
  <c r="F66" i="24"/>
  <c r="G76" i="22"/>
  <c r="G54" i="24"/>
  <c r="N76" i="21"/>
  <c r="F33" i="22"/>
  <c r="N33" i="22" s="1"/>
  <c r="R33" i="22" s="1"/>
  <c r="G35" i="24"/>
  <c r="F67" i="22"/>
  <c r="F52" i="22"/>
  <c r="G39" i="22"/>
  <c r="G18" i="24"/>
  <c r="F32" i="24"/>
  <c r="F62" i="24"/>
  <c r="BY19" i="21"/>
  <c r="F36" i="22"/>
  <c r="F31" i="24"/>
  <c r="F19" i="22"/>
  <c r="G31" i="22"/>
  <c r="F45" i="22"/>
  <c r="BY15" i="21"/>
  <c r="F48" i="24"/>
  <c r="N48" i="24" s="1"/>
  <c r="R48" i="24" s="1"/>
  <c r="DG33" i="24" s="1"/>
  <c r="F85" i="22"/>
  <c r="N85" i="22" s="1"/>
  <c r="R85" i="22" s="1"/>
  <c r="DG48" i="22" s="1"/>
  <c r="DK48" i="22" s="1"/>
  <c r="G20" i="22"/>
  <c r="F74" i="24"/>
  <c r="G17" i="24"/>
  <c r="F68" i="24"/>
  <c r="F61" i="24"/>
  <c r="F59" i="22"/>
  <c r="G34" i="22"/>
  <c r="F72" i="24"/>
  <c r="G18" i="22"/>
  <c r="G71" i="24"/>
  <c r="F60" i="22"/>
  <c r="BY25" i="21"/>
  <c r="G30" i="22"/>
  <c r="F36" i="24"/>
  <c r="BY16" i="21"/>
  <c r="F75" i="24"/>
  <c r="G50" i="24"/>
  <c r="F43" i="24"/>
  <c r="C86" i="21"/>
  <c r="CM34" i="21"/>
  <c r="CH23" i="22"/>
  <c r="CH16" i="22"/>
  <c r="CM17" i="21"/>
  <c r="CH41" i="22"/>
  <c r="CM41" i="22" s="1"/>
  <c r="DJ40" i="22" s="1"/>
  <c r="CH45" i="21"/>
  <c r="CM72" i="24"/>
  <c r="DJ71" i="24" s="1"/>
  <c r="CH22" i="22"/>
  <c r="BY40" i="22"/>
  <c r="DI39" i="22" s="1"/>
  <c r="DM40" i="22" s="1"/>
  <c r="CH37" i="22"/>
  <c r="CM50" i="21"/>
  <c r="C72" i="21"/>
  <c r="N72" i="21" s="1"/>
  <c r="BT48" i="24"/>
  <c r="BY48" i="24" s="1"/>
  <c r="C79" i="21"/>
  <c r="N79" i="21" s="1"/>
  <c r="BY37" i="22"/>
  <c r="DI36" i="22" s="1"/>
  <c r="BY50" i="22"/>
  <c r="DI49" i="22" s="1"/>
  <c r="CH29" i="22"/>
  <c r="CM31" i="22"/>
  <c r="DJ30" i="22" s="1"/>
  <c r="CH50" i="22"/>
  <c r="BY33" i="22"/>
  <c r="DI32" i="22" s="1"/>
  <c r="DM33" i="22" s="1"/>
  <c r="AX28" i="22"/>
  <c r="AX17" i="22"/>
  <c r="AX32" i="21"/>
  <c r="AW50" i="21"/>
  <c r="AW22" i="22"/>
  <c r="AW44" i="22"/>
  <c r="AW38" i="22"/>
  <c r="AW18" i="22"/>
  <c r="AW21" i="22"/>
  <c r="AW28" i="22"/>
  <c r="AX41" i="21"/>
  <c r="AY41" i="21" s="1"/>
  <c r="AW28" i="21"/>
  <c r="AX21" i="22"/>
  <c r="AW35" i="22"/>
  <c r="AX50" i="21"/>
  <c r="AX40" i="21"/>
  <c r="AW26" i="21"/>
  <c r="AW30" i="22"/>
  <c r="AW39" i="21"/>
  <c r="AW33" i="21"/>
  <c r="AW17" i="21"/>
  <c r="AW27" i="21"/>
  <c r="AX31" i="22"/>
  <c r="AY31" i="22" s="1"/>
  <c r="BC31" i="22" s="1"/>
  <c r="DH30" i="22" s="1"/>
  <c r="AW33" i="22"/>
  <c r="AX32" i="22"/>
  <c r="AY32" i="22" s="1"/>
  <c r="BC32" i="22" s="1"/>
  <c r="DH31" i="22" s="1"/>
  <c r="AX34" i="21"/>
  <c r="AX47" i="22"/>
  <c r="AW32" i="21"/>
  <c r="AW37" i="22"/>
  <c r="AX15" i="21"/>
  <c r="AX22" i="21"/>
  <c r="AX36" i="21"/>
  <c r="AX37" i="21"/>
  <c r="AX29" i="22"/>
  <c r="AW23" i="21"/>
  <c r="AW45" i="22"/>
  <c r="AW29" i="22"/>
  <c r="AX34" i="22"/>
  <c r="AX37" i="22"/>
  <c r="AW48" i="22"/>
  <c r="AW20" i="21"/>
  <c r="AW43" i="22"/>
  <c r="AX26" i="22"/>
  <c r="AX48" i="21"/>
  <c r="AW31" i="22"/>
  <c r="AX19" i="21"/>
  <c r="AX44" i="21"/>
  <c r="AX31" i="21"/>
  <c r="AX20" i="22"/>
  <c r="AW25" i="21"/>
  <c r="AX19" i="22"/>
  <c r="AX18" i="21"/>
  <c r="AX39" i="21"/>
  <c r="AX47" i="21"/>
  <c r="AW17" i="22"/>
  <c r="AY17" i="22" s="1"/>
  <c r="BC17" i="22" s="1"/>
  <c r="DH16" i="22" s="1"/>
  <c r="AX20" i="21"/>
  <c r="AX49" i="21"/>
  <c r="AX15" i="22"/>
  <c r="AW36" i="22"/>
  <c r="AW46" i="21"/>
  <c r="AX30" i="21"/>
  <c r="AX44" i="22"/>
  <c r="AX38" i="21"/>
  <c r="AW46" i="22"/>
  <c r="AW29" i="21"/>
  <c r="AW27" i="22"/>
  <c r="AW20" i="22"/>
  <c r="AX23" i="21"/>
  <c r="AX29" i="21"/>
  <c r="AX42" i="21"/>
  <c r="AW35" i="21"/>
  <c r="AW16" i="22"/>
  <c r="BB22" i="22"/>
  <c r="BB15" i="22"/>
  <c r="BB20" i="22"/>
  <c r="BB39" i="22"/>
  <c r="AN46" i="22"/>
  <c r="BB37" i="22"/>
  <c r="BB45" i="22"/>
  <c r="AN31" i="22"/>
  <c r="BB36" i="22"/>
  <c r="AN36" i="22"/>
  <c r="BB28" i="22"/>
  <c r="AN67" i="24"/>
  <c r="AN28" i="22"/>
  <c r="AY28" i="22" s="1"/>
  <c r="BC28" i="22" s="1"/>
  <c r="DH27" i="22" s="1"/>
  <c r="AN34" i="22"/>
  <c r="AN38" i="22"/>
  <c r="AN45" i="22"/>
  <c r="AN47" i="22"/>
  <c r="AN35" i="22"/>
  <c r="BB16" i="22"/>
  <c r="BB49" i="22"/>
  <c r="BB26" i="22"/>
  <c r="AN47" i="24"/>
  <c r="AN72" i="24"/>
  <c r="AN48" i="22"/>
  <c r="BB41" i="22"/>
  <c r="BB24" i="22"/>
  <c r="BB35" i="22"/>
  <c r="BB27" i="22"/>
  <c r="AN50" i="24"/>
  <c r="AN19" i="22"/>
  <c r="AN50" i="22"/>
  <c r="AN23" i="22"/>
  <c r="BB31" i="22"/>
  <c r="BB25" i="22"/>
  <c r="BB32" i="22"/>
  <c r="BB29" i="22"/>
  <c r="AN16" i="24"/>
  <c r="AN31" i="24"/>
  <c r="AN21" i="22"/>
  <c r="BB38" i="22"/>
  <c r="AN43" i="22"/>
  <c r="BB34" i="22"/>
  <c r="BB30" i="22"/>
  <c r="AN30" i="22"/>
  <c r="BB17" i="22"/>
  <c r="AN39" i="24"/>
  <c r="AN62" i="24"/>
  <c r="AY62" i="24" s="1"/>
  <c r="AN16" i="22"/>
  <c r="BB14" i="22"/>
  <c r="BC14" i="22" s="1"/>
  <c r="DH13" i="22" s="1"/>
  <c r="AN24" i="22"/>
  <c r="AN49" i="22"/>
  <c r="AN22" i="22"/>
  <c r="CM36" i="22"/>
  <c r="DJ35" i="22" s="1"/>
  <c r="CK31" i="21"/>
  <c r="CK32" i="21"/>
  <c r="CK27" i="21"/>
  <c r="CK37" i="21"/>
  <c r="CK68" i="24"/>
  <c r="CK16" i="21"/>
  <c r="CK33" i="22"/>
  <c r="CM50" i="22"/>
  <c r="DJ49" i="22" s="1"/>
  <c r="CK63" i="24"/>
  <c r="CK39" i="21"/>
  <c r="CK44" i="22"/>
  <c r="CM44" i="22" s="1"/>
  <c r="DJ43" i="22" s="1"/>
  <c r="DN43" i="22" s="1"/>
  <c r="CK21" i="21"/>
  <c r="CK23" i="21"/>
  <c r="CK64" i="24"/>
  <c r="CK69" i="24"/>
  <c r="CM69" i="24" s="1"/>
  <c r="DJ68" i="24" s="1"/>
  <c r="CK20" i="21"/>
  <c r="CK46" i="21"/>
  <c r="CK43" i="21"/>
  <c r="CK45" i="22"/>
  <c r="CK39" i="22"/>
  <c r="CM39" i="22" s="1"/>
  <c r="DJ38" i="22" s="1"/>
  <c r="CK33" i="24"/>
  <c r="CM33" i="24" s="1"/>
  <c r="DJ32" i="24" s="1"/>
  <c r="CK16" i="22"/>
  <c r="CM16" i="22" s="1"/>
  <c r="DJ15" i="22" s="1"/>
  <c r="CK47" i="21"/>
  <c r="CM47" i="21" s="1"/>
  <c r="CK46" i="22"/>
  <c r="CK42" i="21"/>
  <c r="CM42" i="21" s="1"/>
  <c r="CK19" i="24"/>
  <c r="CM19" i="24" s="1"/>
  <c r="DJ18" i="24" s="1"/>
  <c r="CK28" i="21"/>
  <c r="CK30" i="22"/>
  <c r="CM30" i="22" s="1"/>
  <c r="DJ29" i="22" s="1"/>
  <c r="DN30" i="22" s="1"/>
  <c r="CK16" i="24"/>
  <c r="CM16" i="24" s="1"/>
  <c r="CK66" i="24"/>
  <c r="CK29" i="24"/>
  <c r="CK19" i="21"/>
  <c r="CK40" i="21"/>
  <c r="CK25" i="24"/>
  <c r="CK56" i="24"/>
  <c r="CK28" i="24"/>
  <c r="CK31" i="24"/>
  <c r="CK21" i="24"/>
  <c r="CK57" i="24"/>
  <c r="CK18" i="24"/>
  <c r="CK23" i="22"/>
  <c r="CM23" i="22" s="1"/>
  <c r="DJ22" i="22" s="1"/>
  <c r="CK35" i="24"/>
  <c r="CM35" i="24" s="1"/>
  <c r="DJ34" i="24" s="1"/>
  <c r="AR16" i="21"/>
  <c r="AH22" i="24"/>
  <c r="AR45" i="21"/>
  <c r="AH59" i="24"/>
  <c r="AQ43" i="21"/>
  <c r="AQ29" i="21"/>
  <c r="AR40" i="21"/>
  <c r="AQ18" i="21"/>
  <c r="AR21" i="21"/>
  <c r="AH40" i="24"/>
  <c r="AH57" i="24"/>
  <c r="AR38" i="21"/>
  <c r="AH66" i="24"/>
  <c r="AR39" i="21"/>
  <c r="AK27" i="22"/>
  <c r="AR47" i="21"/>
  <c r="AL43" i="22"/>
  <c r="AH67" i="24"/>
  <c r="AR46" i="21"/>
  <c r="AR20" i="21"/>
  <c r="AR45" i="22"/>
  <c r="AH30" i="24"/>
  <c r="AK21" i="22"/>
  <c r="AQ20" i="22"/>
  <c r="AH40" i="21"/>
  <c r="AR37" i="21"/>
  <c r="AR23" i="21"/>
  <c r="AH16" i="24"/>
  <c r="AK24" i="22"/>
  <c r="AK16" i="22"/>
  <c r="AQ40" i="21"/>
  <c r="AH43" i="21"/>
  <c r="AQ15" i="21"/>
  <c r="AH32" i="21"/>
  <c r="AQ32" i="21"/>
  <c r="AR19" i="21"/>
  <c r="AQ16" i="21"/>
  <c r="AR43" i="21"/>
  <c r="AH70" i="24"/>
  <c r="AQ30" i="21"/>
  <c r="AR28" i="21"/>
  <c r="AQ15" i="22"/>
  <c r="AH23" i="24"/>
  <c r="AK49" i="22"/>
  <c r="AQ30" i="22"/>
  <c r="AQ39" i="21"/>
  <c r="AR15" i="21"/>
  <c r="AH28" i="24"/>
  <c r="AH21" i="24"/>
  <c r="AQ27" i="21"/>
  <c r="AR48" i="21"/>
  <c r="AH15" i="24"/>
  <c r="AR41" i="21"/>
  <c r="AH25" i="24"/>
  <c r="AQ37" i="21"/>
  <c r="AR18" i="21"/>
  <c r="AH50" i="24"/>
  <c r="AH38" i="24"/>
  <c r="AK20" i="22"/>
  <c r="AQ49" i="22"/>
  <c r="AH41" i="21"/>
  <c r="AH34" i="21"/>
  <c r="AQ47" i="21"/>
  <c r="AK26" i="22"/>
  <c r="AQ33" i="22"/>
  <c r="AH46" i="24"/>
  <c r="AH27" i="24"/>
  <c r="AK38" i="22"/>
  <c r="AR36" i="22"/>
  <c r="AO4" i="24"/>
  <c r="AR30" i="21"/>
  <c r="AQ41" i="21"/>
  <c r="AR25" i="21"/>
  <c r="AH39" i="24"/>
  <c r="AK19" i="22"/>
  <c r="AR18" i="22"/>
  <c r="AQ19" i="21"/>
  <c r="AQ20" i="21"/>
  <c r="AR32" i="21"/>
  <c r="AK44" i="22"/>
  <c r="AR35" i="21"/>
  <c r="AQ44" i="21"/>
  <c r="AR29" i="21"/>
  <c r="AH61" i="24"/>
  <c r="AQ48" i="21"/>
  <c r="AY48" i="21" s="1"/>
  <c r="AR44" i="21"/>
  <c r="AH47" i="24"/>
  <c r="AR34" i="21"/>
  <c r="AQ25" i="21"/>
  <c r="AR33" i="21"/>
  <c r="AH35" i="24"/>
  <c r="AR22" i="21"/>
  <c r="AQ22" i="21"/>
  <c r="AK45" i="22"/>
  <c r="Q18" i="24"/>
  <c r="Q61" i="24"/>
  <c r="I69" i="24"/>
  <c r="Q74" i="24"/>
  <c r="Q86" i="24"/>
  <c r="I25" i="24"/>
  <c r="Q69" i="24"/>
  <c r="Q30" i="24"/>
  <c r="I18" i="24"/>
  <c r="Q68" i="24"/>
  <c r="Q54" i="24"/>
  <c r="I51" i="24"/>
  <c r="I27" i="24"/>
  <c r="I61" i="24"/>
  <c r="I31" i="24"/>
  <c r="Q37" i="24"/>
  <c r="Q50" i="24"/>
  <c r="I43" i="24"/>
  <c r="N43" i="24" s="1"/>
  <c r="I66" i="24"/>
  <c r="N66" i="24" s="1"/>
  <c r="R66" i="24" s="1"/>
  <c r="DG51" i="24" s="1"/>
  <c r="I78" i="24"/>
  <c r="I39" i="24"/>
  <c r="I62" i="24"/>
  <c r="I17" i="24"/>
  <c r="Q25" i="24"/>
  <c r="I32" i="24"/>
  <c r="I59" i="24"/>
  <c r="I84" i="24"/>
  <c r="I26" i="24"/>
  <c r="N26" i="24" s="1"/>
  <c r="I63" i="24"/>
  <c r="Q38" i="24"/>
  <c r="Q72" i="24"/>
  <c r="I55" i="24"/>
  <c r="I22" i="24"/>
  <c r="Q63" i="24"/>
  <c r="Q53" i="24"/>
  <c r="Q31" i="24"/>
  <c r="Q20" i="24"/>
  <c r="Q34" i="24"/>
  <c r="Q81" i="24"/>
  <c r="I29" i="24"/>
  <c r="N29" i="24" s="1"/>
  <c r="R29" i="24" s="1"/>
  <c r="DG14" i="24" s="1"/>
  <c r="Q80" i="24"/>
  <c r="Q64" i="24"/>
  <c r="I57" i="24"/>
  <c r="I23" i="24"/>
  <c r="Q32" i="24"/>
  <c r="Q77" i="24"/>
  <c r="I75" i="24"/>
  <c r="I16" i="24"/>
  <c r="Q42" i="24"/>
  <c r="I38" i="24"/>
  <c r="N38" i="24" s="1"/>
  <c r="Q19" i="24"/>
  <c r="Q79" i="24"/>
  <c r="Q16" i="24"/>
  <c r="I65" i="24"/>
  <c r="I45" i="24"/>
  <c r="Q28" i="24"/>
  <c r="Q76" i="24"/>
  <c r="Q82" i="24"/>
  <c r="I85" i="24"/>
  <c r="Q43" i="24"/>
  <c r="Q36" i="24"/>
  <c r="Q85" i="24"/>
  <c r="I86" i="24"/>
  <c r="N86" i="24" s="1"/>
  <c r="R86" i="24" s="1"/>
  <c r="DG71" i="24" s="1"/>
  <c r="I49" i="24"/>
  <c r="I76" i="24"/>
  <c r="I54" i="24"/>
  <c r="Q26" i="24"/>
  <c r="Q22" i="24"/>
  <c r="Q41" i="24"/>
  <c r="I56" i="24"/>
  <c r="Q56" i="24"/>
  <c r="I28" i="24"/>
  <c r="I35" i="24"/>
  <c r="Q51" i="24"/>
  <c r="Q67" i="24"/>
  <c r="Q62" i="24"/>
  <c r="Q45" i="24"/>
  <c r="I81" i="24"/>
  <c r="I33" i="24"/>
  <c r="N33" i="24" s="1"/>
  <c r="R33" i="24" s="1"/>
  <c r="DG18" i="24" s="1"/>
  <c r="I19" i="24"/>
  <c r="N19" i="24" s="1"/>
  <c r="R19" i="24" s="1"/>
  <c r="I46" i="24"/>
  <c r="I24" i="24"/>
  <c r="Q35" i="24"/>
  <c r="Q58" i="24"/>
  <c r="Q44" i="24"/>
  <c r="I74" i="24"/>
  <c r="I50" i="24"/>
  <c r="Q17" i="24"/>
  <c r="Q57" i="24"/>
  <c r="I80" i="24"/>
  <c r="Q59" i="24"/>
  <c r="I83" i="24"/>
  <c r="N83" i="24" s="1"/>
  <c r="I72" i="24"/>
  <c r="I73" i="24"/>
  <c r="Q83" i="24"/>
  <c r="Q73" i="24"/>
  <c r="I71" i="24"/>
  <c r="C29" i="21"/>
  <c r="AT22" i="21"/>
  <c r="C38" i="21"/>
  <c r="AT18" i="21"/>
  <c r="BT47" i="24"/>
  <c r="BY47" i="24" s="1"/>
  <c r="DI46" i="24" s="1"/>
  <c r="BT66" i="24"/>
  <c r="BT21" i="24"/>
  <c r="BY21" i="24" s="1"/>
  <c r="AT40" i="21"/>
  <c r="AT42" i="21"/>
  <c r="C53" i="21"/>
  <c r="N53" i="21" s="1"/>
  <c r="N29" i="21"/>
  <c r="BY49" i="21"/>
  <c r="BT42" i="24"/>
  <c r="BY42" i="24" s="1"/>
  <c r="DI41" i="24" s="1"/>
  <c r="BT35" i="24"/>
  <c r="L62" i="22"/>
  <c r="AT19" i="21"/>
  <c r="AH25" i="21"/>
  <c r="C80" i="21"/>
  <c r="N80" i="21" s="1"/>
  <c r="AT47" i="21"/>
  <c r="L34" i="22"/>
  <c r="N34" i="22" s="1"/>
  <c r="R34" i="22" s="1"/>
  <c r="N25" i="22"/>
  <c r="R25" i="22" s="1"/>
  <c r="M51" i="22"/>
  <c r="N51" i="22" s="1"/>
  <c r="R51" i="22" s="1"/>
  <c r="DG14" i="22" s="1"/>
  <c r="BT46" i="24"/>
  <c r="BY46" i="24" s="1"/>
  <c r="DI45" i="24" s="1"/>
  <c r="AT46" i="21"/>
  <c r="C54" i="21"/>
  <c r="BT41" i="24"/>
  <c r="BY41" i="24" s="1"/>
  <c r="BY45" i="22"/>
  <c r="DI44" i="22" s="1"/>
  <c r="DM44" i="22" s="1"/>
  <c r="BT55" i="24"/>
  <c r="C81" i="21"/>
  <c r="AT50" i="21"/>
  <c r="C24" i="21"/>
  <c r="N27" i="21"/>
  <c r="AH48" i="21"/>
  <c r="CM43" i="21"/>
  <c r="AT15" i="21"/>
  <c r="C71" i="21"/>
  <c r="N71" i="21" s="1"/>
  <c r="BT20" i="24"/>
  <c r="C22" i="21"/>
  <c r="AH20" i="21"/>
  <c r="AT25" i="21"/>
  <c r="C48" i="21"/>
  <c r="BT61" i="24"/>
  <c r="BY61" i="24" s="1"/>
  <c r="DI60" i="24" s="1"/>
  <c r="DM60" i="24" s="1"/>
  <c r="DQ60" i="24" s="1"/>
  <c r="C25" i="21"/>
  <c r="N25" i="21" s="1"/>
  <c r="L79" i="22"/>
  <c r="C20" i="21"/>
  <c r="N20" i="21" s="1"/>
  <c r="AT23" i="21"/>
  <c r="L49" i="22"/>
  <c r="C16" i="21"/>
  <c r="AT33" i="21"/>
  <c r="AT28" i="21"/>
  <c r="C63" i="21"/>
  <c r="C69" i="21"/>
  <c r="AT34" i="21"/>
  <c r="M24" i="22"/>
  <c r="M70" i="22"/>
  <c r="M71" i="22"/>
  <c r="L16" i="22"/>
  <c r="N16" i="22" s="1"/>
  <c r="R16" i="22" s="1"/>
  <c r="M35" i="22"/>
  <c r="M22" i="22"/>
  <c r="M82" i="22"/>
  <c r="M38" i="22"/>
  <c r="N38" i="22" s="1"/>
  <c r="R38" i="22" s="1"/>
  <c r="L27" i="22"/>
  <c r="N27" i="22" s="1"/>
  <c r="R27" i="22" s="1"/>
  <c r="M75" i="22"/>
  <c r="N75" i="22" s="1"/>
  <c r="R75" i="22" s="1"/>
  <c r="DG38" i="22" s="1"/>
  <c r="M39" i="22"/>
  <c r="N39" i="22" s="1"/>
  <c r="R39" i="22" s="1"/>
  <c r="M40" i="22"/>
  <c r="M48" i="22"/>
  <c r="M42" i="22"/>
  <c r="M85" i="22"/>
  <c r="M56" i="22"/>
  <c r="M63" i="22"/>
  <c r="M62" i="22"/>
  <c r="M73" i="22"/>
  <c r="L82" i="22"/>
  <c r="L67" i="22"/>
  <c r="M55" i="22"/>
  <c r="M19" i="22"/>
  <c r="N19" i="22" s="1"/>
  <c r="R19" i="22" s="1"/>
  <c r="M46" i="22"/>
  <c r="L41" i="22"/>
  <c r="M26" i="22"/>
  <c r="L69" i="22"/>
  <c r="M83" i="22"/>
  <c r="M43" i="22"/>
  <c r="L46" i="22"/>
  <c r="M64" i="22"/>
  <c r="L35" i="22"/>
  <c r="M27" i="22"/>
  <c r="M30" i="22"/>
  <c r="L33" i="22"/>
  <c r="L72" i="22"/>
  <c r="L17" i="22"/>
  <c r="N17" i="22" s="1"/>
  <c r="R17" i="22" s="1"/>
  <c r="M59" i="22"/>
  <c r="M36" i="22"/>
  <c r="N36" i="22" s="1"/>
  <c r="R36" i="22" s="1"/>
  <c r="L53" i="22"/>
  <c r="L56" i="22"/>
  <c r="M72" i="22"/>
  <c r="M61" i="22"/>
  <c r="L70" i="22"/>
  <c r="L52" i="22"/>
  <c r="C66" i="21"/>
  <c r="C45" i="21"/>
  <c r="C30" i="21"/>
  <c r="N30" i="21" s="1"/>
  <c r="CM26" i="21"/>
  <c r="C34" i="21"/>
  <c r="CM37" i="22"/>
  <c r="DJ36" i="22" s="1"/>
  <c r="DN36" i="22" s="1"/>
  <c r="AH38" i="21"/>
  <c r="BT68" i="24"/>
  <c r="BY68" i="24" s="1"/>
  <c r="DI67" i="24" s="1"/>
  <c r="DM67" i="24" s="1"/>
  <c r="DQ67" i="24" s="1"/>
  <c r="BT19" i="24"/>
  <c r="BT64" i="24"/>
  <c r="BT27" i="24"/>
  <c r="BT62" i="24"/>
  <c r="BY62" i="24" s="1"/>
  <c r="DI61" i="24" s="1"/>
  <c r="DM62" i="24" s="1"/>
  <c r="DQ62" i="24" s="1"/>
  <c r="BT67" i="24"/>
  <c r="BY67" i="24" s="1"/>
  <c r="DI66" i="24" s="1"/>
  <c r="BT23" i="24"/>
  <c r="BT17" i="24"/>
  <c r="BY17" i="24" s="1"/>
  <c r="BT45" i="24"/>
  <c r="BT18" i="24"/>
  <c r="BY18" i="24" s="1"/>
  <c r="DI17" i="24" s="1"/>
  <c r="BT37" i="24"/>
  <c r="BY37" i="24" s="1"/>
  <c r="BT16" i="24"/>
  <c r="BY16" i="24" s="1"/>
  <c r="DI15" i="24" s="1"/>
  <c r="BT72" i="24"/>
  <c r="BY72" i="24" s="1"/>
  <c r="DI71" i="24" s="1"/>
  <c r="AT20" i="21"/>
  <c r="AU20" i="21"/>
  <c r="AU42" i="21"/>
  <c r="BT51" i="24"/>
  <c r="C64" i="21"/>
  <c r="N64" i="21" s="1"/>
  <c r="DM17" i="22"/>
  <c r="BT52" i="24"/>
  <c r="BT59" i="24"/>
  <c r="BY59" i="24" s="1"/>
  <c r="DI58" i="24" s="1"/>
  <c r="CM35" i="22"/>
  <c r="DJ34" i="22" s="1"/>
  <c r="AU24" i="21"/>
  <c r="N66" i="22"/>
  <c r="R66" i="22" s="1"/>
  <c r="DG29" i="22" s="1"/>
  <c r="M69" i="22"/>
  <c r="BT22" i="24"/>
  <c r="BY22" i="24" s="1"/>
  <c r="DI21" i="24" s="1"/>
  <c r="AH35" i="21"/>
  <c r="AU31" i="21"/>
  <c r="M65" i="22"/>
  <c r="BT31" i="24"/>
  <c r="BY31" i="24" s="1"/>
  <c r="DI30" i="24" s="1"/>
  <c r="BT24" i="24"/>
  <c r="BY24" i="24" s="1"/>
  <c r="DI23" i="24" s="1"/>
  <c r="L18" i="22"/>
  <c r="N18" i="22" s="1"/>
  <c r="R18" i="22" s="1"/>
  <c r="N36" i="21"/>
  <c r="BT49" i="24"/>
  <c r="BY49" i="24" s="1"/>
  <c r="DI48" i="24" s="1"/>
  <c r="CM27" i="22"/>
  <c r="DJ26" i="22" s="1"/>
  <c r="DN26" i="22" s="1"/>
  <c r="BT28" i="24"/>
  <c r="BY28" i="24" s="1"/>
  <c r="DI27" i="24" s="1"/>
  <c r="BY18" i="21"/>
  <c r="N45" i="21"/>
  <c r="AH19" i="21"/>
  <c r="CM22" i="22"/>
  <c r="DJ21" i="22" s="1"/>
  <c r="DN22" i="22" s="1"/>
  <c r="BY43" i="21"/>
  <c r="L45" i="22"/>
  <c r="M68" i="22"/>
  <c r="N68" i="22" s="1"/>
  <c r="R68" i="22" s="1"/>
  <c r="DG31" i="22" s="1"/>
  <c r="BT43" i="24"/>
  <c r="BT58" i="24"/>
  <c r="G42" i="24"/>
  <c r="N42" i="24" s="1"/>
  <c r="G59" i="24"/>
  <c r="G75" i="24"/>
  <c r="G57" i="24"/>
  <c r="F45" i="24"/>
  <c r="G80" i="24"/>
  <c r="G30" i="24"/>
  <c r="F85" i="24"/>
  <c r="F54" i="24"/>
  <c r="N54" i="24" s="1"/>
  <c r="R54" i="24" s="1"/>
  <c r="DG39" i="24" s="1"/>
  <c r="G63" i="24"/>
  <c r="G56" i="24"/>
  <c r="N56" i="24" s="1"/>
  <c r="R56" i="24" s="1"/>
  <c r="DG41" i="24" s="1"/>
  <c r="G24" i="24"/>
  <c r="G47" i="24"/>
  <c r="N47" i="24" s="1"/>
  <c r="F49" i="24"/>
  <c r="N49" i="24" s="1"/>
  <c r="R49" i="24" s="1"/>
  <c r="DG34" i="24" s="1"/>
  <c r="F51" i="24"/>
  <c r="G58" i="24"/>
  <c r="N58" i="24" s="1"/>
  <c r="G61" i="24"/>
  <c r="G40" i="24"/>
  <c r="G20" i="24"/>
  <c r="F42" i="24"/>
  <c r="F70" i="24"/>
  <c r="F80" i="24"/>
  <c r="G37" i="24"/>
  <c r="G19" i="24"/>
  <c r="F52" i="24"/>
  <c r="F57" i="24"/>
  <c r="G21" i="24"/>
  <c r="N21" i="24" s="1"/>
  <c r="F81" i="24"/>
  <c r="F53" i="24"/>
  <c r="G38" i="24"/>
  <c r="F17" i="24"/>
  <c r="G41" i="24"/>
  <c r="N41" i="24" s="1"/>
  <c r="R41" i="24" s="1"/>
  <c r="DG26" i="24" s="1"/>
  <c r="G79" i="24"/>
  <c r="G31" i="24"/>
  <c r="G44" i="24"/>
  <c r="F77" i="24"/>
  <c r="N77" i="24" s="1"/>
  <c r="F67" i="24"/>
  <c r="G69" i="24"/>
  <c r="G48" i="24"/>
  <c r="G53" i="24"/>
  <c r="G51" i="24"/>
  <c r="F63" i="24"/>
  <c r="F38" i="24"/>
  <c r="G28" i="24"/>
  <c r="N28" i="24" s="1"/>
  <c r="G23" i="24"/>
  <c r="F69" i="24"/>
  <c r="F19" i="24"/>
  <c r="G84" i="24"/>
  <c r="N84" i="24" s="1"/>
  <c r="R84" i="24" s="1"/>
  <c r="DG69" i="24" s="1"/>
  <c r="F84" i="24"/>
  <c r="CK20" i="22"/>
  <c r="CM20" i="22" s="1"/>
  <c r="DJ19" i="22" s="1"/>
  <c r="L23" i="22"/>
  <c r="N23" i="22" s="1"/>
  <c r="R23" i="22" s="1"/>
  <c r="BT54" i="24"/>
  <c r="BY54" i="24" s="1"/>
  <c r="DI53" i="24" s="1"/>
  <c r="BT50" i="24"/>
  <c r="DM20" i="22"/>
  <c r="AU26" i="21"/>
  <c r="AU48" i="21"/>
  <c r="AU21" i="21"/>
  <c r="AU29" i="21"/>
  <c r="AU45" i="21"/>
  <c r="AU27" i="21"/>
  <c r="AU23" i="21"/>
  <c r="AU39" i="21"/>
  <c r="AU41" i="21"/>
  <c r="AU15" i="21"/>
  <c r="AU37" i="21"/>
  <c r="AU33" i="21"/>
  <c r="AU49" i="21"/>
  <c r="AU36" i="21"/>
  <c r="AU40" i="21"/>
  <c r="AU47" i="21"/>
  <c r="AU30" i="21"/>
  <c r="AT27" i="21"/>
  <c r="AT49" i="21"/>
  <c r="AU46" i="21"/>
  <c r="AU22" i="21"/>
  <c r="AU35" i="21"/>
  <c r="AU38" i="21"/>
  <c r="AT17" i="21"/>
  <c r="AT43" i="21"/>
  <c r="AU17" i="21"/>
  <c r="C28" i="21"/>
  <c r="AU44" i="21"/>
  <c r="L78" i="22"/>
  <c r="N78" i="22" s="1"/>
  <c r="R78" i="22" s="1"/>
  <c r="DG41" i="22" s="1"/>
  <c r="M31" i="22"/>
  <c r="BT71" i="24"/>
  <c r="BY71" i="24" s="1"/>
  <c r="DI70" i="24" s="1"/>
  <c r="AT16" i="21"/>
  <c r="AT29" i="21"/>
  <c r="AQ15" i="24"/>
  <c r="AY15" i="24" s="1"/>
  <c r="BT30" i="24"/>
  <c r="BY30" i="24" s="1"/>
  <c r="DI29" i="24" s="1"/>
  <c r="BT70" i="24"/>
  <c r="BY70" i="24" s="1"/>
  <c r="DI69" i="24" s="1"/>
  <c r="N63" i="21"/>
  <c r="N49" i="22"/>
  <c r="R49" i="22" s="1"/>
  <c r="CM66" i="24"/>
  <c r="DJ65" i="24" s="1"/>
  <c r="BT33" i="24"/>
  <c r="G5" i="21"/>
  <c r="C65" i="21"/>
  <c r="C74" i="21"/>
  <c r="BT29" i="24"/>
  <c r="C32" i="21"/>
  <c r="N66" i="21"/>
  <c r="AU50" i="21"/>
  <c r="M52" i="22"/>
  <c r="N52" i="22" s="1"/>
  <c r="R52" i="22" s="1"/>
  <c r="DG15" i="22" s="1"/>
  <c r="BT53" i="24"/>
  <c r="BY53" i="24" s="1"/>
  <c r="DI52" i="24" s="1"/>
  <c r="L37" i="22"/>
  <c r="CH16" i="21"/>
  <c r="CH44" i="21"/>
  <c r="CM44" i="21" s="1"/>
  <c r="CH20" i="21"/>
  <c r="CH28" i="21"/>
  <c r="AQ44" i="24"/>
  <c r="AY44" i="24" s="1"/>
  <c r="BT36" i="24"/>
  <c r="BY36" i="24" s="1"/>
  <c r="DI35" i="24" s="1"/>
  <c r="CM40" i="22"/>
  <c r="DJ39" i="22" s="1"/>
  <c r="CM28" i="22"/>
  <c r="DJ27" i="22" s="1"/>
  <c r="DN27" i="22" s="1"/>
  <c r="BT65" i="24"/>
  <c r="BY65" i="24" s="1"/>
  <c r="DI64" i="24" s="1"/>
  <c r="AO4" i="21"/>
  <c r="AH33" i="21"/>
  <c r="AH39" i="21"/>
  <c r="AH47" i="21"/>
  <c r="AH16" i="21"/>
  <c r="AH28" i="21"/>
  <c r="C36" i="21"/>
  <c r="BY31" i="21"/>
  <c r="AU25" i="21"/>
  <c r="AU18" i="21"/>
  <c r="AH49" i="21"/>
  <c r="L65" i="22"/>
  <c r="L66" i="22"/>
  <c r="L54" i="22"/>
  <c r="M20" i="22"/>
  <c r="N16" i="21"/>
  <c r="BT38" i="24"/>
  <c r="BY38" i="24" s="1"/>
  <c r="DI37" i="24" s="1"/>
  <c r="BT69" i="24"/>
  <c r="BY69" i="24" s="1"/>
  <c r="DI68" i="24" s="1"/>
  <c r="BT39" i="24"/>
  <c r="BY39" i="24" s="1"/>
  <c r="BT32" i="24"/>
  <c r="BY32" i="24" s="1"/>
  <c r="N84" i="21"/>
  <c r="AU28" i="21"/>
  <c r="C49" i="21"/>
  <c r="BT25" i="24"/>
  <c r="BY25" i="24" s="1"/>
  <c r="DI24" i="24" s="1"/>
  <c r="AT30" i="21"/>
  <c r="AU34" i="21"/>
  <c r="L61" i="22"/>
  <c r="L42" i="22"/>
  <c r="M67" i="22"/>
  <c r="C42" i="21"/>
  <c r="N42" i="21" s="1"/>
  <c r="C59" i="21"/>
  <c r="N59" i="21" s="1"/>
  <c r="AR72" i="24"/>
  <c r="AQ37" i="24"/>
  <c r="AQ47" i="24"/>
  <c r="AR57" i="24"/>
  <c r="AQ72" i="24"/>
  <c r="AR27" i="24"/>
  <c r="AR71" i="24"/>
  <c r="AY71" i="24" s="1"/>
  <c r="AQ28" i="24"/>
  <c r="AQ27" i="24"/>
  <c r="AR66" i="24"/>
  <c r="AR41" i="24"/>
  <c r="AR38" i="24"/>
  <c r="AQ26" i="24"/>
  <c r="AR61" i="24"/>
  <c r="AY61" i="24" s="1"/>
  <c r="AQ23" i="24"/>
  <c r="AR45" i="24"/>
  <c r="AR42" i="24"/>
  <c r="AQ16" i="24"/>
  <c r="AR52" i="24"/>
  <c r="AY52" i="24" s="1"/>
  <c r="AQ53" i="24"/>
  <c r="AR28" i="24"/>
  <c r="AY28" i="24" s="1"/>
  <c r="AR62" i="24"/>
  <c r="AR35" i="24"/>
  <c r="AR26" i="24"/>
  <c r="AR43" i="24"/>
  <c r="AR31" i="24"/>
  <c r="AR24" i="24"/>
  <c r="AR56" i="24"/>
  <c r="AR16" i="24"/>
  <c r="AQ54" i="24"/>
  <c r="AY54" i="24" s="1"/>
  <c r="AR17" i="24"/>
  <c r="AQ43" i="24"/>
  <c r="AR54" i="24"/>
  <c r="AR68" i="24"/>
  <c r="AY68" i="24" s="1"/>
  <c r="AR48" i="24"/>
  <c r="AR58" i="24"/>
  <c r="AQ33" i="24"/>
  <c r="CK17" i="22"/>
  <c r="BT40" i="24"/>
  <c r="BY40" i="24" s="1"/>
  <c r="DI39" i="24" s="1"/>
  <c r="BT15" i="24"/>
  <c r="BY15" i="24" s="1"/>
  <c r="DI14" i="24" s="1"/>
  <c r="AY28" i="21"/>
  <c r="AT21" i="21"/>
  <c r="AU19" i="21"/>
  <c r="AU32" i="21"/>
  <c r="CM45" i="21"/>
  <c r="L64" i="22"/>
  <c r="L60" i="22"/>
  <c r="N60" i="22" s="1"/>
  <c r="R60" i="22" s="1"/>
  <c r="DG23" i="22" s="1"/>
  <c r="M15" i="22"/>
  <c r="BT44" i="24"/>
  <c r="BY44" i="24" s="1"/>
  <c r="DI43" i="24" s="1"/>
  <c r="BT34" i="24"/>
  <c r="BY34" i="24" s="1"/>
  <c r="DI33" i="24" s="1"/>
  <c r="AT37" i="21"/>
  <c r="AH29" i="21"/>
  <c r="CK48" i="22"/>
  <c r="CM48" i="22" s="1"/>
  <c r="DJ47" i="22" s="1"/>
  <c r="DN47" i="22" s="1"/>
  <c r="AQ48" i="24"/>
  <c r="AY48" i="24" s="1"/>
  <c r="AR27" i="22"/>
  <c r="AR15" i="22"/>
  <c r="AR50" i="22"/>
  <c r="AR47" i="22"/>
  <c r="AR22" i="22"/>
  <c r="AR46" i="22"/>
  <c r="AR21" i="22"/>
  <c r="AX39" i="22"/>
  <c r="AX45" i="22"/>
  <c r="AX49" i="22"/>
  <c r="AX43" i="22"/>
  <c r="AX46" i="22"/>
  <c r="AX25" i="22"/>
  <c r="AX24" i="22"/>
  <c r="AX23" i="22"/>
  <c r="AX33" i="22"/>
  <c r="C57" i="21"/>
  <c r="C18" i="21"/>
  <c r="N18" i="21" s="1"/>
  <c r="BT22" i="21"/>
  <c r="BY22" i="21" s="1"/>
  <c r="AR43" i="22"/>
  <c r="AR44" i="22"/>
  <c r="AH37" i="24"/>
  <c r="AH31" i="24"/>
  <c r="CM21" i="24"/>
  <c r="DJ20" i="24" s="1"/>
  <c r="CK53" i="24"/>
  <c r="CM53" i="24" s="1"/>
  <c r="DJ52" i="24" s="1"/>
  <c r="CK50" i="24"/>
  <c r="CM50" i="24" s="1"/>
  <c r="DJ49" i="24" s="1"/>
  <c r="C73" i="21"/>
  <c r="CH33" i="22"/>
  <c r="CM33" i="22" s="1"/>
  <c r="DJ32" i="22" s="1"/>
  <c r="AL18" i="22"/>
  <c r="AL20" i="22"/>
  <c r="AL32" i="22"/>
  <c r="AL36" i="22"/>
  <c r="AL29" i="22"/>
  <c r="AL27" i="22"/>
  <c r="AL42" i="22"/>
  <c r="AL24" i="22"/>
  <c r="AL26" i="22"/>
  <c r="AL22" i="22"/>
  <c r="AL19" i="22"/>
  <c r="AL33" i="22"/>
  <c r="AL50" i="22"/>
  <c r="AL44" i="22"/>
  <c r="AL45" i="22"/>
  <c r="AL47" i="22"/>
  <c r="AL21" i="22"/>
  <c r="AL49" i="22"/>
  <c r="AL23" i="22"/>
  <c r="AL40" i="22"/>
  <c r="AL16" i="22"/>
  <c r="AL15" i="22"/>
  <c r="AL48" i="22"/>
  <c r="AL41" i="22"/>
  <c r="AY41" i="22" s="1"/>
  <c r="AL30" i="22"/>
  <c r="AY30" i="22" s="1"/>
  <c r="BC30" i="22" s="1"/>
  <c r="DH29" i="22" s="1"/>
  <c r="AL39" i="22"/>
  <c r="AL38" i="22"/>
  <c r="AL37" i="22"/>
  <c r="AL35" i="22"/>
  <c r="CK29" i="22"/>
  <c r="CM29" i="22" s="1"/>
  <c r="DJ28" i="22" s="1"/>
  <c r="CK54" i="24"/>
  <c r="CM54" i="24" s="1"/>
  <c r="DJ53" i="24" s="1"/>
  <c r="F63" i="22"/>
  <c r="N63" i="22" s="1"/>
  <c r="R63" i="22" s="1"/>
  <c r="DG26" i="22" s="1"/>
  <c r="C75" i="21"/>
  <c r="N75" i="21" s="1"/>
  <c r="CH38" i="22"/>
  <c r="CH30" i="21"/>
  <c r="C77" i="21"/>
  <c r="C50" i="21"/>
  <c r="N50" i="21" s="1"/>
  <c r="C78" i="21"/>
  <c r="C26" i="21"/>
  <c r="N26" i="21" s="1"/>
  <c r="C47" i="21"/>
  <c r="C58" i="21"/>
  <c r="N58" i="21" s="1"/>
  <c r="CH38" i="21"/>
  <c r="CM38" i="21" s="1"/>
  <c r="C23" i="21"/>
  <c r="N23" i="21" s="1"/>
  <c r="C43" i="21"/>
  <c r="AQ37" i="22"/>
  <c r="CH27" i="21"/>
  <c r="CM27" i="21" s="1"/>
  <c r="AH18" i="21"/>
  <c r="CH46" i="21"/>
  <c r="CM46" i="21" s="1"/>
  <c r="C83" i="21"/>
  <c r="N83" i="21" s="1"/>
  <c r="C37" i="21"/>
  <c r="N37" i="21" s="1"/>
  <c r="N30" i="22"/>
  <c r="R30" i="22" s="1"/>
  <c r="AR25" i="22"/>
  <c r="AH18" i="24"/>
  <c r="AY18" i="24" s="1"/>
  <c r="C55" i="21"/>
  <c r="AQ16" i="22"/>
  <c r="BT26" i="21"/>
  <c r="BY26" i="21" s="1"/>
  <c r="CH15" i="21"/>
  <c r="CM15" i="21" s="1"/>
  <c r="CH32" i="22"/>
  <c r="CM32" i="22" s="1"/>
  <c r="DJ31" i="22" s="1"/>
  <c r="DN31" i="22" s="1"/>
  <c r="G24" i="22"/>
  <c r="G72" i="22"/>
  <c r="G81" i="22"/>
  <c r="N81" i="22" s="1"/>
  <c r="R81" i="22" s="1"/>
  <c r="DG44" i="22" s="1"/>
  <c r="G63" i="22"/>
  <c r="G61" i="22"/>
  <c r="G32" i="22"/>
  <c r="G26" i="22"/>
  <c r="G73" i="22"/>
  <c r="G80" i="22"/>
  <c r="G23" i="22"/>
  <c r="G35" i="22"/>
  <c r="G65" i="22"/>
  <c r="G45" i="22"/>
  <c r="G22" i="22"/>
  <c r="G48" i="22"/>
  <c r="G82" i="22"/>
  <c r="G55" i="22"/>
  <c r="G21" i="22"/>
  <c r="G67" i="22"/>
  <c r="G86" i="22"/>
  <c r="N86" i="22" s="1"/>
  <c r="R86" i="22" s="1"/>
  <c r="DG49" i="22" s="1"/>
  <c r="G56" i="22"/>
  <c r="N56" i="22" s="1"/>
  <c r="R56" i="22" s="1"/>
  <c r="DG19" i="22" s="1"/>
  <c r="G64" i="22"/>
  <c r="AH26" i="21"/>
  <c r="AY26" i="21" s="1"/>
  <c r="CH18" i="21"/>
  <c r="CM18" i="21" s="1"/>
  <c r="C35" i="21"/>
  <c r="N35" i="21" s="1"/>
  <c r="C61" i="21"/>
  <c r="N61" i="21" s="1"/>
  <c r="AH58" i="24"/>
  <c r="AH52" i="24"/>
  <c r="CH37" i="21"/>
  <c r="CM37" i="21" s="1"/>
  <c r="AQ39" i="22"/>
  <c r="BT30" i="21"/>
  <c r="BY30" i="21" s="1"/>
  <c r="CH41" i="21"/>
  <c r="CM41" i="21" s="1"/>
  <c r="CH47" i="22"/>
  <c r="CM47" i="22" s="1"/>
  <c r="DJ46" i="22" s="1"/>
  <c r="CK40" i="22"/>
  <c r="AH46" i="21"/>
  <c r="CH31" i="21"/>
  <c r="CM31" i="21" s="1"/>
  <c r="C41" i="21"/>
  <c r="CH19" i="21"/>
  <c r="CM19" i="21" s="1"/>
  <c r="CK28" i="22"/>
  <c r="C40" i="21"/>
  <c r="AH21" i="21"/>
  <c r="CH48" i="21"/>
  <c r="CM48" i="21" s="1"/>
  <c r="C19" i="21"/>
  <c r="N19" i="21" s="1"/>
  <c r="AR32" i="22"/>
  <c r="AH36" i="24"/>
  <c r="AY36" i="24" s="1"/>
  <c r="CM31" i="24"/>
  <c r="DJ30" i="24" s="1"/>
  <c r="CM67" i="24"/>
  <c r="DJ66" i="24" s="1"/>
  <c r="DN66" i="24" s="1"/>
  <c r="DR66" i="24" s="1"/>
  <c r="AH65" i="24"/>
  <c r="AY65" i="24" s="1"/>
  <c r="AH72" i="24"/>
  <c r="AX16" i="21"/>
  <c r="AX45" i="21"/>
  <c r="AH36" i="21"/>
  <c r="AH44" i="21"/>
  <c r="CH23" i="21"/>
  <c r="CM23" i="21" s="1"/>
  <c r="C15" i="21"/>
  <c r="N15" i="21" s="1"/>
  <c r="C52" i="21"/>
  <c r="N52" i="21" s="1"/>
  <c r="F47" i="22"/>
  <c r="AT31" i="21"/>
  <c r="AH22" i="21"/>
  <c r="CH35" i="21"/>
  <c r="CM35" i="21" s="1"/>
  <c r="C46" i="21"/>
  <c r="AH17" i="21"/>
  <c r="CH39" i="21"/>
  <c r="CM39" i="21" s="1"/>
  <c r="C68" i="21"/>
  <c r="CH25" i="21"/>
  <c r="CM25" i="21" s="1"/>
  <c r="BT44" i="21"/>
  <c r="BY44" i="21" s="1"/>
  <c r="L15" i="22"/>
  <c r="AW15" i="22"/>
  <c r="AR30" i="22"/>
  <c r="AQ18" i="22"/>
  <c r="AR39" i="22"/>
  <c r="AH63" i="24"/>
  <c r="CK62" i="24"/>
  <c r="CM62" i="24" s="1"/>
  <c r="DJ61" i="24" s="1"/>
  <c r="CK22" i="21"/>
  <c r="CM22" i="21" s="1"/>
  <c r="AK17" i="22"/>
  <c r="F16" i="22"/>
  <c r="F58" i="22"/>
  <c r="AH42" i="21"/>
  <c r="CH49" i="21"/>
  <c r="CM49" i="21" s="1"/>
  <c r="AT36" i="21"/>
  <c r="C84" i="21"/>
  <c r="BY56" i="24"/>
  <c r="DI55" i="24" s="1"/>
  <c r="AW25" i="22"/>
  <c r="AW24" i="22"/>
  <c r="AH53" i="24"/>
  <c r="AY53" i="24" s="1"/>
  <c r="AX16" i="22"/>
  <c r="AX30" i="22"/>
  <c r="AX50" i="22"/>
  <c r="AR16" i="22"/>
  <c r="Q52" i="24"/>
  <c r="Q60" i="24"/>
  <c r="CM71" i="24"/>
  <c r="DJ70" i="24" s="1"/>
  <c r="DN71" i="24" s="1"/>
  <c r="DR71" i="24" s="1"/>
  <c r="CM60" i="24"/>
  <c r="DJ59" i="24" s="1"/>
  <c r="CK29" i="21"/>
  <c r="AK29" i="22"/>
  <c r="CH27" i="22"/>
  <c r="AN37" i="22"/>
  <c r="F15" i="22"/>
  <c r="F48" i="22"/>
  <c r="N48" i="22" s="1"/>
  <c r="R48" i="22" s="1"/>
  <c r="F61" i="22"/>
  <c r="AH50" i="21"/>
  <c r="CH36" i="21"/>
  <c r="CM36" i="21" s="1"/>
  <c r="AT41" i="21"/>
  <c r="C70" i="21"/>
  <c r="C62" i="21"/>
  <c r="AK22" i="22"/>
  <c r="N38" i="21"/>
  <c r="AX38" i="22"/>
  <c r="AH56" i="24"/>
  <c r="AW49" i="21"/>
  <c r="BT47" i="21"/>
  <c r="AR35" i="22"/>
  <c r="AX22" i="22"/>
  <c r="AX36" i="22"/>
  <c r="AH19" i="24"/>
  <c r="AY19" i="24" s="1"/>
  <c r="CK70" i="24"/>
  <c r="CM70" i="24" s="1"/>
  <c r="DJ69" i="24" s="1"/>
  <c r="BY60" i="24"/>
  <c r="DI59" i="24" s="1"/>
  <c r="CK47" i="24"/>
  <c r="CM47" i="24" s="1"/>
  <c r="DJ46" i="24" s="1"/>
  <c r="CH19" i="22"/>
  <c r="CM19" i="22" s="1"/>
  <c r="DJ18" i="22" s="1"/>
  <c r="C82" i="21"/>
  <c r="N82" i="21" s="1"/>
  <c r="CH46" i="22"/>
  <c r="CM46" i="22" s="1"/>
  <c r="DJ45" i="22" s="1"/>
  <c r="C31" i="21"/>
  <c r="N31" i="21" s="1"/>
  <c r="F20" i="22"/>
  <c r="F83" i="22"/>
  <c r="AH45" i="21"/>
  <c r="AY45" i="21" s="1"/>
  <c r="CH29" i="21"/>
  <c r="AT32" i="21"/>
  <c r="C51" i="21"/>
  <c r="N51" i="21" s="1"/>
  <c r="AX27" i="22"/>
  <c r="AY27" i="22" s="1"/>
  <c r="BC27" i="22" s="1"/>
  <c r="DH26" i="22" s="1"/>
  <c r="AW19" i="22"/>
  <c r="AQ45" i="22"/>
  <c r="AY45" i="22" s="1"/>
  <c r="BC45" i="22" s="1"/>
  <c r="DH44" i="22" s="1"/>
  <c r="AH42" i="24"/>
  <c r="AH68" i="24"/>
  <c r="AH60" i="24"/>
  <c r="AY60" i="24" s="1"/>
  <c r="CH25" i="22"/>
  <c r="CM25" i="22" s="1"/>
  <c r="DJ24" i="22" s="1"/>
  <c r="F55" i="22"/>
  <c r="F50" i="22"/>
  <c r="AH15" i="21"/>
  <c r="CH33" i="21"/>
  <c r="CM33" i="21" s="1"/>
  <c r="AT39" i="21"/>
  <c r="C60" i="21"/>
  <c r="N60" i="21" s="1"/>
  <c r="AK48" i="22"/>
  <c r="BY28" i="21"/>
  <c r="AX46" i="21"/>
  <c r="Q78" i="24"/>
  <c r="Q39" i="24"/>
  <c r="AH69" i="24"/>
  <c r="AY69" i="24" s="1"/>
  <c r="AK42" i="22"/>
  <c r="AY42" i="22" s="1"/>
  <c r="BC42" i="22" s="1"/>
  <c r="DH41" i="22" s="1"/>
  <c r="CH43" i="22"/>
  <c r="CM43" i="22" s="1"/>
  <c r="DJ42" i="22" s="1"/>
  <c r="BT27" i="21"/>
  <c r="BY27" i="21" s="1"/>
  <c r="AN29" i="22"/>
  <c r="F53" i="22"/>
  <c r="N53" i="22" s="1"/>
  <c r="R53" i="22" s="1"/>
  <c r="DG16" i="22" s="1"/>
  <c r="CH45" i="22"/>
  <c r="F21" i="22"/>
  <c r="F28" i="22"/>
  <c r="N28" i="22" s="1"/>
  <c r="R28" i="22" s="1"/>
  <c r="AH31" i="21"/>
  <c r="AY31" i="21" s="1"/>
  <c r="CH32" i="21"/>
  <c r="CM32" i="21" s="1"/>
  <c r="AT38" i="21"/>
  <c r="CH21" i="21"/>
  <c r="C17" i="21"/>
  <c r="N17" i="21" s="1"/>
  <c r="F32" i="22"/>
  <c r="C56" i="21"/>
  <c r="AX41" i="22"/>
  <c r="AQ50" i="22"/>
  <c r="AX43" i="21"/>
  <c r="BT35" i="21"/>
  <c r="BY35" i="21" s="1"/>
  <c r="BT50" i="21"/>
  <c r="BY50" i="21" s="1"/>
  <c r="AX21" i="21"/>
  <c r="AW23" i="22"/>
  <c r="AX42" i="22"/>
  <c r="CM37" i="24"/>
  <c r="DJ36" i="24" s="1"/>
  <c r="AH33" i="24"/>
  <c r="I44" i="24"/>
  <c r="AH26" i="24"/>
  <c r="Q46" i="24"/>
  <c r="Q14" i="24"/>
  <c r="R14" i="24" s="1"/>
  <c r="Q71" i="24"/>
  <c r="CK30" i="21"/>
  <c r="CH17" i="22"/>
  <c r="CH42" i="22"/>
  <c r="CM42" i="22" s="1"/>
  <c r="DJ41" i="22" s="1"/>
  <c r="DN41" i="22" s="1"/>
  <c r="AN39" i="22"/>
  <c r="CK38" i="22"/>
  <c r="F76" i="22"/>
  <c r="N76" i="22" s="1"/>
  <c r="R76" i="22" s="1"/>
  <c r="DG39" i="22" s="1"/>
  <c r="AH24" i="21"/>
  <c r="AY24" i="21" s="1"/>
  <c r="CH24" i="21"/>
  <c r="CM24" i="21" s="1"/>
  <c r="AT35" i="21"/>
  <c r="AY35" i="21" s="1"/>
  <c r="AH30" i="21"/>
  <c r="C85" i="21"/>
  <c r="N85" i="21" s="1"/>
  <c r="CH34" i="22"/>
  <c r="CM34" i="22" s="1"/>
  <c r="DJ33" i="22" s="1"/>
  <c r="BY42" i="22"/>
  <c r="DI41" i="22" s="1"/>
  <c r="DM41" i="22" s="1"/>
  <c r="AH64" i="24"/>
  <c r="AY64" i="24" s="1"/>
  <c r="BT39" i="21"/>
  <c r="BY39" i="21" s="1"/>
  <c r="AW47" i="21"/>
  <c r="DM48" i="22"/>
  <c r="AW47" i="22"/>
  <c r="BY30" i="22"/>
  <c r="DI29" i="22" s="1"/>
  <c r="DM29" i="22" s="1"/>
  <c r="AH17" i="24"/>
  <c r="AH43" i="24"/>
  <c r="Q21" i="24"/>
  <c r="Q47" i="24"/>
  <c r="CK17" i="24"/>
  <c r="CM17" i="24" s="1"/>
  <c r="DJ16" i="24" s="1"/>
  <c r="CM63" i="24"/>
  <c r="DJ62" i="24" s="1"/>
  <c r="CM40" i="24"/>
  <c r="DJ39" i="24" s="1"/>
  <c r="I40" i="24"/>
  <c r="CH21" i="22"/>
  <c r="CM21" i="22" s="1"/>
  <c r="DJ20" i="22" s="1"/>
  <c r="CH40" i="21"/>
  <c r="CM40" i="21" s="1"/>
  <c r="AN42" i="22"/>
  <c r="F39" i="22"/>
  <c r="F74" i="22"/>
  <c r="N74" i="22" s="1"/>
  <c r="R74" i="22" s="1"/>
  <c r="DG37" i="22" s="1"/>
  <c r="C21" i="21"/>
  <c r="N21" i="21" s="1"/>
  <c r="AT44" i="21"/>
  <c r="C67" i="21"/>
  <c r="N67" i="21" s="1"/>
  <c r="CM56" i="24"/>
  <c r="DJ55" i="24" s="1"/>
  <c r="CM29" i="24"/>
  <c r="DJ28" i="24" s="1"/>
  <c r="BY55" i="24"/>
  <c r="DI54" i="24" s="1"/>
  <c r="BY66" i="24"/>
  <c r="DI65" i="24" s="1"/>
  <c r="DM66" i="24" s="1"/>
  <c r="DQ66" i="24" s="1"/>
  <c r="CM58" i="24"/>
  <c r="DJ57" i="24" s="1"/>
  <c r="CM49" i="24"/>
  <c r="DJ48" i="24" s="1"/>
  <c r="CM52" i="24"/>
  <c r="DJ51" i="24" s="1"/>
  <c r="CM27" i="24"/>
  <c r="DJ26" i="24" s="1"/>
  <c r="BY51" i="24"/>
  <c r="DI50" i="24" s="1"/>
  <c r="N64" i="24"/>
  <c r="R64" i="24" s="1"/>
  <c r="CM43" i="24"/>
  <c r="DJ42" i="24" s="1"/>
  <c r="CM68" i="24"/>
  <c r="DJ67" i="24" s="1"/>
  <c r="N18" i="24"/>
  <c r="R18" i="24" s="1"/>
  <c r="CM44" i="24"/>
  <c r="DJ43" i="24" s="1"/>
  <c r="DN43" i="24" s="1"/>
  <c r="DR43" i="24" s="1"/>
  <c r="CM28" i="24"/>
  <c r="DJ27" i="24" s="1"/>
  <c r="DN27" i="24" s="1"/>
  <c r="DR27" i="24" s="1"/>
  <c r="CM36" i="24"/>
  <c r="DJ35" i="24" s="1"/>
  <c r="CM26" i="24"/>
  <c r="DJ25" i="24" s="1"/>
  <c r="DN26" i="24" s="1"/>
  <c r="DR26" i="24" s="1"/>
  <c r="CM48" i="24"/>
  <c r="DJ47" i="24" s="1"/>
  <c r="DN48" i="24" s="1"/>
  <c r="DR48" i="24" s="1"/>
  <c r="BY58" i="24"/>
  <c r="DI57" i="24" s="1"/>
  <c r="DM57" i="24" s="1"/>
  <c r="DQ57" i="24" s="1"/>
  <c r="N15" i="24"/>
  <c r="R15" i="24" s="1"/>
  <c r="BY52" i="24"/>
  <c r="DI51" i="24" s="1"/>
  <c r="CM41" i="24"/>
  <c r="DJ40" i="24" s="1"/>
  <c r="DN40" i="24" s="1"/>
  <c r="DR40" i="24" s="1"/>
  <c r="CM65" i="24"/>
  <c r="DJ64" i="24" s="1"/>
  <c r="DN65" i="24" s="1"/>
  <c r="DR65" i="24" s="1"/>
  <c r="BY20" i="24"/>
  <c r="DI19" i="24" s="1"/>
  <c r="CM55" i="24"/>
  <c r="DJ54" i="24" s="1"/>
  <c r="N60" i="24"/>
  <c r="CM45" i="24"/>
  <c r="DJ44" i="24" s="1"/>
  <c r="CM59" i="24"/>
  <c r="DJ58" i="24" s="1"/>
  <c r="AY67" i="24"/>
  <c r="CM30" i="24"/>
  <c r="DJ29" i="24" s="1"/>
  <c r="N25" i="24"/>
  <c r="R25" i="24" s="1"/>
  <c r="CM57" i="24"/>
  <c r="DJ56" i="24" s="1"/>
  <c r="CM23" i="24"/>
  <c r="DJ22" i="24" s="1"/>
  <c r="N37" i="24"/>
  <c r="CM46" i="24"/>
  <c r="DJ45" i="24" s="1"/>
  <c r="CM34" i="24"/>
  <c r="DJ33" i="24" s="1"/>
  <c r="N73" i="24"/>
  <c r="BY64" i="24"/>
  <c r="DI63" i="24" s="1"/>
  <c r="DM63" i="24" s="1"/>
  <c r="DQ63" i="24" s="1"/>
  <c r="CM64" i="24"/>
  <c r="DJ63" i="24" s="1"/>
  <c r="CM25" i="24"/>
  <c r="DJ24" i="24" s="1"/>
  <c r="CM22" i="24"/>
  <c r="DJ21" i="24" s="1"/>
  <c r="CM61" i="24"/>
  <c r="DJ60" i="24" s="1"/>
  <c r="N46" i="24"/>
  <c r="CM15" i="24"/>
  <c r="DJ14" i="24" s="1"/>
  <c r="N22" i="24"/>
  <c r="R22" i="24" s="1"/>
  <c r="N51" i="24"/>
  <c r="N17" i="24"/>
  <c r="N20" i="24"/>
  <c r="R20" i="24" s="1"/>
  <c r="BY26" i="24"/>
  <c r="DI25" i="24" s="1"/>
  <c r="N34" i="24"/>
  <c r="R34" i="24" s="1"/>
  <c r="DG19" i="24" s="1"/>
  <c r="BB71" i="24"/>
  <c r="BB54" i="24"/>
  <c r="BB61" i="24"/>
  <c r="BB63" i="24"/>
  <c r="BB66" i="24"/>
  <c r="BB68" i="24"/>
  <c r="BB56" i="24"/>
  <c r="BB59" i="24"/>
  <c r="BB62" i="24"/>
  <c r="BB55" i="24"/>
  <c r="BB72" i="24"/>
  <c r="BB65" i="24"/>
  <c r="BB58" i="24"/>
  <c r="BB52" i="24"/>
  <c r="BB51" i="24"/>
  <c r="BB64" i="24"/>
  <c r="BB60" i="24"/>
  <c r="BB57" i="24"/>
  <c r="BB69" i="24"/>
  <c r="BB70" i="24"/>
  <c r="BB53" i="24"/>
  <c r="BB67" i="24"/>
  <c r="N30" i="24"/>
  <c r="R30" i="24" s="1"/>
  <c r="DG15" i="24" s="1"/>
  <c r="N36" i="24"/>
  <c r="N53" i="24"/>
  <c r="N70" i="24"/>
  <c r="R70" i="24" s="1"/>
  <c r="DG55" i="24" s="1"/>
  <c r="N27" i="24"/>
  <c r="R27" i="24" s="1"/>
  <c r="N74" i="24"/>
  <c r="AY70" i="24"/>
  <c r="N68" i="24"/>
  <c r="R68" i="24" s="1"/>
  <c r="DG53" i="24" s="1"/>
  <c r="CM39" i="24"/>
  <c r="DJ38" i="24" s="1"/>
  <c r="N82" i="24"/>
  <c r="AY63" i="24"/>
  <c r="CM51" i="24"/>
  <c r="DJ50" i="24" s="1"/>
  <c r="N61" i="24"/>
  <c r="N45" i="24"/>
  <c r="R45" i="24" s="1"/>
  <c r="DG30" i="24" s="1"/>
  <c r="N16" i="24"/>
  <c r="N52" i="24"/>
  <c r="AY51" i="24"/>
  <c r="N71" i="24"/>
  <c r="CM42" i="24"/>
  <c r="CM24" i="24"/>
  <c r="DJ23" i="24" s="1"/>
  <c r="CM38" i="24"/>
  <c r="CM20" i="24"/>
  <c r="CM18" i="24"/>
  <c r="CM32" i="24"/>
  <c r="DJ31" i="24" s="1"/>
  <c r="BY27" i="24"/>
  <c r="BY35" i="24"/>
  <c r="BY50" i="24"/>
  <c r="AY21" i="24"/>
  <c r="AY23" i="24"/>
  <c r="AY29" i="24"/>
  <c r="AY41" i="24"/>
  <c r="AY26" i="24"/>
  <c r="AY49" i="24"/>
  <c r="AY20" i="24"/>
  <c r="BY29" i="24"/>
  <c r="AY46" i="24"/>
  <c r="BB47" i="24"/>
  <c r="BB24" i="24"/>
  <c r="BB49" i="24"/>
  <c r="BB20" i="24"/>
  <c r="BB50" i="24"/>
  <c r="BB48" i="24"/>
  <c r="BB46" i="24"/>
  <c r="BB45" i="24"/>
  <c r="BB44" i="24"/>
  <c r="BB43" i="24"/>
  <c r="BB31" i="24"/>
  <c r="BB42" i="24"/>
  <c r="BB14" i="24"/>
  <c r="BC14" i="24" s="1"/>
  <c r="DH13" i="24" s="1"/>
  <c r="BB38" i="24"/>
  <c r="BB18" i="24"/>
  <c r="BB21" i="24"/>
  <c r="BB22" i="24"/>
  <c r="BB33" i="24"/>
  <c r="BB23" i="24"/>
  <c r="BB17" i="24"/>
  <c r="BB26" i="24"/>
  <c r="BB15" i="24"/>
  <c r="BB28" i="24"/>
  <c r="BB34" i="24"/>
  <c r="BB41" i="24"/>
  <c r="BB27" i="24"/>
  <c r="BB30" i="24"/>
  <c r="BB16" i="24"/>
  <c r="BB35" i="24"/>
  <c r="BB40" i="24"/>
  <c r="BB25" i="24"/>
  <c r="BB36" i="24"/>
  <c r="BB32" i="24"/>
  <c r="BB37" i="24"/>
  <c r="BB39" i="24"/>
  <c r="BB19" i="24"/>
  <c r="BB29" i="24"/>
  <c r="BY43" i="24"/>
  <c r="BY45" i="24"/>
  <c r="BY19" i="24"/>
  <c r="DI18" i="24" s="1"/>
  <c r="AY34" i="24"/>
  <c r="BY23" i="24"/>
  <c r="DI22" i="24" s="1"/>
  <c r="AY40" i="24"/>
  <c r="AY31" i="24"/>
  <c r="AY30" i="24"/>
  <c r="AY32" i="24"/>
  <c r="N23" i="24"/>
  <c r="R23" i="24" s="1"/>
  <c r="N24" i="24"/>
  <c r="R24" i="24" s="1"/>
  <c r="N79" i="24"/>
  <c r="N76" i="24"/>
  <c r="BY33" i="24"/>
  <c r="DI32" i="24" s="1"/>
  <c r="DM28" i="22"/>
  <c r="DM25" i="22"/>
  <c r="DM43" i="22"/>
  <c r="DM49" i="22"/>
  <c r="DM16" i="22"/>
  <c r="AY40" i="22"/>
  <c r="BC40" i="22" s="1"/>
  <c r="DH39" i="22" s="1"/>
  <c r="AY34" i="22"/>
  <c r="BC34" i="22" s="1"/>
  <c r="DH33" i="22" s="1"/>
  <c r="BY22" i="22"/>
  <c r="DI21" i="22" s="1"/>
  <c r="DM21" i="22" s="1"/>
  <c r="CM49" i="22"/>
  <c r="DJ48" i="22" s="1"/>
  <c r="DN48" i="22" s="1"/>
  <c r="CM18" i="22"/>
  <c r="DJ17" i="22" s="1"/>
  <c r="CM15" i="22"/>
  <c r="DJ14" i="22" s="1"/>
  <c r="BY19" i="22"/>
  <c r="DI18" i="22" s="1"/>
  <c r="DM18" i="22" s="1"/>
  <c r="CM24" i="22"/>
  <c r="DJ23" i="22" s="1"/>
  <c r="N37" i="22"/>
  <c r="R37" i="22" s="1"/>
  <c r="BY24" i="22"/>
  <c r="DI23" i="22" s="1"/>
  <c r="BY23" i="22"/>
  <c r="DI22" i="22" s="1"/>
  <c r="BY35" i="22"/>
  <c r="DI34" i="22" s="1"/>
  <c r="DM34" i="22" s="1"/>
  <c r="BY36" i="22"/>
  <c r="DI35" i="22" s="1"/>
  <c r="BY32" i="22"/>
  <c r="DI31" i="22" s="1"/>
  <c r="BY38" i="22"/>
  <c r="DI37" i="22" s="1"/>
  <c r="BY15" i="22"/>
  <c r="DI14" i="22" s="1"/>
  <c r="DM14" i="22" s="1"/>
  <c r="N47" i="22"/>
  <c r="R47" i="22" s="1"/>
  <c r="N39" i="21"/>
  <c r="BY42" i="21"/>
  <c r="BY36" i="21"/>
  <c r="BY37" i="21"/>
  <c r="BY17" i="21"/>
  <c r="N33" i="21"/>
  <c r="BY41" i="21"/>
  <c r="BY33" i="21"/>
  <c r="BY23" i="21"/>
  <c r="BY20" i="21"/>
  <c r="N49" i="21"/>
  <c r="BY34" i="21"/>
  <c r="BY47" i="21"/>
  <c r="N48" i="21" l="1"/>
  <c r="N34" i="21"/>
  <c r="N22" i="21"/>
  <c r="N46" i="21"/>
  <c r="N47" i="21"/>
  <c r="N65" i="22"/>
  <c r="R65" i="22" s="1"/>
  <c r="DG28" i="22" s="1"/>
  <c r="N78" i="21"/>
  <c r="N79" i="22"/>
  <c r="R79" i="22" s="1"/>
  <c r="DG42" i="22" s="1"/>
  <c r="N69" i="22"/>
  <c r="R69" i="22" s="1"/>
  <c r="DG32" i="22" s="1"/>
  <c r="DK21" i="22"/>
  <c r="N50" i="22"/>
  <c r="R50" i="22" s="1"/>
  <c r="DG13" i="22" s="1"/>
  <c r="N62" i="21"/>
  <c r="N80" i="22"/>
  <c r="R80" i="22" s="1"/>
  <c r="DG43" i="22" s="1"/>
  <c r="DK43" i="22" s="1"/>
  <c r="N70" i="22"/>
  <c r="R70" i="22" s="1"/>
  <c r="DG33" i="22" s="1"/>
  <c r="DK34" i="22" s="1"/>
  <c r="N42" i="22"/>
  <c r="R42" i="22" s="1"/>
  <c r="N43" i="22"/>
  <c r="R43" i="22" s="1"/>
  <c r="N55" i="22"/>
  <c r="R55" i="22" s="1"/>
  <c r="DG18" i="22" s="1"/>
  <c r="DK18" i="22" s="1"/>
  <c r="N70" i="21"/>
  <c r="N73" i="22"/>
  <c r="R73" i="22" s="1"/>
  <c r="DG36" i="22" s="1"/>
  <c r="DK36" i="22" s="1"/>
  <c r="N31" i="22"/>
  <c r="R31" i="22" s="1"/>
  <c r="N81" i="21"/>
  <c r="N62" i="22"/>
  <c r="R62" i="22" s="1"/>
  <c r="DG25" i="22" s="1"/>
  <c r="N65" i="21"/>
  <c r="N35" i="22"/>
  <c r="R35" i="22" s="1"/>
  <c r="N26" i="22"/>
  <c r="R26" i="22" s="1"/>
  <c r="N54" i="21"/>
  <c r="N24" i="21"/>
  <c r="N41" i="21"/>
  <c r="N56" i="21"/>
  <c r="N15" i="22"/>
  <c r="R15" i="22" s="1"/>
  <c r="N74" i="21"/>
  <c r="N59" i="22"/>
  <c r="R59" i="22" s="1"/>
  <c r="DG22" i="22" s="1"/>
  <c r="DK10" i="22" s="1"/>
  <c r="N68" i="21"/>
  <c r="N20" i="22"/>
  <c r="R20" i="22" s="1"/>
  <c r="N57" i="21"/>
  <c r="N69" i="21"/>
  <c r="AY57" i="24"/>
  <c r="AY59" i="24"/>
  <c r="AY33" i="24"/>
  <c r="AY56" i="24"/>
  <c r="AY50" i="24"/>
  <c r="AY42" i="24"/>
  <c r="AY43" i="24"/>
  <c r="AY35" i="24"/>
  <c r="AY17" i="24"/>
  <c r="BC17" i="24" s="1"/>
  <c r="DH16" i="24" s="1"/>
  <c r="AY37" i="24"/>
  <c r="BC37" i="24" s="1"/>
  <c r="DH36" i="24" s="1"/>
  <c r="AY72" i="24"/>
  <c r="BC72" i="24" s="1"/>
  <c r="DH71" i="24" s="1"/>
  <c r="AY27" i="24"/>
  <c r="AY25" i="24"/>
  <c r="BC25" i="24" s="1"/>
  <c r="DM46" i="22"/>
  <c r="N69" i="24"/>
  <c r="R69" i="24" s="1"/>
  <c r="DG54" i="24" s="1"/>
  <c r="N32" i="22"/>
  <c r="R32" i="22" s="1"/>
  <c r="N35" i="24"/>
  <c r="N67" i="24"/>
  <c r="R67" i="24" s="1"/>
  <c r="DG52" i="24" s="1"/>
  <c r="DK52" i="24" s="1"/>
  <c r="N83" i="22"/>
  <c r="R83" i="22" s="1"/>
  <c r="DG46" i="22" s="1"/>
  <c r="DM58" i="24"/>
  <c r="DQ58" i="24" s="1"/>
  <c r="N40" i="22"/>
  <c r="R40" i="22" s="1"/>
  <c r="DM27" i="22"/>
  <c r="N85" i="24"/>
  <c r="R85" i="24" s="1"/>
  <c r="DG70" i="24" s="1"/>
  <c r="N22" i="22"/>
  <c r="R22" i="22" s="1"/>
  <c r="N80" i="24"/>
  <c r="R80" i="24" s="1"/>
  <c r="DG65" i="24" s="1"/>
  <c r="DK66" i="24" s="1"/>
  <c r="N40" i="24"/>
  <c r="R40" i="24" s="1"/>
  <c r="DG25" i="24" s="1"/>
  <c r="DK26" i="24" s="1"/>
  <c r="N72" i="24"/>
  <c r="R72" i="24" s="1"/>
  <c r="DG57" i="24" s="1"/>
  <c r="N72" i="22"/>
  <c r="R72" i="22" s="1"/>
  <c r="DG35" i="22" s="1"/>
  <c r="N71" i="22"/>
  <c r="R71" i="22" s="1"/>
  <c r="DG34" i="22" s="1"/>
  <c r="N55" i="24"/>
  <c r="R55" i="24" s="1"/>
  <c r="DM56" i="24"/>
  <c r="DQ56" i="24" s="1"/>
  <c r="N50" i="24"/>
  <c r="R50" i="24" s="1"/>
  <c r="DG35" i="24" s="1"/>
  <c r="N32" i="24"/>
  <c r="R32" i="24" s="1"/>
  <c r="DG17" i="24" s="1"/>
  <c r="DM39" i="22"/>
  <c r="N65" i="24"/>
  <c r="R65" i="24" s="1"/>
  <c r="DG50" i="24" s="1"/>
  <c r="DK51" i="24" s="1"/>
  <c r="N62" i="24"/>
  <c r="R62" i="24" s="1"/>
  <c r="DG47" i="24" s="1"/>
  <c r="N64" i="22"/>
  <c r="R64" i="22" s="1"/>
  <c r="DG27" i="22" s="1"/>
  <c r="DK27" i="22" s="1"/>
  <c r="DK49" i="22"/>
  <c r="N46" i="22"/>
  <c r="R46" i="22" s="1"/>
  <c r="N39" i="24"/>
  <c r="R39" i="24" s="1"/>
  <c r="DG24" i="24" s="1"/>
  <c r="N41" i="22"/>
  <c r="R41" i="22" s="1"/>
  <c r="R73" i="24"/>
  <c r="DG58" i="24" s="1"/>
  <c r="DK59" i="24" s="1"/>
  <c r="DK41" i="22"/>
  <c r="R16" i="24"/>
  <c r="R83" i="24"/>
  <c r="DG68" i="24" s="1"/>
  <c r="CM28" i="21"/>
  <c r="DM37" i="22"/>
  <c r="DM35" i="22"/>
  <c r="DK32" i="22"/>
  <c r="R38" i="24"/>
  <c r="DG23" i="24" s="1"/>
  <c r="R76" i="24"/>
  <c r="DG61" i="24" s="1"/>
  <c r="DM22" i="22"/>
  <c r="R35" i="24"/>
  <c r="DG20" i="24" s="1"/>
  <c r="DK20" i="24" s="1"/>
  <c r="R61" i="24"/>
  <c r="DG46" i="24" s="1"/>
  <c r="DM54" i="24"/>
  <c r="DQ54" i="24" s="1"/>
  <c r="R74" i="24"/>
  <c r="DG59" i="24" s="1"/>
  <c r="DN20" i="22"/>
  <c r="R26" i="24"/>
  <c r="R43" i="24"/>
  <c r="DG28" i="24" s="1"/>
  <c r="DK29" i="24" s="1"/>
  <c r="R53" i="24"/>
  <c r="DG38" i="24" s="1"/>
  <c r="DM51" i="24"/>
  <c r="DQ51" i="24" s="1"/>
  <c r="DM42" i="22"/>
  <c r="DM71" i="24"/>
  <c r="DQ71" i="24" s="1"/>
  <c r="R42" i="24"/>
  <c r="DG27" i="24" s="1"/>
  <c r="DK27" i="24" s="1"/>
  <c r="R51" i="24"/>
  <c r="DN23" i="22"/>
  <c r="DM32" i="22"/>
  <c r="R79" i="24"/>
  <c r="DG64" i="24" s="1"/>
  <c r="DK64" i="24" s="1"/>
  <c r="R17" i="24"/>
  <c r="AY36" i="21"/>
  <c r="AY26" i="22"/>
  <c r="BC26" i="22" s="1"/>
  <c r="DH25" i="22" s="1"/>
  <c r="AY46" i="22"/>
  <c r="BC46" i="22" s="1"/>
  <c r="DH45" i="22" s="1"/>
  <c r="AY33" i="22"/>
  <c r="BC33" i="22" s="1"/>
  <c r="DH32" i="22" s="1"/>
  <c r="AY44" i="22"/>
  <c r="BC44" i="22" s="1"/>
  <c r="DH43" i="22" s="1"/>
  <c r="AY25" i="22"/>
  <c r="BC25" i="22" s="1"/>
  <c r="DH24" i="22" s="1"/>
  <c r="AY30" i="21"/>
  <c r="AY16" i="21"/>
  <c r="AY18" i="22"/>
  <c r="BC18" i="22" s="1"/>
  <c r="DH17" i="22" s="1"/>
  <c r="AY37" i="22"/>
  <c r="BC37" i="22" s="1"/>
  <c r="DH36" i="22" s="1"/>
  <c r="AY35" i="22"/>
  <c r="BC35" i="22" s="1"/>
  <c r="DH34" i="22" s="1"/>
  <c r="AY29" i="22"/>
  <c r="BC29" i="22" s="1"/>
  <c r="DH28" i="22" s="1"/>
  <c r="DL28" i="22" s="1"/>
  <c r="AY47" i="22"/>
  <c r="BC47" i="22" s="1"/>
  <c r="DH46" i="22" s="1"/>
  <c r="DL46" i="22" s="1"/>
  <c r="AY39" i="24"/>
  <c r="AY48" i="22"/>
  <c r="BC48" i="22" s="1"/>
  <c r="DH47" i="22" s="1"/>
  <c r="AY50" i="22"/>
  <c r="BC50" i="22" s="1"/>
  <c r="DH49" i="22" s="1"/>
  <c r="AY23" i="22"/>
  <c r="BC23" i="22" s="1"/>
  <c r="DH22" i="22" s="1"/>
  <c r="BC41" i="22"/>
  <c r="DH40" i="22" s="1"/>
  <c r="DL41" i="22" s="1"/>
  <c r="AY49" i="21"/>
  <c r="AY34" i="21"/>
  <c r="AY23" i="21"/>
  <c r="AY38" i="21"/>
  <c r="AY43" i="21"/>
  <c r="AY46" i="21"/>
  <c r="DL34" i="22"/>
  <c r="AY17" i="21"/>
  <c r="BC17" i="21" s="1"/>
  <c r="DH16" i="21" s="1"/>
  <c r="DL17" i="22"/>
  <c r="AY32" i="21"/>
  <c r="DN36" i="24"/>
  <c r="DR36" i="24" s="1"/>
  <c r="DN33" i="22"/>
  <c r="DN28" i="22"/>
  <c r="DN49" i="24"/>
  <c r="DR49" i="24" s="1"/>
  <c r="CM20" i="21"/>
  <c r="CM16" i="21"/>
  <c r="DN15" i="22"/>
  <c r="DN39" i="22"/>
  <c r="CM45" i="22"/>
  <c r="DJ44" i="22" s="1"/>
  <c r="DN44" i="22" s="1"/>
  <c r="DN62" i="24"/>
  <c r="DR62" i="24" s="1"/>
  <c r="DN32" i="22"/>
  <c r="CM21" i="21"/>
  <c r="DN24" i="22"/>
  <c r="DN22" i="24"/>
  <c r="DR22" i="24" s="1"/>
  <c r="DN39" i="24"/>
  <c r="DR39" i="24" s="1"/>
  <c r="AY16" i="22"/>
  <c r="BC16" i="22" s="1"/>
  <c r="DH15" i="22" s="1"/>
  <c r="DL16" i="22" s="1"/>
  <c r="AY38" i="24"/>
  <c r="BC38" i="24" s="1"/>
  <c r="DH37" i="24" s="1"/>
  <c r="AY22" i="21"/>
  <c r="AY66" i="24"/>
  <c r="BC66" i="24" s="1"/>
  <c r="DH65" i="24" s="1"/>
  <c r="AY19" i="22"/>
  <c r="BC19" i="22" s="1"/>
  <c r="DH18" i="22" s="1"/>
  <c r="DL18" i="22" s="1"/>
  <c r="AY39" i="22"/>
  <c r="BC39" i="22" s="1"/>
  <c r="DH38" i="22" s="1"/>
  <c r="DL39" i="22" s="1"/>
  <c r="AY21" i="22"/>
  <c r="BC21" i="22" s="1"/>
  <c r="DH20" i="22" s="1"/>
  <c r="AY47" i="24"/>
  <c r="BC47" i="24" s="1"/>
  <c r="DH46" i="24" s="1"/>
  <c r="AY38" i="22"/>
  <c r="BC38" i="22" s="1"/>
  <c r="DH37" i="22" s="1"/>
  <c r="DL37" i="22" s="1"/>
  <c r="AY24" i="22"/>
  <c r="BC24" i="22" s="1"/>
  <c r="DH23" i="22" s="1"/>
  <c r="DL24" i="22" s="1"/>
  <c r="AY47" i="21"/>
  <c r="BC47" i="21" s="1"/>
  <c r="DH46" i="21" s="1"/>
  <c r="AY58" i="24"/>
  <c r="BC58" i="24" s="1"/>
  <c r="DH57" i="24" s="1"/>
  <c r="AY37" i="21"/>
  <c r="BC37" i="21" s="1"/>
  <c r="DH36" i="21" s="1"/>
  <c r="BC24" i="24"/>
  <c r="DH23" i="24" s="1"/>
  <c r="AY22" i="22"/>
  <c r="BC22" i="22" s="1"/>
  <c r="DH21" i="22" s="1"/>
  <c r="DL21" i="22" s="1"/>
  <c r="AY39" i="21"/>
  <c r="BC29" i="24"/>
  <c r="DH28" i="24" s="1"/>
  <c r="AY44" i="21"/>
  <c r="AY15" i="22"/>
  <c r="BC15" i="22" s="1"/>
  <c r="DH14" i="22" s="1"/>
  <c r="DL14" i="22" s="1"/>
  <c r="AY36" i="22"/>
  <c r="BC36" i="22" s="1"/>
  <c r="DH35" i="22" s="1"/>
  <c r="DL35" i="22" s="1"/>
  <c r="AY16" i="24"/>
  <c r="BC16" i="24" s="1"/>
  <c r="AY49" i="22"/>
  <c r="BC49" i="22" s="1"/>
  <c r="DH48" i="22" s="1"/>
  <c r="AY40" i="21"/>
  <c r="AY25" i="21"/>
  <c r="BC25" i="21" s="1"/>
  <c r="DH24" i="21" s="1"/>
  <c r="AY15" i="21"/>
  <c r="AY33" i="21"/>
  <c r="BC33" i="21" s="1"/>
  <c r="DH32" i="21" s="1"/>
  <c r="AY20" i="21"/>
  <c r="BC20" i="21" s="1"/>
  <c r="DH19" i="21" s="1"/>
  <c r="AY27" i="21"/>
  <c r="BC27" i="21" s="1"/>
  <c r="DH26" i="21" s="1"/>
  <c r="AY18" i="21"/>
  <c r="AY43" i="22"/>
  <c r="BC43" i="22" s="1"/>
  <c r="DH42" i="22" s="1"/>
  <c r="DL43" i="22" s="1"/>
  <c r="AY20" i="22"/>
  <c r="BC20" i="22" s="1"/>
  <c r="DH19" i="22" s="1"/>
  <c r="AY19" i="21"/>
  <c r="R46" i="24"/>
  <c r="DG31" i="24" s="1"/>
  <c r="DK31" i="24" s="1"/>
  <c r="R52" i="24"/>
  <c r="DG37" i="24" s="1"/>
  <c r="DK38" i="24" s="1"/>
  <c r="DK38" i="22"/>
  <c r="N44" i="24"/>
  <c r="R44" i="24" s="1"/>
  <c r="DG29" i="24" s="1"/>
  <c r="DK30" i="24" s="1"/>
  <c r="R28" i="24"/>
  <c r="DG13" i="24" s="1"/>
  <c r="DK14" i="24" s="1"/>
  <c r="R77" i="24"/>
  <c r="DG62" i="24" s="1"/>
  <c r="N81" i="24"/>
  <c r="R81" i="24" s="1"/>
  <c r="DG66" i="24" s="1"/>
  <c r="N63" i="24"/>
  <c r="R63" i="24" s="1"/>
  <c r="DG48" i="24" s="1"/>
  <c r="R37" i="24"/>
  <c r="DG22" i="24" s="1"/>
  <c r="R21" i="24"/>
  <c r="N59" i="24"/>
  <c r="R59" i="24" s="1"/>
  <c r="DG44" i="24" s="1"/>
  <c r="N57" i="24"/>
  <c r="R57" i="24" s="1"/>
  <c r="DG42" i="24" s="1"/>
  <c r="DK42" i="24" s="1"/>
  <c r="N75" i="24"/>
  <c r="R75" i="24" s="1"/>
  <c r="DG60" i="24" s="1"/>
  <c r="R36" i="24"/>
  <c r="DG21" i="24" s="1"/>
  <c r="N31" i="24"/>
  <c r="R31" i="24" s="1"/>
  <c r="DG16" i="24" s="1"/>
  <c r="DK17" i="24" s="1"/>
  <c r="R82" i="24"/>
  <c r="DG67" i="24" s="1"/>
  <c r="DK68" i="24" s="1"/>
  <c r="R58" i="24"/>
  <c r="DG43" i="24" s="1"/>
  <c r="DK44" i="24" s="1"/>
  <c r="DK26" i="22"/>
  <c r="DK14" i="22"/>
  <c r="DM30" i="24"/>
  <c r="DQ30" i="24" s="1"/>
  <c r="DK19" i="22"/>
  <c r="DK20" i="22"/>
  <c r="BC15" i="21"/>
  <c r="DH14" i="21" s="1"/>
  <c r="DK16" i="22"/>
  <c r="DK17" i="22"/>
  <c r="DM70" i="24"/>
  <c r="DQ70" i="24" s="1"/>
  <c r="DN53" i="24"/>
  <c r="DR53" i="24" s="1"/>
  <c r="DK15" i="22"/>
  <c r="DN70" i="24"/>
  <c r="DR70" i="24" s="1"/>
  <c r="DN69" i="24"/>
  <c r="DR69" i="24" s="1"/>
  <c r="Q77" i="21"/>
  <c r="R77" i="21" s="1"/>
  <c r="DG40" i="21" s="1"/>
  <c r="Q76" i="21"/>
  <c r="R76" i="21" s="1"/>
  <c r="DG39" i="21" s="1"/>
  <c r="Q14" i="21"/>
  <c r="R14" i="21" s="1"/>
  <c r="Q32" i="21"/>
  <c r="R32" i="21" s="1"/>
  <c r="Q42" i="21"/>
  <c r="R42" i="21" s="1"/>
  <c r="Q33" i="21"/>
  <c r="R33" i="21" s="1"/>
  <c r="Q49" i="21"/>
  <c r="R49" i="21" s="1"/>
  <c r="Q39" i="21"/>
  <c r="R39" i="21" s="1"/>
  <c r="Q36" i="21"/>
  <c r="Q64" i="21"/>
  <c r="R64" i="21" s="1"/>
  <c r="DG27" i="21" s="1"/>
  <c r="Q48" i="21"/>
  <c r="R48" i="21" s="1"/>
  <c r="Q47" i="21"/>
  <c r="R47" i="21" s="1"/>
  <c r="Q28" i="21"/>
  <c r="Q81" i="21"/>
  <c r="R81" i="21" s="1"/>
  <c r="DG44" i="21" s="1"/>
  <c r="Q25" i="21"/>
  <c r="R25" i="21" s="1"/>
  <c r="Q22" i="21"/>
  <c r="R22" i="21" s="1"/>
  <c r="Q55" i="21"/>
  <c r="R55" i="21" s="1"/>
  <c r="DG18" i="21" s="1"/>
  <c r="Q17" i="21"/>
  <c r="R17" i="21" s="1"/>
  <c r="Q38" i="21"/>
  <c r="R38" i="21" s="1"/>
  <c r="Q68" i="21"/>
  <c r="R68" i="21" s="1"/>
  <c r="DG31" i="21" s="1"/>
  <c r="Q84" i="21"/>
  <c r="R84" i="21" s="1"/>
  <c r="DG47" i="21" s="1"/>
  <c r="Q27" i="21"/>
  <c r="R27" i="21" s="1"/>
  <c r="Q73" i="21"/>
  <c r="Q82" i="21"/>
  <c r="R82" i="21" s="1"/>
  <c r="DG45" i="21" s="1"/>
  <c r="Q66" i="21"/>
  <c r="R66" i="21" s="1"/>
  <c r="DG29" i="21" s="1"/>
  <c r="Q58" i="21"/>
  <c r="R58" i="21" s="1"/>
  <c r="DG21" i="21" s="1"/>
  <c r="Q35" i="21"/>
  <c r="R35" i="21" s="1"/>
  <c r="Q69" i="21"/>
  <c r="R69" i="21" s="1"/>
  <c r="DG32" i="21" s="1"/>
  <c r="Q34" i="21"/>
  <c r="R34" i="21" s="1"/>
  <c r="Q67" i="21"/>
  <c r="R67" i="21" s="1"/>
  <c r="DG30" i="21" s="1"/>
  <c r="Q45" i="21"/>
  <c r="Q31" i="21"/>
  <c r="R31" i="21" s="1"/>
  <c r="Q78" i="21"/>
  <c r="R78" i="21" s="1"/>
  <c r="DG41" i="21" s="1"/>
  <c r="Q62" i="21"/>
  <c r="R62" i="21" s="1"/>
  <c r="DG25" i="21" s="1"/>
  <c r="Q54" i="21"/>
  <c r="R54" i="21" s="1"/>
  <c r="DG17" i="21" s="1"/>
  <c r="Q20" i="21"/>
  <c r="R20" i="21" s="1"/>
  <c r="Q46" i="21"/>
  <c r="R46" i="21" s="1"/>
  <c r="Q60" i="21"/>
  <c r="R60" i="21" s="1"/>
  <c r="DG23" i="21" s="1"/>
  <c r="Q30" i="21"/>
  <c r="R30" i="21" s="1"/>
  <c r="Q43" i="21"/>
  <c r="R43" i="21" s="1"/>
  <c r="Q24" i="21"/>
  <c r="Q80" i="21"/>
  <c r="R80" i="21" s="1"/>
  <c r="DG43" i="21" s="1"/>
  <c r="Q85" i="21"/>
  <c r="R85" i="21" s="1"/>
  <c r="DG48" i="21" s="1"/>
  <c r="Q18" i="21"/>
  <c r="R18" i="21" s="1"/>
  <c r="Q26" i="21"/>
  <c r="R26" i="21" s="1"/>
  <c r="Q15" i="21"/>
  <c r="R15" i="21" s="1"/>
  <c r="Q21" i="21"/>
  <c r="R21" i="21" s="1"/>
  <c r="Q50" i="21"/>
  <c r="R50" i="21" s="1"/>
  <c r="DG13" i="21" s="1"/>
  <c r="Q37" i="21"/>
  <c r="R37" i="21" s="1"/>
  <c r="Q51" i="21"/>
  <c r="R51" i="21" s="1"/>
  <c r="DG14" i="21" s="1"/>
  <c r="Q65" i="21"/>
  <c r="R65" i="21" s="1"/>
  <c r="DG28" i="21" s="1"/>
  <c r="Q29" i="21"/>
  <c r="R29" i="21" s="1"/>
  <c r="Q70" i="21"/>
  <c r="R70" i="21" s="1"/>
  <c r="DG33" i="21" s="1"/>
  <c r="Q53" i="21"/>
  <c r="R53" i="21" s="1"/>
  <c r="DG16" i="21" s="1"/>
  <c r="Q72" i="21"/>
  <c r="R72" i="21" s="1"/>
  <c r="DG35" i="21" s="1"/>
  <c r="Q57" i="21"/>
  <c r="Q83" i="21"/>
  <c r="R83" i="21" s="1"/>
  <c r="DG46" i="21" s="1"/>
  <c r="Q74" i="21"/>
  <c r="Q86" i="21"/>
  <c r="R86" i="21" s="1"/>
  <c r="DG49" i="21" s="1"/>
  <c r="Q23" i="21"/>
  <c r="R23" i="21" s="1"/>
  <c r="Q19" i="21"/>
  <c r="R19" i="21" s="1"/>
  <c r="Q40" i="21"/>
  <c r="R40" i="21" s="1"/>
  <c r="Q63" i="21"/>
  <c r="R63" i="21" s="1"/>
  <c r="DG26" i="21" s="1"/>
  <c r="Q52" i="21"/>
  <c r="R52" i="21" s="1"/>
  <c r="DG15" i="21" s="1"/>
  <c r="Q41" i="21"/>
  <c r="R41" i="21" s="1"/>
  <c r="Q44" i="21"/>
  <c r="R44" i="21" s="1"/>
  <c r="Q61" i="21"/>
  <c r="R61" i="21" s="1"/>
  <c r="DG24" i="21" s="1"/>
  <c r="Q79" i="21"/>
  <c r="R79" i="21" s="1"/>
  <c r="DG42" i="21" s="1"/>
  <c r="Q16" i="21"/>
  <c r="R16" i="21" s="1"/>
  <c r="Q75" i="21"/>
  <c r="R75" i="21" s="1"/>
  <c r="DG38" i="21" s="1"/>
  <c r="Q59" i="21"/>
  <c r="Q56" i="21"/>
  <c r="Q71" i="21"/>
  <c r="R71" i="21" s="1"/>
  <c r="DG34" i="21" s="1"/>
  <c r="DN40" i="22"/>
  <c r="R28" i="21"/>
  <c r="R36" i="21"/>
  <c r="DN54" i="24"/>
  <c r="DR54" i="24" s="1"/>
  <c r="BB31" i="21"/>
  <c r="BB15" i="21"/>
  <c r="BB17" i="21"/>
  <c r="BB41" i="21"/>
  <c r="BC41" i="21" s="1"/>
  <c r="DH40" i="21" s="1"/>
  <c r="BB42" i="21"/>
  <c r="BB22" i="21"/>
  <c r="BB24" i="21"/>
  <c r="BC24" i="21" s="1"/>
  <c r="DH23" i="21" s="1"/>
  <c r="BB19" i="21"/>
  <c r="BB26" i="21"/>
  <c r="BC26" i="21" s="1"/>
  <c r="DH25" i="21" s="1"/>
  <c r="BB50" i="21"/>
  <c r="BB21" i="21"/>
  <c r="BB35" i="21"/>
  <c r="BC35" i="21" s="1"/>
  <c r="DH34" i="21" s="1"/>
  <c r="BB37" i="21"/>
  <c r="BB45" i="21"/>
  <c r="BC45" i="21" s="1"/>
  <c r="DH44" i="21" s="1"/>
  <c r="BB29" i="21"/>
  <c r="BB28" i="21"/>
  <c r="BC28" i="21" s="1"/>
  <c r="DH27" i="21" s="1"/>
  <c r="BB32" i="21"/>
  <c r="BB44" i="21"/>
  <c r="BB18" i="21"/>
  <c r="BB38" i="21"/>
  <c r="BC38" i="21" s="1"/>
  <c r="DH37" i="21" s="1"/>
  <c r="BB23" i="21"/>
  <c r="BC23" i="21" s="1"/>
  <c r="DH22" i="21" s="1"/>
  <c r="BB40" i="21"/>
  <c r="BB43" i="21"/>
  <c r="BB14" i="21"/>
  <c r="BC14" i="21" s="1"/>
  <c r="DH13" i="21" s="1"/>
  <c r="BB49" i="21"/>
  <c r="BB20" i="21"/>
  <c r="BB39" i="21"/>
  <c r="BB16" i="21"/>
  <c r="BB46" i="21"/>
  <c r="BB27" i="21"/>
  <c r="BB36" i="21"/>
  <c r="BC36" i="21" s="1"/>
  <c r="DH35" i="21" s="1"/>
  <c r="BB47" i="21"/>
  <c r="BB34" i="21"/>
  <c r="BB30" i="21"/>
  <c r="BC30" i="21" s="1"/>
  <c r="DH29" i="21" s="1"/>
  <c r="BB25" i="21"/>
  <c r="BB33" i="21"/>
  <c r="BB48" i="21"/>
  <c r="BC48" i="21" s="1"/>
  <c r="DH47" i="21" s="1"/>
  <c r="BC31" i="21"/>
  <c r="DH30" i="21" s="1"/>
  <c r="R73" i="21"/>
  <c r="DG36" i="21" s="1"/>
  <c r="CM29" i="21"/>
  <c r="CM17" i="22"/>
  <c r="DJ16" i="22" s="1"/>
  <c r="DN16" i="22" s="1"/>
  <c r="DN42" i="22"/>
  <c r="DK39" i="22"/>
  <c r="CM30" i="21"/>
  <c r="DK42" i="22"/>
  <c r="DK40" i="22"/>
  <c r="N45" i="22"/>
  <c r="R45" i="22" s="1"/>
  <c r="N21" i="22"/>
  <c r="R21" i="22" s="1"/>
  <c r="AY21" i="21"/>
  <c r="DN18" i="22"/>
  <c r="DM55" i="24"/>
  <c r="DQ55" i="24" s="1"/>
  <c r="N67" i="22"/>
  <c r="R67" i="22" s="1"/>
  <c r="DG30" i="22" s="1"/>
  <c r="DK30" i="22" s="1"/>
  <c r="DM65" i="24"/>
  <c r="DQ65" i="24" s="1"/>
  <c r="DN21" i="22"/>
  <c r="DN34" i="22"/>
  <c r="N82" i="22"/>
  <c r="R82" i="22" s="1"/>
  <c r="DG45" i="22" s="1"/>
  <c r="DK45" i="22" s="1"/>
  <c r="R59" i="21"/>
  <c r="DG22" i="21" s="1"/>
  <c r="DN49" i="22"/>
  <c r="BC67" i="24"/>
  <c r="DH66" i="24" s="1"/>
  <c r="AY50" i="21"/>
  <c r="DN19" i="22"/>
  <c r="DN25" i="22"/>
  <c r="DL25" i="22"/>
  <c r="N61" i="22"/>
  <c r="R61" i="22" s="1"/>
  <c r="DG24" i="22" s="1"/>
  <c r="DK29" i="22"/>
  <c r="DM15" i="22"/>
  <c r="R47" i="24"/>
  <c r="DG32" i="24" s="1"/>
  <c r="R45" i="21"/>
  <c r="DN50" i="24"/>
  <c r="DR50" i="24" s="1"/>
  <c r="DN67" i="24"/>
  <c r="DR67" i="24" s="1"/>
  <c r="DN46" i="22"/>
  <c r="DN45" i="22"/>
  <c r="DN56" i="24"/>
  <c r="DR56" i="24" s="1"/>
  <c r="BC23" i="24"/>
  <c r="DH22" i="24" s="1"/>
  <c r="DL27" i="22"/>
  <c r="DN63" i="24"/>
  <c r="DR63" i="24" s="1"/>
  <c r="DN59" i="24"/>
  <c r="DR59" i="24" s="1"/>
  <c r="DN14" i="22"/>
  <c r="CM38" i="22"/>
  <c r="DJ37" i="22" s="1"/>
  <c r="DN10" i="22" s="1"/>
  <c r="DN60" i="24"/>
  <c r="DR60" i="24" s="1"/>
  <c r="R71" i="24"/>
  <c r="DG56" i="24" s="1"/>
  <c r="DK56" i="24" s="1"/>
  <c r="DN35" i="22"/>
  <c r="AY29" i="21"/>
  <c r="DN21" i="24"/>
  <c r="DR21" i="24" s="1"/>
  <c r="DM45" i="22"/>
  <c r="AY42" i="21"/>
  <c r="DN29" i="22"/>
  <c r="DN29" i="24"/>
  <c r="DR29" i="24" s="1"/>
  <c r="DM30" i="22"/>
  <c r="R60" i="24"/>
  <c r="DG45" i="24" s="1"/>
  <c r="DN28" i="24"/>
  <c r="DR28" i="24" s="1"/>
  <c r="DN52" i="24"/>
  <c r="DR52" i="24" s="1"/>
  <c r="DN58" i="24"/>
  <c r="DR58" i="24" s="1"/>
  <c r="BC65" i="24"/>
  <c r="DH64" i="24" s="1"/>
  <c r="DN46" i="24"/>
  <c r="DR46" i="24" s="1"/>
  <c r="DM52" i="24"/>
  <c r="DQ52" i="24" s="1"/>
  <c r="DN25" i="24"/>
  <c r="DR25" i="24" s="1"/>
  <c r="DN55" i="24"/>
  <c r="DR55" i="24" s="1"/>
  <c r="DN64" i="24"/>
  <c r="DR64" i="24" s="1"/>
  <c r="BC56" i="24"/>
  <c r="DH55" i="24" s="1"/>
  <c r="DL56" i="24" s="1"/>
  <c r="DP56" i="24" s="1"/>
  <c r="DM59" i="24"/>
  <c r="DQ59" i="24" s="1"/>
  <c r="DK15" i="24"/>
  <c r="DN68" i="24"/>
  <c r="DR68" i="24" s="1"/>
  <c r="BC60" i="24"/>
  <c r="DH59" i="24" s="1"/>
  <c r="DM68" i="24"/>
  <c r="DQ68" i="24" s="1"/>
  <c r="DN35" i="24"/>
  <c r="DR35" i="24" s="1"/>
  <c r="BC64" i="24"/>
  <c r="DH63" i="24" s="1"/>
  <c r="BC52" i="24"/>
  <c r="DH51" i="24" s="1"/>
  <c r="DN44" i="24"/>
  <c r="DR44" i="24" s="1"/>
  <c r="DK34" i="24"/>
  <c r="BC69" i="24"/>
  <c r="DH68" i="24" s="1"/>
  <c r="DM69" i="24"/>
  <c r="DQ69" i="24" s="1"/>
  <c r="BC68" i="24"/>
  <c r="DH67" i="24" s="1"/>
  <c r="DM61" i="24"/>
  <c r="DQ61" i="24" s="1"/>
  <c r="DN51" i="24"/>
  <c r="DR51" i="24" s="1"/>
  <c r="BC70" i="24"/>
  <c r="DH69" i="24" s="1"/>
  <c r="DN61" i="24"/>
  <c r="DR61" i="24" s="1"/>
  <c r="BC55" i="24"/>
  <c r="DH54" i="24" s="1"/>
  <c r="BC41" i="24"/>
  <c r="DH40" i="24" s="1"/>
  <c r="DM53" i="24"/>
  <c r="DQ53" i="24" s="1"/>
  <c r="DN45" i="24"/>
  <c r="DR45" i="24" s="1"/>
  <c r="BC53" i="24"/>
  <c r="DH52" i="24" s="1"/>
  <c r="BC51" i="24"/>
  <c r="DH50" i="24" s="1"/>
  <c r="BC28" i="24"/>
  <c r="DH27" i="24" s="1"/>
  <c r="DM64" i="24"/>
  <c r="DQ64" i="24" s="1"/>
  <c r="DN57" i="24"/>
  <c r="DR57" i="24" s="1"/>
  <c r="BC57" i="24"/>
  <c r="DH56" i="24" s="1"/>
  <c r="BC18" i="24"/>
  <c r="DH17" i="24" s="1"/>
  <c r="BC15" i="24"/>
  <c r="DH14" i="24" s="1"/>
  <c r="DL14" i="24" s="1"/>
  <c r="DP14" i="24" s="1"/>
  <c r="DN47" i="24"/>
  <c r="DR47" i="24" s="1"/>
  <c r="BC71" i="24"/>
  <c r="DH70" i="24" s="1"/>
  <c r="DK35" i="24"/>
  <c r="DI49" i="24"/>
  <c r="DM50" i="24" s="1"/>
  <c r="DQ50" i="24" s="1"/>
  <c r="DI34" i="24"/>
  <c r="DM35" i="24" s="1"/>
  <c r="DQ35" i="24" s="1"/>
  <c r="DI31" i="24"/>
  <c r="DM32" i="24" s="1"/>
  <c r="DQ32" i="24" s="1"/>
  <c r="BC59" i="24"/>
  <c r="DH58" i="24" s="1"/>
  <c r="BC62" i="24"/>
  <c r="DH61" i="24" s="1"/>
  <c r="DK55" i="24"/>
  <c r="BC63" i="24"/>
  <c r="DH62" i="24" s="1"/>
  <c r="DG49" i="24"/>
  <c r="DJ37" i="24"/>
  <c r="DN38" i="24" s="1"/>
  <c r="DR38" i="24" s="1"/>
  <c r="BC32" i="24"/>
  <c r="DH31" i="24" s="1"/>
  <c r="DJ15" i="24"/>
  <c r="DN15" i="24" s="1"/>
  <c r="DR15" i="24" s="1"/>
  <c r="DK63" i="24"/>
  <c r="DI38" i="24"/>
  <c r="DM38" i="24" s="1"/>
  <c r="DQ38" i="24" s="1"/>
  <c r="DI47" i="24"/>
  <c r="DM48" i="24" s="1"/>
  <c r="DQ48" i="24" s="1"/>
  <c r="DI44" i="24"/>
  <c r="DM44" i="24" s="1"/>
  <c r="DQ44" i="24" s="1"/>
  <c r="BC39" i="24"/>
  <c r="DH38" i="24" s="1"/>
  <c r="DJ17" i="24"/>
  <c r="DN17" i="24" s="1"/>
  <c r="DR17" i="24" s="1"/>
  <c r="DK18" i="24"/>
  <c r="DG40" i="24"/>
  <c r="DK40" i="24" s="1"/>
  <c r="DN34" i="24"/>
  <c r="DR34" i="24" s="1"/>
  <c r="DI16" i="24"/>
  <c r="DI20" i="24"/>
  <c r="DM20" i="24" s="1"/>
  <c r="DQ20" i="24" s="1"/>
  <c r="BC46" i="24"/>
  <c r="DH45" i="24" s="1"/>
  <c r="DJ41" i="24"/>
  <c r="DN41" i="24" s="1"/>
  <c r="DR41" i="24" s="1"/>
  <c r="DI28" i="24"/>
  <c r="DM28" i="24" s="1"/>
  <c r="DQ28" i="24" s="1"/>
  <c r="DI26" i="24"/>
  <c r="DM26" i="24" s="1"/>
  <c r="DQ26" i="24" s="1"/>
  <c r="BC61" i="24"/>
  <c r="DH60" i="24" s="1"/>
  <c r="BC45" i="24"/>
  <c r="DH44" i="24" s="1"/>
  <c r="BC21" i="24"/>
  <c r="DH20" i="24" s="1"/>
  <c r="BC36" i="24"/>
  <c r="DH35" i="24" s="1"/>
  <c r="DI40" i="24"/>
  <c r="DM40" i="24" s="1"/>
  <c r="DQ40" i="24" s="1"/>
  <c r="DG36" i="24"/>
  <c r="DK36" i="24" s="1"/>
  <c r="DI36" i="24"/>
  <c r="DM37" i="24" s="1"/>
  <c r="DQ37" i="24" s="1"/>
  <c r="DI42" i="24"/>
  <c r="DM42" i="24" s="1"/>
  <c r="DQ42" i="24" s="1"/>
  <c r="DK39" i="24"/>
  <c r="DJ19" i="24"/>
  <c r="DN19" i="24" s="1"/>
  <c r="DR19" i="24" s="1"/>
  <c r="DK69" i="24"/>
  <c r="DK54" i="24"/>
  <c r="DK53" i="24"/>
  <c r="BC54" i="24"/>
  <c r="DH53" i="24" s="1"/>
  <c r="DM15" i="24"/>
  <c r="DQ15" i="24" s="1"/>
  <c r="DM18" i="24"/>
  <c r="DQ18" i="24" s="1"/>
  <c r="DJ13" i="24"/>
  <c r="DN14" i="24" s="1"/>
  <c r="DR14" i="24" s="1"/>
  <c r="DN30" i="24"/>
  <c r="DR30" i="24" s="1"/>
  <c r="DN32" i="24"/>
  <c r="DR32" i="24" s="1"/>
  <c r="DM24" i="24"/>
  <c r="DQ24" i="24" s="1"/>
  <c r="BC26" i="24"/>
  <c r="DH25" i="24" s="1"/>
  <c r="BC48" i="24"/>
  <c r="DM19" i="24"/>
  <c r="DQ19" i="24" s="1"/>
  <c r="BC49" i="24"/>
  <c r="BC31" i="24"/>
  <c r="BC50" i="24"/>
  <c r="BC44" i="24"/>
  <c r="DM14" i="24"/>
  <c r="DQ14" i="24" s="1"/>
  <c r="DN33" i="24"/>
  <c r="DR33" i="24" s="1"/>
  <c r="BC35" i="24"/>
  <c r="DH34" i="24" s="1"/>
  <c r="BC19" i="24"/>
  <c r="DK19" i="24"/>
  <c r="BC40" i="24"/>
  <c r="BC27" i="24"/>
  <c r="DH26" i="24" s="1"/>
  <c r="DM25" i="24"/>
  <c r="DQ25" i="24" s="1"/>
  <c r="DM46" i="24"/>
  <c r="DQ46" i="24" s="1"/>
  <c r="BC43" i="24"/>
  <c r="DH42" i="24" s="1"/>
  <c r="BC34" i="24"/>
  <c r="DH33" i="24" s="1"/>
  <c r="BC33" i="24"/>
  <c r="DM22" i="24"/>
  <c r="DQ22" i="24" s="1"/>
  <c r="BC20" i="24"/>
  <c r="DM23" i="24"/>
  <c r="DQ23" i="24" s="1"/>
  <c r="DM33" i="24"/>
  <c r="DQ33" i="24" s="1"/>
  <c r="BC30" i="24"/>
  <c r="BC22" i="24"/>
  <c r="BC42" i="24"/>
  <c r="DM23" i="22"/>
  <c r="DM19" i="22"/>
  <c r="DM10" i="22"/>
  <c r="DM24" i="22"/>
  <c r="DM36" i="22"/>
  <c r="DM31" i="22"/>
  <c r="DM38" i="22"/>
  <c r="DL45" i="22"/>
  <c r="DL32" i="22"/>
  <c r="DL30" i="22"/>
  <c r="DL26" i="22"/>
  <c r="DL44" i="22"/>
  <c r="DL31" i="22"/>
  <c r="DK47" i="22"/>
  <c r="DL33" i="22"/>
  <c r="DL47" i="22"/>
  <c r="DK33" i="22"/>
  <c r="DK71" i="24" l="1"/>
  <c r="DK70" i="24"/>
  <c r="R74" i="21"/>
  <c r="DG37" i="21" s="1"/>
  <c r="DK37" i="21" s="1"/>
  <c r="R57" i="21"/>
  <c r="DG20" i="21" s="1"/>
  <c r="DK28" i="24"/>
  <c r="DK37" i="22"/>
  <c r="DK22" i="22"/>
  <c r="DK47" i="24"/>
  <c r="DK23" i="22"/>
  <c r="DK44" i="22"/>
  <c r="DK60" i="24"/>
  <c r="DK25" i="22"/>
  <c r="R24" i="21"/>
  <c r="DK23" i="24"/>
  <c r="DK48" i="24"/>
  <c r="R56" i="21"/>
  <c r="DG19" i="21" s="1"/>
  <c r="DK10" i="21" s="1"/>
  <c r="DK45" i="24"/>
  <c r="DK35" i="22"/>
  <c r="DL28" i="24"/>
  <c r="DP28" i="24" s="1"/>
  <c r="DL60" i="24"/>
  <c r="DP60" i="24" s="1"/>
  <c r="DL23" i="24"/>
  <c r="DP23" i="24" s="1"/>
  <c r="DK25" i="24"/>
  <c r="DK24" i="24"/>
  <c r="DK24" i="22"/>
  <c r="DK65" i="24"/>
  <c r="DK46" i="24"/>
  <c r="DK67" i="24"/>
  <c r="DK40" i="21"/>
  <c r="DK28" i="22"/>
  <c r="DK32" i="24"/>
  <c r="DK22" i="24"/>
  <c r="DK24" i="21"/>
  <c r="DK21" i="21"/>
  <c r="DK31" i="22"/>
  <c r="DK16" i="21"/>
  <c r="DK18" i="21"/>
  <c r="DK43" i="21"/>
  <c r="DL38" i="22"/>
  <c r="BC32" i="21"/>
  <c r="DH31" i="21" s="1"/>
  <c r="DL31" i="21" s="1"/>
  <c r="DL29" i="22"/>
  <c r="BC39" i="21"/>
  <c r="DH38" i="21" s="1"/>
  <c r="DL38" i="21" s="1"/>
  <c r="BC46" i="21"/>
  <c r="DH45" i="21" s="1"/>
  <c r="DL24" i="21"/>
  <c r="DL40" i="22"/>
  <c r="DL48" i="22"/>
  <c r="BC16" i="21"/>
  <c r="DH15" i="21" s="1"/>
  <c r="DL16" i="21" s="1"/>
  <c r="BC49" i="21"/>
  <c r="DH48" i="21" s="1"/>
  <c r="DL48" i="21" s="1"/>
  <c r="BC43" i="21"/>
  <c r="DH42" i="21" s="1"/>
  <c r="DL42" i="21" s="1"/>
  <c r="DL10" i="22"/>
  <c r="DL64" i="24"/>
  <c r="DP64" i="24" s="1"/>
  <c r="DL15" i="22"/>
  <c r="BC34" i="21"/>
  <c r="DH33" i="21" s="1"/>
  <c r="DL34" i="21" s="1"/>
  <c r="DL19" i="22"/>
  <c r="DL37" i="24"/>
  <c r="DP37" i="24" s="1"/>
  <c r="DL35" i="21"/>
  <c r="DL42" i="22"/>
  <c r="DL20" i="22"/>
  <c r="DL49" i="22"/>
  <c r="BC19" i="21"/>
  <c r="DH18" i="21" s="1"/>
  <c r="DL10" i="21" s="1"/>
  <c r="DL22" i="22"/>
  <c r="BC22" i="21"/>
  <c r="DH21" i="21" s="1"/>
  <c r="DL22" i="21" s="1"/>
  <c r="DL47" i="21"/>
  <c r="DL33" i="21"/>
  <c r="BC42" i="21"/>
  <c r="DH41" i="21" s="1"/>
  <c r="DL27" i="21"/>
  <c r="DL45" i="21"/>
  <c r="DL23" i="22"/>
  <c r="BC21" i="21"/>
  <c r="DH20" i="21" s="1"/>
  <c r="DL20" i="21" s="1"/>
  <c r="DL57" i="24"/>
  <c r="DP57" i="24" s="1"/>
  <c r="BC44" i="21"/>
  <c r="DH43" i="21" s="1"/>
  <c r="DL44" i="21" s="1"/>
  <c r="BC50" i="21"/>
  <c r="DH49" i="21" s="1"/>
  <c r="BC29" i="21"/>
  <c r="DH28" i="21" s="1"/>
  <c r="DL28" i="21" s="1"/>
  <c r="DL63" i="24"/>
  <c r="DP63" i="24" s="1"/>
  <c r="BC40" i="21"/>
  <c r="DH39" i="21" s="1"/>
  <c r="DL39" i="21" s="1"/>
  <c r="DL37" i="21"/>
  <c r="DL67" i="24"/>
  <c r="DP67" i="24" s="1"/>
  <c r="DL36" i="22"/>
  <c r="BC18" i="21"/>
  <c r="DH17" i="21" s="1"/>
  <c r="DL17" i="21" s="1"/>
  <c r="DK47" i="21"/>
  <c r="DK44" i="21"/>
  <c r="DK41" i="21"/>
  <c r="DK28" i="21"/>
  <c r="DK21" i="24"/>
  <c r="DK16" i="24"/>
  <c r="DK17" i="21"/>
  <c r="DK31" i="21"/>
  <c r="DK48" i="21"/>
  <c r="DK38" i="21"/>
  <c r="DK26" i="21"/>
  <c r="DK30" i="21"/>
  <c r="DK34" i="21"/>
  <c r="DK49" i="24"/>
  <c r="DK32" i="21"/>
  <c r="DK19" i="21"/>
  <c r="DL19" i="21"/>
  <c r="DK14" i="21"/>
  <c r="DK33" i="21"/>
  <c r="DL23" i="21"/>
  <c r="DK15" i="21"/>
  <c r="DL38" i="24"/>
  <c r="DP38" i="24" s="1"/>
  <c r="DL36" i="21"/>
  <c r="DL25" i="21"/>
  <c r="DK22" i="21"/>
  <c r="DK42" i="21"/>
  <c r="DK33" i="24"/>
  <c r="DK46" i="21"/>
  <c r="DK23" i="21"/>
  <c r="DL26" i="21"/>
  <c r="DK25" i="21"/>
  <c r="DK29" i="21"/>
  <c r="DK49" i="21"/>
  <c r="DK35" i="21"/>
  <c r="DL46" i="21"/>
  <c r="DK36" i="21"/>
  <c r="DK45" i="21"/>
  <c r="DK27" i="21"/>
  <c r="DK39" i="21"/>
  <c r="DL55" i="24"/>
  <c r="DP55" i="24" s="1"/>
  <c r="DN37" i="22"/>
  <c r="DN38" i="22"/>
  <c r="DL14" i="21"/>
  <c r="DK46" i="22"/>
  <c r="DL41" i="21"/>
  <c r="DN17" i="22"/>
  <c r="DL30" i="21"/>
  <c r="DL36" i="24"/>
  <c r="DP36" i="24" s="1"/>
  <c r="DL59" i="24"/>
  <c r="DP59" i="24" s="1"/>
  <c r="DL69" i="24"/>
  <c r="DP69" i="24" s="1"/>
  <c r="DL51" i="24"/>
  <c r="DP51" i="24" s="1"/>
  <c r="DL52" i="24"/>
  <c r="DP52" i="24" s="1"/>
  <c r="DL70" i="24"/>
  <c r="DP70" i="24" s="1"/>
  <c r="DM29" i="24"/>
  <c r="DQ29" i="24" s="1"/>
  <c r="DN37" i="24"/>
  <c r="DR37" i="24" s="1"/>
  <c r="DN20" i="24"/>
  <c r="DR20" i="24" s="1"/>
  <c r="DL68" i="24"/>
  <c r="DP68" i="24" s="1"/>
  <c r="DN18" i="24"/>
  <c r="DR18" i="24" s="1"/>
  <c r="DK41" i="24"/>
  <c r="DM39" i="24"/>
  <c r="DQ39" i="24" s="1"/>
  <c r="DM47" i="24"/>
  <c r="DQ47" i="24" s="1"/>
  <c r="DM41" i="24"/>
  <c r="DQ41" i="24" s="1"/>
  <c r="DM10" i="24"/>
  <c r="DL45" i="24"/>
  <c r="DP45" i="24" s="1"/>
  <c r="DL46" i="24"/>
  <c r="DP46" i="24" s="1"/>
  <c r="DM45" i="24"/>
  <c r="DQ45" i="24" s="1"/>
  <c r="DM34" i="24"/>
  <c r="DQ34" i="24" s="1"/>
  <c r="DM27" i="24"/>
  <c r="DQ27" i="24" s="1"/>
  <c r="DM17" i="24"/>
  <c r="DQ17" i="24" s="1"/>
  <c r="DN16" i="24"/>
  <c r="DR16" i="24" s="1"/>
  <c r="DV18" i="24" s="1"/>
  <c r="DL58" i="24"/>
  <c r="DP58" i="24" s="1"/>
  <c r="DV16" i="24"/>
  <c r="DV15" i="24"/>
  <c r="DN42" i="24"/>
  <c r="DR42" i="24" s="1"/>
  <c r="DM36" i="24"/>
  <c r="DQ36" i="24" s="1"/>
  <c r="DH41" i="24"/>
  <c r="DL42" i="24" s="1"/>
  <c r="DP42" i="24" s="1"/>
  <c r="DK50" i="24"/>
  <c r="DL66" i="24"/>
  <c r="DP66" i="24" s="1"/>
  <c r="DL65" i="24"/>
  <c r="DP65" i="24" s="1"/>
  <c r="DU15" i="24"/>
  <c r="DL62" i="24"/>
  <c r="DP62" i="24" s="1"/>
  <c r="DL61" i="24"/>
  <c r="DP61" i="24" s="1"/>
  <c r="DM31" i="24"/>
  <c r="DQ31" i="24" s="1"/>
  <c r="DM21" i="24"/>
  <c r="DQ21" i="24" s="1"/>
  <c r="DM49" i="24"/>
  <c r="DQ49" i="24" s="1"/>
  <c r="DK43" i="24"/>
  <c r="DM16" i="24"/>
  <c r="DQ16" i="24" s="1"/>
  <c r="DH29" i="24"/>
  <c r="DL29" i="24" s="1"/>
  <c r="DP29" i="24" s="1"/>
  <c r="DL71" i="24"/>
  <c r="DP71" i="24" s="1"/>
  <c r="DH24" i="24"/>
  <c r="DL25" i="24" s="1"/>
  <c r="DP25" i="24" s="1"/>
  <c r="DH21" i="24"/>
  <c r="DL22" i="24" s="1"/>
  <c r="DP22" i="24" s="1"/>
  <c r="DH15" i="24"/>
  <c r="DH43" i="24"/>
  <c r="DL44" i="24" s="1"/>
  <c r="DP44" i="24" s="1"/>
  <c r="DH19" i="24"/>
  <c r="DH49" i="24"/>
  <c r="DL50" i="24" s="1"/>
  <c r="DP50" i="24" s="1"/>
  <c r="DM43" i="24"/>
  <c r="DQ43" i="24" s="1"/>
  <c r="DK37" i="24"/>
  <c r="DK62" i="24"/>
  <c r="DK61" i="24"/>
  <c r="DH39" i="24"/>
  <c r="DL40" i="24" s="1"/>
  <c r="DP40" i="24" s="1"/>
  <c r="DH18" i="24"/>
  <c r="DL18" i="24" s="1"/>
  <c r="DP18" i="24" s="1"/>
  <c r="DK10" i="24"/>
  <c r="DK11" i="24" s="1"/>
  <c r="DO28" i="24" s="1"/>
  <c r="DL54" i="24"/>
  <c r="DP54" i="24" s="1"/>
  <c r="DL53" i="24"/>
  <c r="DP53" i="24" s="1"/>
  <c r="DH30" i="24"/>
  <c r="DL31" i="24" s="1"/>
  <c r="DP31" i="24" s="1"/>
  <c r="DK58" i="24"/>
  <c r="DK57" i="24"/>
  <c r="DH48" i="24"/>
  <c r="DH32" i="24"/>
  <c r="DL32" i="24" s="1"/>
  <c r="DP32" i="24" s="1"/>
  <c r="DH47" i="24"/>
  <c r="DL47" i="24" s="1"/>
  <c r="DP47" i="24" s="1"/>
  <c r="DL26" i="24"/>
  <c r="DP26" i="24" s="1"/>
  <c r="DN10" i="24"/>
  <c r="DN24" i="24"/>
  <c r="DR24" i="24" s="1"/>
  <c r="DN23" i="24"/>
  <c r="DR23" i="24" s="1"/>
  <c r="DN31" i="24"/>
  <c r="DR31" i="24" s="1"/>
  <c r="DL34" i="24"/>
  <c r="DP34" i="24" s="1"/>
  <c r="DL17" i="24"/>
  <c r="DP17" i="24" s="1"/>
  <c r="DL27" i="24"/>
  <c r="DP27" i="24" s="1"/>
  <c r="DL35" i="24"/>
  <c r="DP35" i="24" s="1"/>
  <c r="DK11" i="22"/>
  <c r="DK11" i="21" l="1"/>
  <c r="DN11" i="21"/>
  <c r="DM11" i="21"/>
  <c r="DL11" i="21"/>
  <c r="DK20" i="21"/>
  <c r="DV20" i="24"/>
  <c r="DV21" i="24"/>
  <c r="DL49" i="21"/>
  <c r="DL32" i="21"/>
  <c r="DL15" i="21"/>
  <c r="DL43" i="21"/>
  <c r="DL29" i="21"/>
  <c r="DL18" i="21"/>
  <c r="DL40" i="21"/>
  <c r="DL21" i="21"/>
  <c r="DP21" i="21" s="1"/>
  <c r="DV17" i="24"/>
  <c r="DV22" i="24"/>
  <c r="DL43" i="24"/>
  <c r="DP43" i="24" s="1"/>
  <c r="DV19" i="24"/>
  <c r="DL48" i="24"/>
  <c r="DP48" i="24" s="1"/>
  <c r="DL10" i="24"/>
  <c r="DV37" i="24"/>
  <c r="DL33" i="24"/>
  <c r="DP33" i="24" s="1"/>
  <c r="DL30" i="24"/>
  <c r="DP30" i="24" s="1"/>
  <c r="DV36" i="24"/>
  <c r="DV66" i="24"/>
  <c r="DU22" i="24"/>
  <c r="DV49" i="24"/>
  <c r="DL19" i="24"/>
  <c r="DP19" i="24" s="1"/>
  <c r="DL41" i="24"/>
  <c r="DP41" i="24" s="1"/>
  <c r="DU49" i="24"/>
  <c r="DU20" i="24"/>
  <c r="DU36" i="24"/>
  <c r="DV50" i="24"/>
  <c r="DO35" i="24"/>
  <c r="DO26" i="24"/>
  <c r="DV55" i="24"/>
  <c r="DO60" i="24"/>
  <c r="DO17" i="24"/>
  <c r="DO42" i="24"/>
  <c r="DV71" i="24"/>
  <c r="DO38" i="24"/>
  <c r="DU44" i="24"/>
  <c r="DO59" i="24"/>
  <c r="DU45" i="24"/>
  <c r="DU64" i="24"/>
  <c r="DU24" i="24"/>
  <c r="DU70" i="24"/>
  <c r="DL20" i="24"/>
  <c r="DP20" i="24" s="1"/>
  <c r="DU39" i="24"/>
  <c r="DU29" i="24"/>
  <c r="DU66" i="24"/>
  <c r="DU47" i="24"/>
  <c r="DU48" i="24"/>
  <c r="DU67" i="24"/>
  <c r="DV43" i="24"/>
  <c r="DO22" i="24"/>
  <c r="DU60" i="24"/>
  <c r="DO41" i="24"/>
  <c r="DO54" i="24"/>
  <c r="DU56" i="24"/>
  <c r="DV52" i="24"/>
  <c r="DU43" i="24"/>
  <c r="DO52" i="24"/>
  <c r="DO32" i="24"/>
  <c r="DU21" i="24"/>
  <c r="DU18" i="24"/>
  <c r="DU40" i="24"/>
  <c r="DO31" i="24"/>
  <c r="DU19" i="24"/>
  <c r="DU17" i="24"/>
  <c r="DU52" i="24"/>
  <c r="DO47" i="24"/>
  <c r="DU41" i="24"/>
  <c r="DO23" i="24"/>
  <c r="DL49" i="24"/>
  <c r="DP49" i="24" s="1"/>
  <c r="DO25" i="24"/>
  <c r="DO16" i="24"/>
  <c r="DU55" i="24"/>
  <c r="DV69" i="24"/>
  <c r="DU25" i="24"/>
  <c r="DV60" i="24"/>
  <c r="DV59" i="24"/>
  <c r="DU35" i="24"/>
  <c r="DV53" i="24"/>
  <c r="DU71" i="24"/>
  <c r="DV68" i="24"/>
  <c r="DO50" i="24"/>
  <c r="DO71" i="24"/>
  <c r="DO56" i="24"/>
  <c r="DO14" i="24"/>
  <c r="DO45" i="24"/>
  <c r="DU33" i="24"/>
  <c r="DO33" i="24"/>
  <c r="DO48" i="24"/>
  <c r="DO24" i="24"/>
  <c r="DU65" i="24"/>
  <c r="DO18" i="24"/>
  <c r="DV67" i="24"/>
  <c r="DL21" i="24"/>
  <c r="DP21" i="24" s="1"/>
  <c r="DU58" i="24"/>
  <c r="DL24" i="24"/>
  <c r="DP24" i="24" s="1"/>
  <c r="DU63" i="24"/>
  <c r="DL16" i="24"/>
  <c r="DP16" i="24" s="1"/>
  <c r="DO64" i="24"/>
  <c r="DV70" i="24"/>
  <c r="DO68" i="24"/>
  <c r="DL39" i="24"/>
  <c r="DP39" i="24" s="1"/>
  <c r="DU28" i="24"/>
  <c r="DU69" i="24"/>
  <c r="DV63" i="24"/>
  <c r="DU62" i="24"/>
  <c r="DO40" i="24"/>
  <c r="DU27" i="24"/>
  <c r="DO65" i="24"/>
  <c r="DO27" i="24"/>
  <c r="DU51" i="24"/>
  <c r="DO13" i="24"/>
  <c r="DV56" i="24"/>
  <c r="DO37" i="24"/>
  <c r="DU38" i="24"/>
  <c r="DV46" i="24"/>
  <c r="DV54" i="24"/>
  <c r="DO43" i="24"/>
  <c r="DU30" i="24"/>
  <c r="DU68" i="24"/>
  <c r="DU31" i="24"/>
  <c r="DO53" i="24"/>
  <c r="DV62" i="24"/>
  <c r="DO30" i="24"/>
  <c r="DO21" i="24"/>
  <c r="DO61" i="24"/>
  <c r="DU59" i="24"/>
  <c r="DO34" i="24"/>
  <c r="DV61" i="24"/>
  <c r="DV57" i="24"/>
  <c r="DV51" i="24"/>
  <c r="DU37" i="24"/>
  <c r="DO29" i="24"/>
  <c r="DU61" i="24"/>
  <c r="DV58" i="24"/>
  <c r="DO63" i="24"/>
  <c r="DO20" i="24"/>
  <c r="DO51" i="24"/>
  <c r="DU23" i="24"/>
  <c r="DO57" i="24"/>
  <c r="DU57" i="24"/>
  <c r="DO55" i="24"/>
  <c r="DO46" i="24"/>
  <c r="DU50" i="24"/>
  <c r="DV64" i="24"/>
  <c r="DO62" i="24"/>
  <c r="DO67" i="24"/>
  <c r="DO36" i="24"/>
  <c r="DO66" i="24"/>
  <c r="DO49" i="24"/>
  <c r="DU54" i="24"/>
  <c r="DU34" i="24"/>
  <c r="DU46" i="24"/>
  <c r="DL15" i="24"/>
  <c r="DP15" i="24" s="1"/>
  <c r="DU42" i="24"/>
  <c r="DO70" i="24"/>
  <c r="DO69" i="24"/>
  <c r="DV65" i="24"/>
  <c r="DU26" i="24"/>
  <c r="DU16" i="24"/>
  <c r="DO19" i="24"/>
  <c r="DU53" i="24"/>
  <c r="DO58" i="24"/>
  <c r="DU32" i="24"/>
  <c r="DO44" i="24"/>
  <c r="DO15" i="24"/>
  <c r="DO39" i="24"/>
  <c r="DV48" i="24"/>
  <c r="DV35" i="24"/>
  <c r="DV33" i="24"/>
  <c r="DV44" i="24"/>
  <c r="DV38" i="24"/>
  <c r="DV30" i="24"/>
  <c r="DV41" i="24"/>
  <c r="DV39" i="24"/>
  <c r="DV23" i="24"/>
  <c r="DV42" i="24"/>
  <c r="DV29" i="24"/>
  <c r="DV27" i="24"/>
  <c r="DV26" i="24"/>
  <c r="DV28" i="24"/>
  <c r="DV32" i="24"/>
  <c r="DV31" i="24"/>
  <c r="DV25" i="24"/>
  <c r="DV24" i="24"/>
  <c r="DV45" i="24"/>
  <c r="DV40" i="24"/>
  <c r="DV34" i="24"/>
  <c r="DV47" i="24"/>
  <c r="DR35" i="22"/>
  <c r="DR33" i="22"/>
  <c r="DR32" i="22"/>
  <c r="DR31" i="22"/>
  <c r="DR30" i="22"/>
  <c r="DR49" i="22"/>
  <c r="DR27" i="22"/>
  <c r="DR20" i="22"/>
  <c r="DR18" i="22"/>
  <c r="DR19" i="22"/>
  <c r="DR38" i="22"/>
  <c r="DR21" i="22"/>
  <c r="DR25" i="22"/>
  <c r="DR23" i="22"/>
  <c r="DR46" i="22"/>
  <c r="DR43" i="22"/>
  <c r="DR42" i="22"/>
  <c r="DR22" i="22"/>
  <c r="DR24" i="22"/>
  <c r="DR34" i="22"/>
  <c r="DR48" i="22"/>
  <c r="DR29" i="22"/>
  <c r="DR16" i="22"/>
  <c r="DR45" i="22"/>
  <c r="DR47" i="22"/>
  <c r="DR28" i="22"/>
  <c r="DR17" i="22"/>
  <c r="DR26" i="22"/>
  <c r="DR15" i="22"/>
  <c r="DR37" i="22"/>
  <c r="DR14" i="22"/>
  <c r="DR39" i="22"/>
  <c r="DR36" i="22"/>
  <c r="DR40" i="22"/>
  <c r="DR41" i="22"/>
  <c r="DR13" i="22"/>
  <c r="DR44" i="22"/>
  <c r="DQ36" i="22"/>
  <c r="DQ34" i="22"/>
  <c r="DQ33" i="22"/>
  <c r="DQ32" i="22"/>
  <c r="DQ31" i="22"/>
  <c r="DQ46" i="22"/>
  <c r="DQ43" i="22"/>
  <c r="DQ16" i="22"/>
  <c r="DQ49" i="22"/>
  <c r="DQ40" i="22"/>
  <c r="DQ27" i="22"/>
  <c r="DQ20" i="22"/>
  <c r="DQ25" i="22"/>
  <c r="DQ13" i="22"/>
  <c r="DQ19" i="22"/>
  <c r="DQ38" i="22"/>
  <c r="DQ21" i="22"/>
  <c r="DQ23" i="22"/>
  <c r="DQ35" i="22"/>
  <c r="DQ30" i="22"/>
  <c r="DQ45" i="22"/>
  <c r="DQ14" i="22"/>
  <c r="DQ24" i="22"/>
  <c r="DQ42" i="22"/>
  <c r="DQ44" i="22"/>
  <c r="DQ22" i="22"/>
  <c r="DQ18" i="22"/>
  <c r="DQ47" i="22"/>
  <c r="DQ17" i="22"/>
  <c r="DQ29" i="22"/>
  <c r="DQ28" i="22"/>
  <c r="DQ26" i="22"/>
  <c r="DQ48" i="22"/>
  <c r="DQ15" i="22"/>
  <c r="DQ39" i="22"/>
  <c r="DQ37" i="22"/>
  <c r="DQ41" i="22"/>
  <c r="DO38" i="22"/>
  <c r="DO36" i="22"/>
  <c r="DO35" i="22"/>
  <c r="DO34" i="22"/>
  <c r="DO33" i="22"/>
  <c r="DO32" i="22"/>
  <c r="DO30" i="22"/>
  <c r="DO46" i="22"/>
  <c r="DO43" i="22"/>
  <c r="DO16" i="22"/>
  <c r="DO49" i="22"/>
  <c r="DO40" i="22"/>
  <c r="DO25" i="22"/>
  <c r="DO23" i="22"/>
  <c r="DO19" i="22"/>
  <c r="DO21" i="22"/>
  <c r="DO18" i="22"/>
  <c r="DO20" i="22"/>
  <c r="DO45" i="22"/>
  <c r="DO29" i="22"/>
  <c r="DO14" i="22"/>
  <c r="DO13" i="22"/>
  <c r="DO24" i="22"/>
  <c r="DO22" i="22"/>
  <c r="DO17" i="22"/>
  <c r="DO15" i="22"/>
  <c r="DO44" i="22"/>
  <c r="DO31" i="22"/>
  <c r="DO27" i="22"/>
  <c r="DO47" i="22"/>
  <c r="DO28" i="22"/>
  <c r="DO26" i="22"/>
  <c r="DO48" i="22"/>
  <c r="DO37" i="22"/>
  <c r="DO39" i="22"/>
  <c r="DO41" i="22"/>
  <c r="DO42" i="22"/>
  <c r="DP37" i="22"/>
  <c r="DP35" i="22"/>
  <c r="DP34" i="22"/>
  <c r="DP33" i="22"/>
  <c r="DP32" i="22"/>
  <c r="DP31" i="22"/>
  <c r="DP23" i="22"/>
  <c r="DP49" i="22"/>
  <c r="DP40" i="22"/>
  <c r="DP27" i="22"/>
  <c r="DP38" i="22"/>
  <c r="DP25" i="22"/>
  <c r="DP19" i="22"/>
  <c r="DP21" i="22"/>
  <c r="DP30" i="22"/>
  <c r="DP29" i="22"/>
  <c r="DP20" i="22"/>
  <c r="DP42" i="22"/>
  <c r="DP45" i="22"/>
  <c r="DP14" i="22"/>
  <c r="DP13" i="22"/>
  <c r="DP44" i="22"/>
  <c r="DP28" i="22"/>
  <c r="DP26" i="22"/>
  <c r="DP18" i="22"/>
  <c r="DP47" i="22"/>
  <c r="DP17" i="22"/>
  <c r="DP46" i="22"/>
  <c r="DP24" i="22"/>
  <c r="DP22" i="22"/>
  <c r="DP15" i="22"/>
  <c r="DP16" i="22"/>
  <c r="DP48" i="22"/>
  <c r="DP39" i="22"/>
  <c r="DP36" i="22"/>
  <c r="DP41" i="22"/>
  <c r="DP43" i="22"/>
  <c r="DR30" i="21"/>
  <c r="DR28" i="21"/>
  <c r="DR27" i="21"/>
  <c r="DR24" i="21"/>
  <c r="DR49" i="21"/>
  <c r="DR19" i="21"/>
  <c r="DR22" i="21"/>
  <c r="DR32" i="21"/>
  <c r="DR14" i="21"/>
  <c r="DR45" i="21"/>
  <c r="DR38" i="21"/>
  <c r="DR26" i="21"/>
  <c r="DR34" i="21"/>
  <c r="DR31" i="21"/>
  <c r="DR37" i="21"/>
  <c r="DR33" i="21"/>
  <c r="DR41" i="21"/>
  <c r="DR15" i="21"/>
  <c r="DR42" i="21"/>
  <c r="DR20" i="21"/>
  <c r="DR43" i="21"/>
  <c r="DR25" i="21"/>
  <c r="DR48" i="21"/>
  <c r="DR35" i="21"/>
  <c r="DR36" i="21"/>
  <c r="DR16" i="21"/>
  <c r="DR46" i="21"/>
  <c r="DR18" i="21"/>
  <c r="DR44" i="21"/>
  <c r="DR23" i="21"/>
  <c r="DR21" i="21"/>
  <c r="DR29" i="21"/>
  <c r="DR39" i="21"/>
  <c r="DR47" i="21"/>
  <c r="DR17" i="21"/>
  <c r="DR13" i="21"/>
  <c r="DR40" i="21"/>
  <c r="DO33" i="21"/>
  <c r="DO31" i="21"/>
  <c r="DO30" i="21"/>
  <c r="DO27" i="21"/>
  <c r="DO40" i="21"/>
  <c r="DO16" i="21"/>
  <c r="DO14" i="21"/>
  <c r="DO20" i="21"/>
  <c r="DO41" i="21"/>
  <c r="DO38" i="21"/>
  <c r="DO47" i="21"/>
  <c r="DO32" i="21"/>
  <c r="DO46" i="21"/>
  <c r="DO24" i="21"/>
  <c r="DO44" i="21"/>
  <c r="DO34" i="21"/>
  <c r="DO42" i="21"/>
  <c r="DO29" i="21"/>
  <c r="DO17" i="21"/>
  <c r="DO49" i="21"/>
  <c r="DO28" i="21"/>
  <c r="DO15" i="21"/>
  <c r="DO25" i="21"/>
  <c r="DO48" i="21"/>
  <c r="DO18" i="21"/>
  <c r="DO35" i="21"/>
  <c r="DO23" i="21"/>
  <c r="DO37" i="21"/>
  <c r="DO21" i="21"/>
  <c r="DO19" i="21"/>
  <c r="DO26" i="21"/>
  <c r="DO22" i="21"/>
  <c r="DO45" i="21"/>
  <c r="DO36" i="21"/>
  <c r="DO39" i="21"/>
  <c r="DO13" i="21"/>
  <c r="DO43" i="21"/>
  <c r="DP32" i="21"/>
  <c r="DP30" i="21"/>
  <c r="DP29" i="21"/>
  <c r="DP26" i="21"/>
  <c r="DP43" i="21"/>
  <c r="DP37" i="21"/>
  <c r="DP33" i="21"/>
  <c r="DP17" i="21"/>
  <c r="DP13" i="21"/>
  <c r="DP44" i="21"/>
  <c r="DP40" i="21"/>
  <c r="DP20" i="21"/>
  <c r="DP34" i="21"/>
  <c r="DP24" i="21"/>
  <c r="DP22" i="21"/>
  <c r="DP15" i="21"/>
  <c r="DP31" i="21"/>
  <c r="DP49" i="21"/>
  <c r="DP41" i="21"/>
  <c r="DP25" i="21"/>
  <c r="DP42" i="21"/>
  <c r="DP27" i="21"/>
  <c r="DP45" i="21"/>
  <c r="DP48" i="21"/>
  <c r="DP38" i="21"/>
  <c r="DP35" i="21"/>
  <c r="DP23" i="21"/>
  <c r="DP18" i="21"/>
  <c r="DP46" i="21"/>
  <c r="DP19" i="21"/>
  <c r="DP16" i="21"/>
  <c r="DP14" i="21"/>
  <c r="DP28" i="21"/>
  <c r="DP36" i="21"/>
  <c r="DP39" i="21"/>
  <c r="DP47" i="21"/>
  <c r="DQ31" i="21"/>
  <c r="DQ29" i="21"/>
  <c r="DQ28" i="21"/>
  <c r="DQ25" i="21"/>
  <c r="DQ46" i="21"/>
  <c r="DQ18" i="21"/>
  <c r="DQ26" i="21"/>
  <c r="DQ47" i="21"/>
  <c r="DQ34" i="21"/>
  <c r="DQ13" i="21"/>
  <c r="DQ32" i="21"/>
  <c r="DQ49" i="21"/>
  <c r="DQ41" i="21"/>
  <c r="DQ22" i="21"/>
  <c r="DQ45" i="21"/>
  <c r="DQ44" i="21"/>
  <c r="DQ30" i="21"/>
  <c r="DQ40" i="21"/>
  <c r="DQ42" i="21"/>
  <c r="DQ27" i="21"/>
  <c r="DQ20" i="21"/>
  <c r="DQ16" i="21"/>
  <c r="DQ48" i="21"/>
  <c r="DQ38" i="21"/>
  <c r="DQ35" i="21"/>
  <c r="DQ14" i="21"/>
  <c r="DQ23" i="21"/>
  <c r="DQ21" i="21"/>
  <c r="DQ19" i="21"/>
  <c r="DQ33" i="21"/>
  <c r="DQ36" i="21"/>
  <c r="DQ39" i="21"/>
  <c r="DQ24" i="21"/>
  <c r="DQ37" i="21"/>
  <c r="DQ17" i="21"/>
  <c r="DQ15" i="21"/>
  <c r="DQ43" i="21"/>
  <c r="DT16" i="24" l="1"/>
  <c r="DV15" i="21"/>
  <c r="DV18" i="21"/>
  <c r="DV26" i="21"/>
  <c r="DV34" i="21"/>
  <c r="DV42" i="21"/>
  <c r="DV20" i="21"/>
  <c r="DV29" i="21"/>
  <c r="DV37" i="21"/>
  <c r="DV45" i="21"/>
  <c r="DV38" i="21"/>
  <c r="DV47" i="21"/>
  <c r="DV28" i="21"/>
  <c r="DV46" i="21"/>
  <c r="DV31" i="21"/>
  <c r="DV21" i="21"/>
  <c r="DV30" i="21"/>
  <c r="DV23" i="21"/>
  <c r="DV39" i="21"/>
  <c r="DV22" i="21"/>
  <c r="DV36" i="21"/>
  <c r="DV16" i="21"/>
  <c r="DV24" i="21"/>
  <c r="DV32" i="21"/>
  <c r="DV40" i="21"/>
  <c r="DV48" i="21"/>
  <c r="DV33" i="21"/>
  <c r="DV19" i="21"/>
  <c r="DV27" i="21"/>
  <c r="DV35" i="21"/>
  <c r="DV43" i="21"/>
  <c r="DV25" i="21"/>
  <c r="DV17" i="21"/>
  <c r="DV41" i="21"/>
  <c r="DV49" i="21"/>
  <c r="DV44" i="21"/>
  <c r="DU18" i="21"/>
  <c r="DU26" i="21"/>
  <c r="DU34" i="21"/>
  <c r="DU42" i="21"/>
  <c r="DU27" i="21"/>
  <c r="DU28" i="21"/>
  <c r="DU43" i="21"/>
  <c r="DU32" i="21"/>
  <c r="DU21" i="21"/>
  <c r="DU29" i="21"/>
  <c r="DU37" i="21"/>
  <c r="DU45" i="21"/>
  <c r="DU22" i="21"/>
  <c r="DU38" i="21"/>
  <c r="DU46" i="21"/>
  <c r="DU16" i="21"/>
  <c r="DU30" i="21"/>
  <c r="DU39" i="21"/>
  <c r="DU24" i="21"/>
  <c r="DU48" i="21"/>
  <c r="DU23" i="21"/>
  <c r="DU31" i="21"/>
  <c r="DU47" i="21"/>
  <c r="DU40" i="21"/>
  <c r="DU25" i="21"/>
  <c r="DU35" i="21"/>
  <c r="DU20" i="21"/>
  <c r="DU41" i="21"/>
  <c r="DU15" i="21"/>
  <c r="DU19" i="21"/>
  <c r="DU17" i="21"/>
  <c r="DU33" i="21"/>
  <c r="DU49" i="21"/>
  <c r="DU36" i="21"/>
  <c r="DU44" i="21"/>
  <c r="DS15" i="21"/>
  <c r="DS45" i="21"/>
  <c r="DS36" i="21"/>
  <c r="DS28" i="21"/>
  <c r="DS37" i="21"/>
  <c r="DS29" i="21"/>
  <c r="DS21" i="21"/>
  <c r="DS39" i="21"/>
  <c r="DS47" i="21"/>
  <c r="DS32" i="21"/>
  <c r="DS24" i="21"/>
  <c r="DS48" i="21"/>
  <c r="DS22" i="21"/>
  <c r="DS30" i="21"/>
  <c r="DS38" i="21"/>
  <c r="DS46" i="21"/>
  <c r="DS31" i="21"/>
  <c r="DS16" i="21"/>
  <c r="DS40" i="21"/>
  <c r="DS23" i="21"/>
  <c r="DS18" i="21"/>
  <c r="DS43" i="21"/>
  <c r="DS20" i="21"/>
  <c r="DS17" i="21"/>
  <c r="DS25" i="21"/>
  <c r="DS33" i="21"/>
  <c r="DS41" i="21"/>
  <c r="DS49" i="21"/>
  <c r="DS26" i="21"/>
  <c r="DS34" i="21"/>
  <c r="DS42" i="21"/>
  <c r="DS35" i="21"/>
  <c r="DS19" i="21"/>
  <c r="DS27" i="21"/>
  <c r="DS44" i="21"/>
  <c r="DT18" i="21"/>
  <c r="DT20" i="21"/>
  <c r="DT28" i="21"/>
  <c r="DT36" i="21"/>
  <c r="DT44" i="21"/>
  <c r="DT21" i="21"/>
  <c r="DT29" i="21"/>
  <c r="DT37" i="21"/>
  <c r="DT45" i="21"/>
  <c r="DT47" i="21"/>
  <c r="DT24" i="21"/>
  <c r="DT16" i="21"/>
  <c r="DT39" i="21"/>
  <c r="DT22" i="21"/>
  <c r="DT30" i="21"/>
  <c r="DT38" i="21"/>
  <c r="DT46" i="21"/>
  <c r="DT31" i="21"/>
  <c r="DT32" i="21"/>
  <c r="DT40" i="21"/>
  <c r="DT23" i="21"/>
  <c r="DT48" i="21"/>
  <c r="DT19" i="21"/>
  <c r="DT35" i="21"/>
  <c r="DT15" i="21"/>
  <c r="DT26" i="21"/>
  <c r="DT34" i="21"/>
  <c r="DT42" i="21"/>
  <c r="DT43" i="21"/>
  <c r="DT17" i="21"/>
  <c r="DT25" i="21"/>
  <c r="DT33" i="21"/>
  <c r="DT41" i="21"/>
  <c r="DT49" i="21"/>
  <c r="DT27" i="21"/>
  <c r="DT25" i="24"/>
  <c r="DS16" i="24"/>
  <c r="DS19" i="24"/>
  <c r="DS18" i="24"/>
  <c r="DT50" i="24"/>
  <c r="DS32" i="24"/>
  <c r="DS41" i="24"/>
  <c r="DT23" i="24"/>
  <c r="DT21" i="24"/>
  <c r="DS49" i="24"/>
  <c r="DS35" i="24"/>
  <c r="DS27" i="24"/>
  <c r="DS26" i="24"/>
  <c r="DT38" i="24"/>
  <c r="DT45" i="24"/>
  <c r="DT39" i="24"/>
  <c r="DS22" i="24"/>
  <c r="DT37" i="24"/>
  <c r="DT46" i="24"/>
  <c r="DT17" i="24"/>
  <c r="DT19" i="24"/>
  <c r="DT47" i="24"/>
  <c r="DT44" i="24"/>
  <c r="DT36" i="24"/>
  <c r="DT27" i="24"/>
  <c r="DS31" i="24"/>
  <c r="DS43" i="24"/>
  <c r="DS46" i="24"/>
  <c r="DT30" i="24"/>
  <c r="DS30" i="24"/>
  <c r="DS25" i="24"/>
  <c r="DS34" i="24"/>
  <c r="DS38" i="24"/>
  <c r="DT48" i="24"/>
  <c r="DS23" i="24"/>
  <c r="DS37" i="24"/>
  <c r="DT43" i="24"/>
  <c r="DS45" i="24"/>
  <c r="DT22" i="24"/>
  <c r="DT24" i="24"/>
  <c r="DS67" i="24"/>
  <c r="DT49" i="24"/>
  <c r="DS69" i="24"/>
  <c r="DS50" i="24"/>
  <c r="DS61" i="24"/>
  <c r="DS52" i="24"/>
  <c r="DS56" i="24"/>
  <c r="DS54" i="24"/>
  <c r="DS57" i="24"/>
  <c r="DS63" i="24"/>
  <c r="DS60" i="24"/>
  <c r="DS55" i="24"/>
  <c r="DS65" i="24"/>
  <c r="DS62" i="24"/>
  <c r="DS70" i="24"/>
  <c r="DS66" i="24"/>
  <c r="DS71" i="24"/>
  <c r="DS68" i="24"/>
  <c r="DS64" i="24"/>
  <c r="DS53" i="24"/>
  <c r="DS59" i="24"/>
  <c r="DS58" i="24"/>
  <c r="DS51" i="24"/>
  <c r="DT29" i="24"/>
  <c r="DT32" i="24"/>
  <c r="DS28" i="24"/>
  <c r="DS20" i="24"/>
  <c r="DS36" i="24"/>
  <c r="DT28" i="24"/>
  <c r="DS42" i="24"/>
  <c r="DS33" i="24"/>
  <c r="DT31" i="24"/>
  <c r="DS15" i="24"/>
  <c r="DT18" i="24"/>
  <c r="DT60" i="24"/>
  <c r="DT67" i="24"/>
  <c r="DT51" i="24"/>
  <c r="DT62" i="24"/>
  <c r="DT68" i="24"/>
  <c r="DT70" i="24"/>
  <c r="DT65" i="24"/>
  <c r="DT56" i="24"/>
  <c r="DT58" i="24"/>
  <c r="DT52" i="24"/>
  <c r="DT66" i="24"/>
  <c r="DT71" i="24"/>
  <c r="DT53" i="24"/>
  <c r="DT55" i="24"/>
  <c r="DT63" i="24"/>
  <c r="DT57" i="24"/>
  <c r="DT64" i="24"/>
  <c r="DT59" i="24"/>
  <c r="DT69" i="24"/>
  <c r="DT61" i="24"/>
  <c r="DT54" i="24"/>
  <c r="DT15" i="24"/>
  <c r="DS21" i="24"/>
  <c r="DT40" i="24"/>
  <c r="DS44" i="24"/>
  <c r="DT34" i="24"/>
  <c r="DS17" i="24"/>
  <c r="DS48" i="24"/>
  <c r="DS47" i="24"/>
  <c r="DT42" i="24"/>
  <c r="DT33" i="24"/>
  <c r="DS24" i="24"/>
  <c r="DS40" i="24"/>
  <c r="DT41" i="24"/>
  <c r="DS29" i="24"/>
  <c r="DT35" i="24"/>
  <c r="DT26" i="24"/>
  <c r="DS39" i="24"/>
  <c r="DT20" i="24"/>
  <c r="DV31" i="22"/>
  <c r="ED31" i="22" s="1"/>
  <c r="DV29" i="22"/>
  <c r="ED29" i="22" s="1"/>
  <c r="DV28" i="22"/>
  <c r="ED28" i="22" s="1"/>
  <c r="DV27" i="22"/>
  <c r="ED27" i="22" s="1"/>
  <c r="DV26" i="22"/>
  <c r="ED26" i="22" s="1"/>
  <c r="DV24" i="22"/>
  <c r="ED24" i="22" s="1"/>
  <c r="DV17" i="22"/>
  <c r="ED17" i="22" s="1"/>
  <c r="DV48" i="22"/>
  <c r="ED48" i="22" s="1"/>
  <c r="DV42" i="22"/>
  <c r="ED42" i="22" s="1"/>
  <c r="DV22" i="22"/>
  <c r="ED22" i="22" s="1"/>
  <c r="DV23" i="22"/>
  <c r="ED23" i="22" s="1"/>
  <c r="DV25" i="22"/>
  <c r="ED25" i="22" s="1"/>
  <c r="DV30" i="22"/>
  <c r="ED30" i="22" s="1"/>
  <c r="DV46" i="22"/>
  <c r="ED46" i="22" s="1"/>
  <c r="DV43" i="22"/>
  <c r="ED43" i="22" s="1"/>
  <c r="DV40" i="22"/>
  <c r="ED40" i="22" s="1"/>
  <c r="DV35" i="22"/>
  <c r="ED35" i="22" s="1"/>
  <c r="DV39" i="22"/>
  <c r="ED39" i="22" s="1"/>
  <c r="DV45" i="22"/>
  <c r="ED45" i="22" s="1"/>
  <c r="DV49" i="22"/>
  <c r="ED49" i="22" s="1"/>
  <c r="DV20" i="22"/>
  <c r="ED20" i="22" s="1"/>
  <c r="DV16" i="22"/>
  <c r="ED16" i="22" s="1"/>
  <c r="DV19" i="22"/>
  <c r="ED19" i="22" s="1"/>
  <c r="DV32" i="22"/>
  <c r="ED32" i="22" s="1"/>
  <c r="DV37" i="22"/>
  <c r="ED37" i="22" s="1"/>
  <c r="DV47" i="22"/>
  <c r="ED47" i="22" s="1"/>
  <c r="DV21" i="22"/>
  <c r="ED21" i="22" s="1"/>
  <c r="DV18" i="22"/>
  <c r="ED18" i="22" s="1"/>
  <c r="DV15" i="22"/>
  <c r="ED15" i="22" s="1"/>
  <c r="DV36" i="22"/>
  <c r="ED36" i="22" s="1"/>
  <c r="DV34" i="22"/>
  <c r="ED34" i="22" s="1"/>
  <c r="DV33" i="22"/>
  <c r="ED33" i="22" s="1"/>
  <c r="DV38" i="22"/>
  <c r="ED38" i="22" s="1"/>
  <c r="DV41" i="22"/>
  <c r="ED41" i="22" s="1"/>
  <c r="DV44" i="22"/>
  <c r="ED44" i="22" s="1"/>
  <c r="DU32" i="22"/>
  <c r="EC32" i="22" s="1"/>
  <c r="DU30" i="22"/>
  <c r="EC30" i="22" s="1"/>
  <c r="DU29" i="22"/>
  <c r="EC29" i="22" s="1"/>
  <c r="DU28" i="22"/>
  <c r="EC28" i="22" s="1"/>
  <c r="DU27" i="22"/>
  <c r="EC27" i="22" s="1"/>
  <c r="DU20" i="22"/>
  <c r="EC20" i="22" s="1"/>
  <c r="DU37" i="22"/>
  <c r="EC37" i="22" s="1"/>
  <c r="DU24" i="22"/>
  <c r="EC24" i="22" s="1"/>
  <c r="DU45" i="22"/>
  <c r="EC45" i="22" s="1"/>
  <c r="DU48" i="22"/>
  <c r="EC48" i="22" s="1"/>
  <c r="DU42" i="22"/>
  <c r="EC42" i="22" s="1"/>
  <c r="DU33" i="22"/>
  <c r="EC33" i="22" s="1"/>
  <c r="DU23" i="22"/>
  <c r="EC23" i="22" s="1"/>
  <c r="DU25" i="22"/>
  <c r="EC25" i="22" s="1"/>
  <c r="DU40" i="22"/>
  <c r="EC40" i="22" s="1"/>
  <c r="DU35" i="22"/>
  <c r="EC35" i="22" s="1"/>
  <c r="DU46" i="22"/>
  <c r="EC46" i="22" s="1"/>
  <c r="DU43" i="22"/>
  <c r="EC43" i="22" s="1"/>
  <c r="DU34" i="22"/>
  <c r="EC34" i="22" s="1"/>
  <c r="DU39" i="22"/>
  <c r="EC39" i="22" s="1"/>
  <c r="DU16" i="22"/>
  <c r="EC16" i="22" s="1"/>
  <c r="DU31" i="22"/>
  <c r="EC31" i="22" s="1"/>
  <c r="DU47" i="22"/>
  <c r="EC47" i="22" s="1"/>
  <c r="DU21" i="22"/>
  <c r="EC21" i="22" s="1"/>
  <c r="DU19" i="22"/>
  <c r="EC19" i="22" s="1"/>
  <c r="DU17" i="22"/>
  <c r="EC17" i="22" s="1"/>
  <c r="DU26" i="22"/>
  <c r="EC26" i="22" s="1"/>
  <c r="DU15" i="22"/>
  <c r="EC15" i="22" s="1"/>
  <c r="DU22" i="22"/>
  <c r="EC22" i="22" s="1"/>
  <c r="DU18" i="22"/>
  <c r="EC18" i="22" s="1"/>
  <c r="DU49" i="22"/>
  <c r="EC49" i="22" s="1"/>
  <c r="DU36" i="22"/>
  <c r="EC36" i="22" s="1"/>
  <c r="DU41" i="22"/>
  <c r="EC41" i="22" s="1"/>
  <c r="DU38" i="22"/>
  <c r="EC38" i="22" s="1"/>
  <c r="DU44" i="22"/>
  <c r="EC44" i="22" s="1"/>
  <c r="DS34" i="22"/>
  <c r="EA34" i="22" s="1"/>
  <c r="DS32" i="22"/>
  <c r="EA32" i="22" s="1"/>
  <c r="DS31" i="22"/>
  <c r="EA31" i="22" s="1"/>
  <c r="DS30" i="22"/>
  <c r="EA30" i="22" s="1"/>
  <c r="DS29" i="22"/>
  <c r="EA29" i="22" s="1"/>
  <c r="DS40" i="22"/>
  <c r="EA40" i="22" s="1"/>
  <c r="DS20" i="22"/>
  <c r="EA20" i="22" s="1"/>
  <c r="DS37" i="22"/>
  <c r="EA37" i="22" s="1"/>
  <c r="DS35" i="22"/>
  <c r="EA35" i="22" s="1"/>
  <c r="DS38" i="22"/>
  <c r="EA38" i="22" s="1"/>
  <c r="DS21" i="22"/>
  <c r="EA21" i="22" s="1"/>
  <c r="DS33" i="22"/>
  <c r="EA33" i="22" s="1"/>
  <c r="DS23" i="22"/>
  <c r="EA23" i="22" s="1"/>
  <c r="DS43" i="22"/>
  <c r="EA43" i="22" s="1"/>
  <c r="DS25" i="22"/>
  <c r="EA25" i="22" s="1"/>
  <c r="DS46" i="22"/>
  <c r="EA46" i="22" s="1"/>
  <c r="DS24" i="22"/>
  <c r="EA24" i="22" s="1"/>
  <c r="DS22" i="22"/>
  <c r="EA22" i="22" s="1"/>
  <c r="DS48" i="22"/>
  <c r="EA48" i="22" s="1"/>
  <c r="DS45" i="22"/>
  <c r="EA45" i="22" s="1"/>
  <c r="DS47" i="22"/>
  <c r="EA47" i="22" s="1"/>
  <c r="DS27" i="22"/>
  <c r="EA27" i="22" s="1"/>
  <c r="DS17" i="22"/>
  <c r="EA17" i="22" s="1"/>
  <c r="DS28" i="22"/>
  <c r="EA28" i="22" s="1"/>
  <c r="DS18" i="22"/>
  <c r="EA18" i="22" s="1"/>
  <c r="DS16" i="22"/>
  <c r="EA16" i="22" s="1"/>
  <c r="DS19" i="22"/>
  <c r="EA19" i="22" s="1"/>
  <c r="DS26" i="22"/>
  <c r="EA26" i="22" s="1"/>
  <c r="DS15" i="22"/>
  <c r="EA15" i="22" s="1"/>
  <c r="DS49" i="22"/>
  <c r="EA49" i="22" s="1"/>
  <c r="DS39" i="22"/>
  <c r="EA39" i="22" s="1"/>
  <c r="DS36" i="22"/>
  <c r="EA36" i="22" s="1"/>
  <c r="DS41" i="22"/>
  <c r="EA41" i="22" s="1"/>
  <c r="DS44" i="22"/>
  <c r="EA44" i="22" s="1"/>
  <c r="DS42" i="22"/>
  <c r="EA42" i="22" s="1"/>
  <c r="DT33" i="22"/>
  <c r="EB33" i="22" s="1"/>
  <c r="DT31" i="22"/>
  <c r="EB31" i="22" s="1"/>
  <c r="DT30" i="22"/>
  <c r="EB30" i="22" s="1"/>
  <c r="DT29" i="22"/>
  <c r="EB29" i="22" s="1"/>
  <c r="DT28" i="22"/>
  <c r="EB28" i="22" s="1"/>
  <c r="DT27" i="22"/>
  <c r="EB27" i="22" s="1"/>
  <c r="DT37" i="22"/>
  <c r="EB37" i="22" s="1"/>
  <c r="DT35" i="22"/>
  <c r="EB35" i="22" s="1"/>
  <c r="DT45" i="22"/>
  <c r="EB45" i="22" s="1"/>
  <c r="DT40" i="22"/>
  <c r="EB40" i="22" s="1"/>
  <c r="DT23" i="22"/>
  <c r="EB23" i="22" s="1"/>
  <c r="DT25" i="22"/>
  <c r="EB25" i="22" s="1"/>
  <c r="DT46" i="22"/>
  <c r="EB46" i="22" s="1"/>
  <c r="DT43" i="22"/>
  <c r="EB43" i="22" s="1"/>
  <c r="DT22" i="22"/>
  <c r="EB22" i="22" s="1"/>
  <c r="DT48" i="22"/>
  <c r="EB48" i="22" s="1"/>
  <c r="DT34" i="22"/>
  <c r="EB34" i="22" s="1"/>
  <c r="DT39" i="22"/>
  <c r="EB39" i="22" s="1"/>
  <c r="DT19" i="22"/>
  <c r="EB19" i="22" s="1"/>
  <c r="DT47" i="22"/>
  <c r="EB47" i="22" s="1"/>
  <c r="DT18" i="22"/>
  <c r="EB18" i="22" s="1"/>
  <c r="DT26" i="22"/>
  <c r="EB26" i="22" s="1"/>
  <c r="DT16" i="22"/>
  <c r="EB16" i="22" s="1"/>
  <c r="DT24" i="22"/>
  <c r="EB24" i="22" s="1"/>
  <c r="DT21" i="22"/>
  <c r="EB21" i="22" s="1"/>
  <c r="DT20" i="22"/>
  <c r="EB20" i="22" s="1"/>
  <c r="DT17" i="22"/>
  <c r="EB17" i="22" s="1"/>
  <c r="DT32" i="22"/>
  <c r="EB32" i="22" s="1"/>
  <c r="DT15" i="22"/>
  <c r="EB15" i="22" s="1"/>
  <c r="DT38" i="22"/>
  <c r="EB38" i="22" s="1"/>
  <c r="DT49" i="22"/>
  <c r="EB49" i="22" s="1"/>
  <c r="DT36" i="22"/>
  <c r="EB36" i="22" s="1"/>
  <c r="DT41" i="22"/>
  <c r="EB41" i="22" s="1"/>
  <c r="DT42" i="22"/>
  <c r="EB42" i="22" s="1"/>
  <c r="DT44" i="22"/>
  <c r="EB44" i="22" s="1"/>
  <c r="DN49" i="20"/>
  <c r="DM49" i="20"/>
  <c r="DF49" i="20"/>
  <c r="DN48" i="20"/>
  <c r="DM48" i="20"/>
  <c r="DF48" i="20"/>
  <c r="DN47" i="20"/>
  <c r="DM47" i="20"/>
  <c r="DF47" i="20"/>
  <c r="DN46" i="20"/>
  <c r="DM46" i="20"/>
  <c r="DF46" i="20"/>
  <c r="DN45" i="20"/>
  <c r="DM45" i="20"/>
  <c r="DF45" i="20"/>
  <c r="DN44" i="20"/>
  <c r="DM44" i="20"/>
  <c r="DF44" i="20"/>
  <c r="DN43" i="20"/>
  <c r="DM43" i="20"/>
  <c r="DF43" i="20"/>
  <c r="DN42" i="20"/>
  <c r="DM42" i="20"/>
  <c r="DF42" i="20"/>
  <c r="DN41" i="20"/>
  <c r="DM41" i="20"/>
  <c r="DF41" i="20"/>
  <c r="DN40" i="20"/>
  <c r="DM40" i="20"/>
  <c r="DF40" i="20"/>
  <c r="DN39" i="20"/>
  <c r="DM39" i="20"/>
  <c r="DF39" i="20"/>
  <c r="DN38" i="20"/>
  <c r="DM38" i="20"/>
  <c r="DF38" i="20"/>
  <c r="DN37" i="20"/>
  <c r="DM37" i="20"/>
  <c r="DF37" i="20"/>
  <c r="DN36" i="20"/>
  <c r="DM36" i="20"/>
  <c r="DF36" i="20"/>
  <c r="DN35" i="20"/>
  <c r="DM35" i="20"/>
  <c r="DF35" i="20"/>
  <c r="DN34" i="20"/>
  <c r="DM34" i="20"/>
  <c r="DF34" i="20"/>
  <c r="DN33" i="20"/>
  <c r="DM33" i="20"/>
  <c r="DF33" i="20"/>
  <c r="DN32" i="20"/>
  <c r="DM32" i="20"/>
  <c r="DF32" i="20"/>
  <c r="DN31" i="20"/>
  <c r="DM31" i="20"/>
  <c r="DF31" i="20"/>
  <c r="DN30" i="20"/>
  <c r="DM30" i="20"/>
  <c r="DF30" i="20"/>
  <c r="DN29" i="20"/>
  <c r="DM29" i="20"/>
  <c r="DF29" i="20"/>
  <c r="DN28" i="20"/>
  <c r="DM28" i="20"/>
  <c r="DF28" i="20"/>
  <c r="DN27" i="20"/>
  <c r="DM27" i="20"/>
  <c r="DF27" i="20"/>
  <c r="DN26" i="20"/>
  <c r="DM26" i="20"/>
  <c r="DF26" i="20"/>
  <c r="DN25" i="20"/>
  <c r="DM25" i="20"/>
  <c r="DF25" i="20"/>
  <c r="DN24" i="20"/>
  <c r="DM24" i="20"/>
  <c r="DF24" i="20"/>
  <c r="DN23" i="20"/>
  <c r="DM23" i="20"/>
  <c r="DF23" i="20"/>
  <c r="DN22" i="20"/>
  <c r="DM22" i="20"/>
  <c r="DF22" i="20"/>
  <c r="DN21" i="20"/>
  <c r="DM21" i="20"/>
  <c r="DF21" i="20"/>
  <c r="DN20" i="20"/>
  <c r="DM20" i="20"/>
  <c r="DF20" i="20"/>
  <c r="DN19" i="20"/>
  <c r="DM19" i="20"/>
  <c r="DF19" i="20"/>
  <c r="DN18" i="20"/>
  <c r="DM18" i="20"/>
  <c r="DF18" i="20"/>
  <c r="DN17" i="20"/>
  <c r="DM17" i="20"/>
  <c r="DF17" i="20"/>
  <c r="DN16" i="20"/>
  <c r="DM16" i="20"/>
  <c r="DF16" i="20"/>
  <c r="DN15" i="20"/>
  <c r="DM15" i="20"/>
  <c r="DF15" i="20"/>
  <c r="DN14" i="20"/>
  <c r="DM14" i="20"/>
  <c r="DF14" i="20"/>
  <c r="DF13" i="20"/>
  <c r="DN10" i="20"/>
  <c r="DM10" i="20"/>
  <c r="AJ6" i="20" l="1"/>
  <c r="AH6" i="20"/>
  <c r="CH5" i="20"/>
  <c r="CG5" i="20"/>
  <c r="BT5" i="20"/>
  <c r="BS5" i="20"/>
  <c r="AL5" i="20"/>
  <c r="AK5" i="20"/>
  <c r="AJ5" i="20"/>
  <c r="AI5" i="20"/>
  <c r="AH5" i="20"/>
  <c r="AG5" i="20"/>
  <c r="E5" i="20"/>
  <c r="D5" i="20"/>
  <c r="C5" i="20"/>
  <c r="B5" i="20"/>
  <c r="AV33" i="20" l="1"/>
  <c r="AV30" i="20"/>
  <c r="AV18" i="20"/>
  <c r="AV29" i="20"/>
  <c r="AV40" i="20"/>
  <c r="AV25" i="20"/>
  <c r="AV45" i="20"/>
  <c r="AV21" i="20"/>
  <c r="AV16" i="20"/>
  <c r="AV48" i="20"/>
  <c r="AV41" i="20"/>
  <c r="AV17" i="20"/>
  <c r="AV36" i="20"/>
  <c r="AV38" i="20"/>
  <c r="AV31" i="20"/>
  <c r="AV22" i="20"/>
  <c r="AV50" i="20"/>
  <c r="AV46" i="20"/>
  <c r="AV35" i="20"/>
  <c r="AV32" i="20"/>
  <c r="AV39" i="20"/>
  <c r="AV37" i="20"/>
  <c r="AV49" i="20"/>
  <c r="AV44" i="20"/>
  <c r="AV19" i="20"/>
  <c r="AV20" i="20"/>
  <c r="AV14" i="20"/>
  <c r="AX46" i="20" s="1"/>
  <c r="AV26" i="20"/>
  <c r="AV42" i="20"/>
  <c r="AW42" i="20" s="1"/>
  <c r="AV34" i="20"/>
  <c r="AW34" i="20" s="1"/>
  <c r="AV47" i="20"/>
  <c r="AW47" i="20" s="1"/>
  <c r="AV28" i="20"/>
  <c r="AW28" i="20" s="1"/>
  <c r="AV43" i="20"/>
  <c r="AV27" i="20"/>
  <c r="AV15" i="20"/>
  <c r="AV23" i="20"/>
  <c r="AV24" i="20"/>
  <c r="J80" i="20"/>
  <c r="J23" i="20"/>
  <c r="J67" i="20"/>
  <c r="J20" i="20"/>
  <c r="J77" i="20"/>
  <c r="J42" i="20"/>
  <c r="J66" i="20"/>
  <c r="J85" i="20"/>
  <c r="J53" i="20"/>
  <c r="J31" i="20"/>
  <c r="J81" i="20"/>
  <c r="J32" i="20"/>
  <c r="J86" i="20"/>
  <c r="J51" i="20"/>
  <c r="J33" i="20"/>
  <c r="J46" i="20"/>
  <c r="J59" i="20"/>
  <c r="J36" i="20"/>
  <c r="J18" i="20"/>
  <c r="J44" i="20"/>
  <c r="J30" i="20"/>
  <c r="J27" i="20"/>
  <c r="J50" i="20"/>
  <c r="J37" i="20"/>
  <c r="J74" i="20"/>
  <c r="J58" i="20"/>
  <c r="J73" i="20"/>
  <c r="J49" i="20"/>
  <c r="J62" i="20"/>
  <c r="J65" i="20"/>
  <c r="J68" i="20"/>
  <c r="J41" i="20"/>
  <c r="J38" i="20"/>
  <c r="J61" i="20"/>
  <c r="J56" i="20"/>
  <c r="J16" i="20"/>
  <c r="J54" i="20"/>
  <c r="J69" i="20"/>
  <c r="J84" i="20"/>
  <c r="J76" i="20"/>
  <c r="J47" i="20"/>
  <c r="J26" i="20"/>
  <c r="J34" i="20"/>
  <c r="J43" i="20"/>
  <c r="J83" i="20"/>
  <c r="J40" i="20"/>
  <c r="J75" i="20"/>
  <c r="J60" i="20"/>
  <c r="J82" i="20"/>
  <c r="J52" i="20"/>
  <c r="J35" i="20"/>
  <c r="J29" i="20"/>
  <c r="J48" i="20"/>
  <c r="J19" i="20"/>
  <c r="J72" i="20"/>
  <c r="J79" i="20"/>
  <c r="J25" i="20"/>
  <c r="J17" i="20"/>
  <c r="J28" i="20"/>
  <c r="J39" i="20"/>
  <c r="J24" i="20"/>
  <c r="J63" i="20"/>
  <c r="J22" i="20"/>
  <c r="J15" i="20"/>
  <c r="J78" i="20"/>
  <c r="J57" i="20"/>
  <c r="J55" i="20"/>
  <c r="J21" i="20"/>
  <c r="J45" i="20"/>
  <c r="J71" i="20"/>
  <c r="J70" i="20"/>
  <c r="J64" i="20"/>
  <c r="D74" i="20"/>
  <c r="D29" i="20"/>
  <c r="D61" i="20"/>
  <c r="D26" i="20"/>
  <c r="D86" i="20"/>
  <c r="D71" i="20"/>
  <c r="D48" i="20"/>
  <c r="D79" i="20"/>
  <c r="D69" i="20"/>
  <c r="D59" i="20"/>
  <c r="D19" i="20"/>
  <c r="D41" i="20"/>
  <c r="D30" i="20"/>
  <c r="D20" i="20"/>
  <c r="D31" i="20"/>
  <c r="D65" i="20"/>
  <c r="D16" i="20"/>
  <c r="D83" i="20"/>
  <c r="D77" i="20"/>
  <c r="D22" i="20"/>
  <c r="D62" i="20"/>
  <c r="D56" i="20"/>
  <c r="D46" i="20"/>
  <c r="D53" i="20"/>
  <c r="D82" i="20"/>
  <c r="D40" i="20"/>
  <c r="D28" i="20"/>
  <c r="D78" i="20"/>
  <c r="D15" i="20"/>
  <c r="D70" i="20"/>
  <c r="D43" i="20"/>
  <c r="D55" i="20"/>
  <c r="D18" i="20"/>
  <c r="D50" i="20"/>
  <c r="D35" i="20"/>
  <c r="D66" i="20"/>
  <c r="D85" i="20"/>
  <c r="D81" i="20"/>
  <c r="D51" i="20"/>
  <c r="D27" i="20"/>
  <c r="D25" i="20"/>
  <c r="D84" i="20"/>
  <c r="D36" i="20"/>
  <c r="D73" i="20"/>
  <c r="D17" i="20"/>
  <c r="D24" i="20"/>
  <c r="D23" i="20"/>
  <c r="D47" i="20"/>
  <c r="D49" i="20"/>
  <c r="D21" i="20"/>
  <c r="D42" i="20"/>
  <c r="D32" i="20"/>
  <c r="D63" i="20"/>
  <c r="D39" i="20"/>
  <c r="D76" i="20"/>
  <c r="D34" i="20"/>
  <c r="D33" i="20"/>
  <c r="D54" i="20"/>
  <c r="D60" i="20"/>
  <c r="D44" i="20"/>
  <c r="D75" i="20"/>
  <c r="D67" i="20"/>
  <c r="D45" i="20"/>
  <c r="D58" i="20"/>
  <c r="D80" i="20"/>
  <c r="D72" i="20"/>
  <c r="D37" i="20"/>
  <c r="D64" i="20"/>
  <c r="D57" i="20"/>
  <c r="D38" i="20"/>
  <c r="D52" i="20"/>
  <c r="D68" i="20"/>
  <c r="AO40" i="20"/>
  <c r="AO37" i="20"/>
  <c r="AO36" i="20"/>
  <c r="AO45" i="20"/>
  <c r="AO42" i="20"/>
  <c r="AO28" i="20"/>
  <c r="AO47" i="20"/>
  <c r="AO34" i="20"/>
  <c r="AO49" i="20"/>
  <c r="AO20" i="20"/>
  <c r="AO29" i="20"/>
  <c r="AO19" i="20"/>
  <c r="AO48" i="20"/>
  <c r="AO17" i="20"/>
  <c r="AO35" i="20"/>
  <c r="AO21" i="20"/>
  <c r="AO30" i="20"/>
  <c r="AO26" i="20"/>
  <c r="AO44" i="20"/>
  <c r="AO31" i="20"/>
  <c r="AO15" i="20"/>
  <c r="AO38" i="20"/>
  <c r="AO46" i="20"/>
  <c r="AO24" i="20"/>
  <c r="AO32" i="20"/>
  <c r="AO22" i="20"/>
  <c r="AO41" i="20"/>
  <c r="AO18" i="20"/>
  <c r="AO33" i="20"/>
  <c r="AO23" i="20"/>
  <c r="AO50" i="20"/>
  <c r="AO39" i="20"/>
  <c r="AO16" i="20"/>
  <c r="AO25" i="20"/>
  <c r="AO43" i="20"/>
  <c r="AO27" i="20"/>
  <c r="CI50" i="20"/>
  <c r="CI18" i="20"/>
  <c r="CI47" i="20"/>
  <c r="CI32" i="20"/>
  <c r="CI33" i="20"/>
  <c r="CI34" i="20"/>
  <c r="CI41" i="20"/>
  <c r="CI46" i="20"/>
  <c r="CI48" i="20"/>
  <c r="CI36" i="20"/>
  <c r="CI23" i="20"/>
  <c r="CI28" i="20"/>
  <c r="CI40" i="20"/>
  <c r="CI35" i="20"/>
  <c r="CI30" i="20"/>
  <c r="CI43" i="20"/>
  <c r="CI45" i="20"/>
  <c r="CI29" i="20"/>
  <c r="CI42" i="20"/>
  <c r="CI19" i="20"/>
  <c r="CI37" i="20"/>
  <c r="CI17" i="20"/>
  <c r="CI16" i="20"/>
  <c r="CI21" i="20"/>
  <c r="CI31" i="20"/>
  <c r="CI15" i="20"/>
  <c r="CI22" i="20"/>
  <c r="CI25" i="20"/>
  <c r="CI38" i="20"/>
  <c r="CI27" i="20"/>
  <c r="CI26" i="20"/>
  <c r="CI49" i="20"/>
  <c r="CI44" i="20"/>
  <c r="CI20" i="20"/>
  <c r="CI24" i="20"/>
  <c r="CI39" i="20"/>
  <c r="AI46" i="20"/>
  <c r="AI43" i="20"/>
  <c r="AI34" i="20"/>
  <c r="AI35" i="20"/>
  <c r="AI44" i="20"/>
  <c r="AI36" i="20"/>
  <c r="AI23" i="20"/>
  <c r="AI19" i="20"/>
  <c r="AI42" i="20"/>
  <c r="AI37" i="20"/>
  <c r="AI49" i="20"/>
  <c r="AI32" i="20"/>
  <c r="AI39" i="20"/>
  <c r="AI21" i="20"/>
  <c r="AI45" i="20"/>
  <c r="AI27" i="20"/>
  <c r="AI29" i="20"/>
  <c r="AI17" i="20"/>
  <c r="AI28" i="20"/>
  <c r="AI40" i="20"/>
  <c r="AI16" i="20"/>
  <c r="AI48" i="20"/>
  <c r="AI41" i="20"/>
  <c r="AI33" i="20"/>
  <c r="AI18" i="20"/>
  <c r="AI38" i="20"/>
  <c r="AI15" i="20"/>
  <c r="AI31" i="20"/>
  <c r="AI22" i="20"/>
  <c r="AI30" i="20"/>
  <c r="AI20" i="20"/>
  <c r="AI24" i="20"/>
  <c r="AI47" i="20"/>
  <c r="AI26" i="20"/>
  <c r="AI25" i="20"/>
  <c r="AI50" i="20"/>
  <c r="BX22" i="20"/>
  <c r="BX19" i="20"/>
  <c r="BX41" i="20"/>
  <c r="BX48" i="20"/>
  <c r="BX32" i="20"/>
  <c r="BX50" i="20"/>
  <c r="BX37" i="20"/>
  <c r="BX29" i="20"/>
  <c r="BX18" i="20"/>
  <c r="BX24" i="20"/>
  <c r="BX26" i="20"/>
  <c r="BX20" i="20"/>
  <c r="BX15" i="20"/>
  <c r="BX47" i="20"/>
  <c r="BX28" i="20"/>
  <c r="BX40" i="20"/>
  <c r="BX49" i="20"/>
  <c r="BX42" i="20"/>
  <c r="BX30" i="20"/>
  <c r="BX31" i="20"/>
  <c r="BX25" i="20"/>
  <c r="BX46" i="20"/>
  <c r="BX45" i="20"/>
  <c r="BX36" i="20"/>
  <c r="BX17" i="20"/>
  <c r="BX16" i="20"/>
  <c r="BX23" i="20"/>
  <c r="BX39" i="20"/>
  <c r="BX27" i="20"/>
  <c r="BX33" i="20"/>
  <c r="BX43" i="20"/>
  <c r="BX34" i="20"/>
  <c r="BX38" i="20"/>
  <c r="BX44" i="20"/>
  <c r="BX21" i="20"/>
  <c r="BX35" i="20"/>
  <c r="BU25" i="20"/>
  <c r="BU22" i="20"/>
  <c r="BU44" i="20"/>
  <c r="BU47" i="20"/>
  <c r="BU31" i="20"/>
  <c r="BU43" i="20"/>
  <c r="BU32" i="20"/>
  <c r="BU35" i="20"/>
  <c r="BU29" i="20"/>
  <c r="BU17" i="20"/>
  <c r="BU41" i="20"/>
  <c r="BU50" i="20"/>
  <c r="BU38" i="20"/>
  <c r="BU24" i="20"/>
  <c r="BU20" i="20"/>
  <c r="BU33" i="20"/>
  <c r="BU26" i="20"/>
  <c r="BU15" i="20"/>
  <c r="BU18" i="20"/>
  <c r="BU46" i="20"/>
  <c r="BU39" i="20"/>
  <c r="BU21" i="20"/>
  <c r="BU42" i="20"/>
  <c r="BU30" i="20"/>
  <c r="BU48" i="20"/>
  <c r="BU36" i="20"/>
  <c r="BU19" i="20"/>
  <c r="BU37" i="20"/>
  <c r="BU49" i="20"/>
  <c r="BU27" i="20"/>
  <c r="BU16" i="20"/>
  <c r="BU40" i="20"/>
  <c r="BU34" i="20"/>
  <c r="BU23" i="20"/>
  <c r="BU45" i="20"/>
  <c r="BU28" i="20"/>
  <c r="CL47" i="20"/>
  <c r="CL44" i="20"/>
  <c r="CL33" i="20"/>
  <c r="CL34" i="20"/>
  <c r="CL49" i="20"/>
  <c r="CL35" i="20"/>
  <c r="CL50" i="20"/>
  <c r="CL36" i="20"/>
  <c r="CL48" i="20"/>
  <c r="CL39" i="20"/>
  <c r="CL30" i="20"/>
  <c r="CL27" i="20"/>
  <c r="CL40" i="20"/>
  <c r="CL18" i="20"/>
  <c r="CL37" i="20"/>
  <c r="CL43" i="20"/>
  <c r="CL46" i="20"/>
  <c r="CL32" i="20"/>
  <c r="CL21" i="20"/>
  <c r="CL29" i="20"/>
  <c r="CL41" i="20"/>
  <c r="CL42" i="20"/>
  <c r="CL28" i="20"/>
  <c r="CL45" i="20"/>
  <c r="CL22" i="20"/>
  <c r="CL19" i="20"/>
  <c r="CL16" i="20"/>
  <c r="CL17" i="20"/>
  <c r="CL20" i="20"/>
  <c r="CL31" i="20"/>
  <c r="CL23" i="20"/>
  <c r="CL15" i="20"/>
  <c r="CL24" i="20"/>
  <c r="CL38" i="20"/>
  <c r="CL25" i="20"/>
  <c r="CL26" i="20"/>
  <c r="AX21" i="20" l="1"/>
  <c r="AX45" i="20"/>
  <c r="AX16" i="20"/>
  <c r="AX34" i="20"/>
  <c r="AX20" i="20"/>
  <c r="AX18" i="20"/>
  <c r="AW39" i="20"/>
  <c r="AX44" i="20"/>
  <c r="AW32" i="20"/>
  <c r="AX26" i="20"/>
  <c r="AW35" i="20"/>
  <c r="AW31" i="20"/>
  <c r="AW46" i="20"/>
  <c r="AX36" i="20"/>
  <c r="AW38" i="20"/>
  <c r="AW26" i="20"/>
  <c r="AW20" i="20"/>
  <c r="AW44" i="20"/>
  <c r="AW22" i="20"/>
  <c r="AX32" i="20"/>
  <c r="AX43" i="20"/>
  <c r="AX25" i="20"/>
  <c r="AW36" i="20"/>
  <c r="AX48" i="20"/>
  <c r="AW49" i="20"/>
  <c r="AW17" i="20"/>
  <c r="AW48" i="20"/>
  <c r="AW45" i="20"/>
  <c r="AX41" i="20"/>
  <c r="AW50" i="20"/>
  <c r="AX50" i="20"/>
  <c r="AX23" i="20"/>
  <c r="AX28" i="20"/>
  <c r="AW25" i="20"/>
  <c r="AX42" i="20"/>
  <c r="AX37" i="20"/>
  <c r="AX35" i="20"/>
  <c r="AX33" i="20"/>
  <c r="AX27" i="20"/>
  <c r="AX31" i="20"/>
  <c r="AW24" i="20"/>
  <c r="AW40" i="20"/>
  <c r="AW37" i="20"/>
  <c r="AX38" i="20"/>
  <c r="AX30" i="20"/>
  <c r="AX24" i="20"/>
  <c r="AX19" i="20"/>
  <c r="AW23" i="20"/>
  <c r="AW29" i="20"/>
  <c r="AW19" i="20"/>
  <c r="AX49" i="20"/>
  <c r="AW41" i="20"/>
  <c r="AX15" i="20"/>
  <c r="AW15" i="20"/>
  <c r="AW18" i="20"/>
  <c r="AX40" i="20"/>
  <c r="AX29" i="20"/>
  <c r="AX17" i="20"/>
  <c r="AW21" i="20"/>
  <c r="AX47" i="20"/>
  <c r="AW27" i="20"/>
  <c r="AW30" i="20"/>
  <c r="AX22" i="20"/>
  <c r="AW16" i="20"/>
  <c r="AX39" i="20"/>
  <c r="AW43" i="20"/>
  <c r="AW33" i="20"/>
  <c r="AP39" i="20" l="1"/>
  <c r="AP36" i="20"/>
  <c r="AP50" i="20"/>
  <c r="AP45" i="20"/>
  <c r="AP38" i="20"/>
  <c r="AP27" i="20"/>
  <c r="AP28" i="20"/>
  <c r="AP37" i="20"/>
  <c r="AP31" i="20"/>
  <c r="AP24" i="20"/>
  <c r="AP49" i="20"/>
  <c r="AP40" i="20"/>
  <c r="AP20" i="20"/>
  <c r="AP42" i="20"/>
  <c r="AP34" i="20"/>
  <c r="AP19" i="20"/>
  <c r="AP48" i="20"/>
  <c r="AP17" i="20"/>
  <c r="AP41" i="20"/>
  <c r="AP47" i="20"/>
  <c r="AP26" i="20"/>
  <c r="AP22" i="20"/>
  <c r="AP15" i="20"/>
  <c r="AP35" i="20"/>
  <c r="AP18" i="20"/>
  <c r="AP43" i="20"/>
  <c r="AP21" i="20"/>
  <c r="AP44" i="20"/>
  <c r="AP29" i="20"/>
  <c r="AP30" i="20"/>
  <c r="AP46" i="20"/>
  <c r="AP32" i="20"/>
  <c r="AP16" i="20"/>
  <c r="AP33" i="20"/>
  <c r="AP25" i="20"/>
  <c r="AP23" i="20"/>
  <c r="AP14" i="20"/>
  <c r="AS36" i="20"/>
  <c r="AT36" i="20" s="1"/>
  <c r="AS33" i="20"/>
  <c r="AT33" i="20" s="1"/>
  <c r="AS47" i="20"/>
  <c r="AT47" i="20" s="1"/>
  <c r="AS45" i="20"/>
  <c r="AT45" i="20" s="1"/>
  <c r="AS37" i="20"/>
  <c r="AT37" i="20" s="1"/>
  <c r="AS46" i="20"/>
  <c r="AT46" i="20" s="1"/>
  <c r="AS28" i="20"/>
  <c r="AT28" i="20" s="1"/>
  <c r="AS42" i="20"/>
  <c r="AT42" i="20" s="1"/>
  <c r="AS40" i="20"/>
  <c r="AT40" i="20" s="1"/>
  <c r="AS34" i="20"/>
  <c r="AT34" i="20" s="1"/>
  <c r="AS20" i="20"/>
  <c r="AT20" i="20" s="1"/>
  <c r="AS49" i="20"/>
  <c r="AT49" i="20" s="1"/>
  <c r="AS15" i="20"/>
  <c r="AT15" i="20" s="1"/>
  <c r="AS25" i="20"/>
  <c r="AT25" i="20" s="1"/>
  <c r="AS17" i="20"/>
  <c r="AT17" i="20" s="1"/>
  <c r="AS48" i="20"/>
  <c r="AT48" i="20" s="1"/>
  <c r="AS41" i="20"/>
  <c r="AT41" i="20" s="1"/>
  <c r="AS38" i="20"/>
  <c r="AT38" i="20" s="1"/>
  <c r="AS31" i="20"/>
  <c r="AT31" i="20" s="1"/>
  <c r="AS24" i="20"/>
  <c r="AT24" i="20" s="1"/>
  <c r="AS39" i="20"/>
  <c r="AT39" i="20" s="1"/>
  <c r="AS35" i="20"/>
  <c r="AT35" i="20" s="1"/>
  <c r="AS27" i="20"/>
  <c r="AT27" i="20" s="1"/>
  <c r="AS44" i="20"/>
  <c r="AT44" i="20" s="1"/>
  <c r="AS29" i="20"/>
  <c r="AT29" i="20" s="1"/>
  <c r="AS18" i="20"/>
  <c r="AT18" i="20" s="1"/>
  <c r="AS19" i="20"/>
  <c r="AS16" i="20"/>
  <c r="AS22" i="20"/>
  <c r="AS14" i="20"/>
  <c r="AS32" i="20"/>
  <c r="AT32" i="20" s="1"/>
  <c r="AS23" i="20"/>
  <c r="AT23" i="20" s="1"/>
  <c r="AS26" i="20"/>
  <c r="AT26" i="20" s="1"/>
  <c r="AS30" i="20"/>
  <c r="AT30" i="20" s="1"/>
  <c r="AS21" i="20"/>
  <c r="AT21" i="20" s="1"/>
  <c r="AS43" i="20"/>
  <c r="AT43" i="20" s="1"/>
  <c r="AS50" i="20"/>
  <c r="AT50" i="20" s="1"/>
  <c r="AR17" i="20" l="1"/>
  <c r="AR18" i="20"/>
  <c r="AR46" i="20"/>
  <c r="AR34" i="20"/>
  <c r="AR42" i="20"/>
  <c r="AR47" i="20"/>
  <c r="AR20" i="20"/>
  <c r="AR41" i="20"/>
  <c r="AR24" i="20"/>
  <c r="AR36" i="20"/>
  <c r="AR43" i="20"/>
  <c r="AR50" i="20"/>
  <c r="AR44" i="20"/>
  <c r="AR29" i="20"/>
  <c r="AR48" i="20"/>
  <c r="AR15" i="20"/>
  <c r="AR40" i="20"/>
  <c r="AR33" i="20"/>
  <c r="AR45" i="20"/>
  <c r="AR39" i="20"/>
  <c r="AR30" i="20"/>
  <c r="AR28" i="20"/>
  <c r="AR35" i="20"/>
  <c r="AR26" i="20"/>
  <c r="AR49" i="20"/>
  <c r="AR27" i="20"/>
  <c r="AR38" i="20"/>
  <c r="AR25" i="20"/>
  <c r="AR31" i="20"/>
  <c r="AR19" i="20"/>
  <c r="AR16" i="20"/>
  <c r="AR32" i="20"/>
  <c r="AR22" i="20"/>
  <c r="AR23" i="20"/>
  <c r="AR21" i="20"/>
  <c r="AR37" i="20"/>
  <c r="AQ29" i="20"/>
  <c r="AQ46" i="20"/>
  <c r="AQ21" i="20"/>
  <c r="AQ15" i="20"/>
  <c r="AQ48" i="20"/>
  <c r="AQ31" i="20"/>
  <c r="AQ44" i="20"/>
  <c r="AQ32" i="20"/>
  <c r="AQ35" i="20"/>
  <c r="AQ19" i="20"/>
  <c r="AQ27" i="20"/>
  <c r="AQ30" i="20"/>
  <c r="AQ22" i="20"/>
  <c r="AQ42" i="20"/>
  <c r="AQ23" i="20"/>
  <c r="AQ38" i="20"/>
  <c r="AQ18" i="20"/>
  <c r="AQ17" i="20"/>
  <c r="AQ45" i="20"/>
  <c r="AQ43" i="20"/>
  <c r="AQ20" i="20"/>
  <c r="AQ24" i="20"/>
  <c r="AQ25" i="20"/>
  <c r="AQ50" i="20"/>
  <c r="AQ47" i="20"/>
  <c r="AQ40" i="20"/>
  <c r="AQ28" i="20"/>
  <c r="AU24" i="20"/>
  <c r="AU40" i="20"/>
  <c r="AU42" i="20"/>
  <c r="AU44" i="20"/>
  <c r="AU16" i="20"/>
  <c r="AU27" i="20"/>
  <c r="AU45" i="20"/>
  <c r="AU41" i="20"/>
  <c r="AU33" i="20"/>
  <c r="AU29" i="20"/>
  <c r="AU23" i="20"/>
  <c r="AU25" i="20"/>
  <c r="AU30" i="20"/>
  <c r="AU38" i="20"/>
  <c r="AU19" i="20"/>
  <c r="AU22" i="20"/>
  <c r="AU37" i="20"/>
  <c r="AU26" i="20"/>
  <c r="AU49" i="20"/>
  <c r="AU48" i="20"/>
  <c r="AU46" i="20"/>
  <c r="AU43" i="20"/>
  <c r="AU21" i="20"/>
  <c r="AU50" i="20"/>
  <c r="AU18" i="20"/>
  <c r="AU35" i="20"/>
  <c r="AU28" i="20"/>
  <c r="AU31" i="20"/>
  <c r="AU32" i="20"/>
  <c r="AU39" i="20"/>
  <c r="AU20" i="20"/>
  <c r="AU36" i="20"/>
  <c r="AU34" i="20"/>
  <c r="AU47" i="20"/>
  <c r="AU17" i="20"/>
  <c r="AU15" i="20"/>
  <c r="AT16" i="20"/>
  <c r="AQ33" i="20"/>
  <c r="AQ36" i="20"/>
  <c r="AQ26" i="20"/>
  <c r="AQ41" i="20"/>
  <c r="AQ34" i="20"/>
  <c r="AQ49" i="20"/>
  <c r="AQ37" i="20"/>
  <c r="AT22" i="20"/>
  <c r="AT19" i="20"/>
  <c r="AQ16" i="20"/>
  <c r="AQ39" i="20"/>
  <c r="AJ45" i="20" l="1"/>
  <c r="AJ42" i="20"/>
  <c r="AJ49" i="20"/>
  <c r="AJ44" i="20"/>
  <c r="AJ25" i="20"/>
  <c r="AJ47" i="20"/>
  <c r="AJ37" i="20"/>
  <c r="AJ28" i="20"/>
  <c r="AJ24" i="20"/>
  <c r="AJ39" i="20"/>
  <c r="AJ21" i="20"/>
  <c r="AJ27" i="20"/>
  <c r="AJ34" i="20"/>
  <c r="AJ23" i="20"/>
  <c r="AJ29" i="20"/>
  <c r="AJ19" i="20"/>
  <c r="AJ40" i="20"/>
  <c r="AJ22" i="20"/>
  <c r="AJ15" i="20"/>
  <c r="AJ16" i="20"/>
  <c r="AJ38" i="20"/>
  <c r="AJ48" i="20"/>
  <c r="AJ14" i="20"/>
  <c r="AJ32" i="20"/>
  <c r="AJ43" i="20"/>
  <c r="AJ35" i="20"/>
  <c r="AK35" i="20" s="1"/>
  <c r="AJ36" i="20"/>
  <c r="AK36" i="20" s="1"/>
  <c r="AJ41" i="20"/>
  <c r="AK41" i="20" s="1"/>
  <c r="AJ20" i="20"/>
  <c r="AK20" i="20" s="1"/>
  <c r="AJ31" i="20"/>
  <c r="AK31" i="20" s="1"/>
  <c r="AJ26" i="20"/>
  <c r="AK26" i="20" s="1"/>
  <c r="AJ30" i="20"/>
  <c r="AK30" i="20" s="1"/>
  <c r="AJ18" i="20"/>
  <c r="AJ50" i="20"/>
  <c r="AJ46" i="20"/>
  <c r="AJ33" i="20"/>
  <c r="AJ17" i="20"/>
  <c r="AM42" i="20"/>
  <c r="AM39" i="20"/>
  <c r="AM50" i="20"/>
  <c r="AM37" i="20"/>
  <c r="AM26" i="20"/>
  <c r="AM45" i="20"/>
  <c r="AM38" i="20"/>
  <c r="AM41" i="20"/>
  <c r="AM28" i="20"/>
  <c r="AM31" i="20"/>
  <c r="AM24" i="20"/>
  <c r="AM47" i="20"/>
  <c r="AM49" i="20"/>
  <c r="AM20" i="20"/>
  <c r="AM34" i="20"/>
  <c r="AM23" i="20"/>
  <c r="AM29" i="20"/>
  <c r="AM19" i="20"/>
  <c r="AM48" i="20"/>
  <c r="AM14" i="20"/>
  <c r="AP4" i="20" s="1"/>
  <c r="AM15" i="20"/>
  <c r="AM32" i="20"/>
  <c r="AM40" i="20"/>
  <c r="AM35" i="20"/>
  <c r="AM44" i="20"/>
  <c r="AN44" i="20" s="1"/>
  <c r="AM30" i="20"/>
  <c r="AM17" i="20"/>
  <c r="AM18" i="20"/>
  <c r="AM21" i="20"/>
  <c r="AM22" i="20"/>
  <c r="AM16" i="20"/>
  <c r="AM36" i="20"/>
  <c r="AM27" i="20"/>
  <c r="AM46" i="20"/>
  <c r="AM25" i="20"/>
  <c r="AM43" i="20"/>
  <c r="AM33" i="20"/>
  <c r="AN35" i="20" l="1"/>
  <c r="AN40" i="20"/>
  <c r="AN15" i="20"/>
  <c r="AN32" i="20"/>
  <c r="AN30" i="20"/>
  <c r="AN34" i="20"/>
  <c r="AG48" i="20"/>
  <c r="AG45" i="20"/>
  <c r="AG43" i="20"/>
  <c r="AG49" i="20"/>
  <c r="AG24" i="20"/>
  <c r="AG44" i="20"/>
  <c r="AG33" i="20"/>
  <c r="AG23" i="20"/>
  <c r="AG42" i="20"/>
  <c r="AG37" i="20"/>
  <c r="AG25" i="20"/>
  <c r="AG16" i="20"/>
  <c r="AG32" i="20"/>
  <c r="AG39" i="20"/>
  <c r="AG21" i="20"/>
  <c r="AG34" i="20"/>
  <c r="AG27" i="20"/>
  <c r="AG41" i="20"/>
  <c r="AG14" i="20"/>
  <c r="AO4" i="20" s="1"/>
  <c r="AG22" i="20"/>
  <c r="AH22" i="20" s="1"/>
  <c r="AG31" i="20"/>
  <c r="AH31" i="20" s="1"/>
  <c r="AG19" i="20"/>
  <c r="AH19" i="20" s="1"/>
  <c r="AG29" i="20"/>
  <c r="AH29" i="20" s="1"/>
  <c r="AG30" i="20"/>
  <c r="AH30" i="20" s="1"/>
  <c r="AY30" i="20" s="1"/>
  <c r="AG26" i="20"/>
  <c r="AH26" i="20" s="1"/>
  <c r="AY26" i="20" s="1"/>
  <c r="AG28" i="20"/>
  <c r="AH28" i="20" s="1"/>
  <c r="AG40" i="20"/>
  <c r="AH40" i="20" s="1"/>
  <c r="AY40" i="20" s="1"/>
  <c r="AG35" i="20"/>
  <c r="AH35" i="20" s="1"/>
  <c r="AY35" i="20" s="1"/>
  <c r="AG36" i="20"/>
  <c r="AH36" i="20" s="1"/>
  <c r="AG17" i="20"/>
  <c r="AH17" i="20" s="1"/>
  <c r="AG18" i="20"/>
  <c r="AH18" i="20" s="1"/>
  <c r="AG38" i="20"/>
  <c r="AG20" i="20"/>
  <c r="AG47" i="20"/>
  <c r="AG46" i="20"/>
  <c r="AG50" i="20"/>
  <c r="AG15" i="20"/>
  <c r="AK48" i="20"/>
  <c r="AN49" i="20"/>
  <c r="AK29" i="20"/>
  <c r="AN45" i="20"/>
  <c r="AK37" i="20"/>
  <c r="AN29" i="20"/>
  <c r="AN23" i="20"/>
  <c r="AN47" i="20"/>
  <c r="AN31" i="20"/>
  <c r="AN38" i="20"/>
  <c r="AK39" i="20"/>
  <c r="AK47" i="20"/>
  <c r="AN48" i="20"/>
  <c r="AK38" i="20"/>
  <c r="AK40" i="20"/>
  <c r="AN41" i="20"/>
  <c r="AN26" i="20"/>
  <c r="AN50" i="20"/>
  <c r="AK17" i="20"/>
  <c r="AK25" i="20"/>
  <c r="AK32" i="20"/>
  <c r="AK15" i="20"/>
  <c r="AK23" i="20"/>
  <c r="AN33" i="20"/>
  <c r="AN43" i="20"/>
  <c r="AK28" i="20"/>
  <c r="AK33" i="20"/>
  <c r="AK44" i="20"/>
  <c r="AL43" i="20"/>
  <c r="AL46" i="20"/>
  <c r="AL40" i="20"/>
  <c r="AL26" i="20"/>
  <c r="AL47" i="20"/>
  <c r="AL23" i="20"/>
  <c r="AL35" i="20"/>
  <c r="AL25" i="20"/>
  <c r="AL34" i="20"/>
  <c r="AL15" i="20"/>
  <c r="AL41" i="20"/>
  <c r="AL17" i="20"/>
  <c r="AL36" i="20"/>
  <c r="AL48" i="20"/>
  <c r="AL45" i="20"/>
  <c r="AL49" i="20"/>
  <c r="AL39" i="20"/>
  <c r="AL19" i="20"/>
  <c r="AL27" i="20"/>
  <c r="AL42" i="20"/>
  <c r="AL50" i="20"/>
  <c r="AL31" i="20"/>
  <c r="AL28" i="20"/>
  <c r="AL20" i="20"/>
  <c r="AL37" i="20"/>
  <c r="AL24" i="20"/>
  <c r="AL29" i="20"/>
  <c r="AL33" i="20"/>
  <c r="AL38" i="20"/>
  <c r="AL21" i="20"/>
  <c r="AL30" i="20"/>
  <c r="AL44" i="20"/>
  <c r="AL22" i="20"/>
  <c r="AL16" i="20"/>
  <c r="AL18" i="20"/>
  <c r="AL32" i="20"/>
  <c r="AN20" i="20"/>
  <c r="AN24" i="20"/>
  <c r="AK34" i="20"/>
  <c r="AK24" i="20"/>
  <c r="AN27" i="20"/>
  <c r="AN16" i="20"/>
  <c r="AK46" i="20"/>
  <c r="AK49" i="20"/>
  <c r="AN19" i="20"/>
  <c r="AK22" i="20"/>
  <c r="AN28" i="20"/>
  <c r="AK21" i="20"/>
  <c r="AN25" i="20"/>
  <c r="AN39" i="20"/>
  <c r="AN36" i="20"/>
  <c r="AN18" i="20"/>
  <c r="AK50" i="20"/>
  <c r="AK42" i="20"/>
  <c r="AK43" i="20"/>
  <c r="AK16" i="20"/>
  <c r="AK19" i="20"/>
  <c r="AK27" i="20"/>
  <c r="AN37" i="20"/>
  <c r="AN46" i="20"/>
  <c r="AN42" i="20"/>
  <c r="AN22" i="20"/>
  <c r="AN21" i="20"/>
  <c r="AN17" i="20"/>
  <c r="AK18" i="20"/>
  <c r="AK45" i="20"/>
  <c r="AY17" i="20" l="1"/>
  <c r="AY36" i="20"/>
  <c r="AY18" i="20"/>
  <c r="AY19" i="20"/>
  <c r="AH38" i="20"/>
  <c r="AY38" i="20" s="1"/>
  <c r="K65" i="20"/>
  <c r="K22" i="20"/>
  <c r="K84" i="20"/>
  <c r="K52" i="20"/>
  <c r="K19" i="20"/>
  <c r="K62" i="20"/>
  <c r="K41" i="20"/>
  <c r="K83" i="20"/>
  <c r="K70" i="20"/>
  <c r="K71" i="20"/>
  <c r="K66" i="20"/>
  <c r="K61" i="20"/>
  <c r="K48" i="20"/>
  <c r="K21" i="20"/>
  <c r="K86" i="20"/>
  <c r="K51" i="20"/>
  <c r="K68" i="20"/>
  <c r="K63" i="20"/>
  <c r="K43" i="20"/>
  <c r="K38" i="20"/>
  <c r="K59" i="20"/>
  <c r="K56" i="20"/>
  <c r="K53" i="20"/>
  <c r="K39" i="20"/>
  <c r="K33" i="20"/>
  <c r="K18" i="20"/>
  <c r="K44" i="20"/>
  <c r="K73" i="20"/>
  <c r="K50" i="20"/>
  <c r="K37" i="20"/>
  <c r="L37" i="20" s="1"/>
  <c r="K74" i="20"/>
  <c r="K46" i="20"/>
  <c r="K85" i="20"/>
  <c r="K58" i="20"/>
  <c r="K49" i="20"/>
  <c r="K81" i="20"/>
  <c r="K42" i="20"/>
  <c r="K23" i="20"/>
  <c r="K16" i="20"/>
  <c r="K76" i="20"/>
  <c r="K79" i="20"/>
  <c r="K77" i="20"/>
  <c r="K36" i="20"/>
  <c r="K35" i="20"/>
  <c r="K29" i="20"/>
  <c r="K47" i="20"/>
  <c r="K26" i="20"/>
  <c r="K75" i="20"/>
  <c r="K28" i="20"/>
  <c r="K54" i="20"/>
  <c r="K34" i="20"/>
  <c r="K40" i="20"/>
  <c r="K60" i="20"/>
  <c r="K67" i="20"/>
  <c r="K45" i="20"/>
  <c r="K72" i="20"/>
  <c r="K14" i="20"/>
  <c r="K30" i="20"/>
  <c r="K80" i="20"/>
  <c r="L80" i="20" s="1"/>
  <c r="K20" i="20"/>
  <c r="K64" i="20"/>
  <c r="K57" i="20"/>
  <c r="K31" i="20"/>
  <c r="K82" i="20"/>
  <c r="K32" i="20"/>
  <c r="K27" i="20"/>
  <c r="K24" i="20"/>
  <c r="K78" i="20"/>
  <c r="K69" i="20"/>
  <c r="K25" i="20"/>
  <c r="K17" i="20"/>
  <c r="K55" i="20"/>
  <c r="K15" i="20"/>
  <c r="BC35" i="20"/>
  <c r="DH34" i="20" s="1"/>
  <c r="BC19" i="20"/>
  <c r="DH18" i="20" s="1"/>
  <c r="BB29" i="20"/>
  <c r="BB26" i="20"/>
  <c r="BC26" i="20" s="1"/>
  <c r="DH25" i="20" s="1"/>
  <c r="BB48" i="20"/>
  <c r="BB47" i="20"/>
  <c r="BB41" i="20"/>
  <c r="BB49" i="20"/>
  <c r="BB45" i="20"/>
  <c r="BB21" i="20"/>
  <c r="BB38" i="20"/>
  <c r="BC38" i="20" s="1"/>
  <c r="DH37" i="20" s="1"/>
  <c r="BB16" i="20"/>
  <c r="BB43" i="20"/>
  <c r="BB32" i="20"/>
  <c r="BB31" i="20"/>
  <c r="BB22" i="20"/>
  <c r="BB44" i="20"/>
  <c r="BB24" i="20"/>
  <c r="BB20" i="20"/>
  <c r="BB33" i="20"/>
  <c r="BB40" i="20"/>
  <c r="BC40" i="20" s="1"/>
  <c r="DH39" i="20" s="1"/>
  <c r="BB37" i="20"/>
  <c r="BB19" i="20"/>
  <c r="BB36" i="20"/>
  <c r="BC36" i="20" s="1"/>
  <c r="DH35" i="20" s="1"/>
  <c r="BB34" i="20"/>
  <c r="BB50" i="20"/>
  <c r="BB46" i="20"/>
  <c r="BB23" i="20"/>
  <c r="BB35" i="20"/>
  <c r="BB30" i="20"/>
  <c r="BC30" i="20" s="1"/>
  <c r="DH29" i="20" s="1"/>
  <c r="BB18" i="20"/>
  <c r="BB17" i="20"/>
  <c r="BC17" i="20" s="1"/>
  <c r="DH16" i="20" s="1"/>
  <c r="BB15" i="20"/>
  <c r="BB25" i="20"/>
  <c r="BB39" i="20"/>
  <c r="BB27" i="20"/>
  <c r="BB28" i="20"/>
  <c r="BB14" i="20"/>
  <c r="BC14" i="20" s="1"/>
  <c r="DH13" i="20" s="1"/>
  <c r="BB42" i="20"/>
  <c r="AH34" i="20"/>
  <c r="AY34" i="20" s="1"/>
  <c r="BC34" i="20" s="1"/>
  <c r="DH33" i="20" s="1"/>
  <c r="AH33" i="20"/>
  <c r="AY33" i="20" s="1"/>
  <c r="AY31" i="20"/>
  <c r="AH32" i="20"/>
  <c r="AY32" i="20" s="1"/>
  <c r="AH37" i="20"/>
  <c r="AY37" i="20" s="1"/>
  <c r="AH44" i="20"/>
  <c r="AY44" i="20" s="1"/>
  <c r="BC18" i="20"/>
  <c r="DH17" i="20" s="1"/>
  <c r="AY22" i="20"/>
  <c r="AH39" i="20"/>
  <c r="AY39" i="20" s="1"/>
  <c r="BC39" i="20" s="1"/>
  <c r="DH38" i="20" s="1"/>
  <c r="AH15" i="20"/>
  <c r="AY15" i="20" s="1"/>
  <c r="BC15" i="20" s="1"/>
  <c r="DH14" i="20" s="1"/>
  <c r="AH24" i="20"/>
  <c r="AY24" i="20" s="1"/>
  <c r="BC24" i="20" s="1"/>
  <c r="DH23" i="20" s="1"/>
  <c r="DL23" i="20" s="1"/>
  <c r="AH16" i="20"/>
  <c r="AY16" i="20" s="1"/>
  <c r="AH50" i="20"/>
  <c r="AY50" i="20" s="1"/>
  <c r="AH49" i="20"/>
  <c r="AY49" i="20" s="1"/>
  <c r="AY29" i="20"/>
  <c r="AH27" i="20"/>
  <c r="AY27" i="20" s="1"/>
  <c r="AH46" i="20"/>
  <c r="AY46" i="20" s="1"/>
  <c r="AH43" i="20"/>
  <c r="AY43" i="20" s="1"/>
  <c r="AH41" i="20"/>
  <c r="AY41" i="20" s="1"/>
  <c r="AH21" i="20"/>
  <c r="AY21" i="20" s="1"/>
  <c r="AH42" i="20"/>
  <c r="AY42" i="20" s="1"/>
  <c r="AH47" i="20"/>
  <c r="AY47" i="20" s="1"/>
  <c r="AH45" i="20"/>
  <c r="AY45" i="20" s="1"/>
  <c r="AY28" i="20"/>
  <c r="AH25" i="20"/>
  <c r="AY25" i="20" s="1"/>
  <c r="AH23" i="20"/>
  <c r="AY23" i="20" s="1"/>
  <c r="BC23" i="20" s="1"/>
  <c r="DH22" i="20" s="1"/>
  <c r="AH20" i="20"/>
  <c r="AY20" i="20" s="1"/>
  <c r="AH48" i="20"/>
  <c r="AY48" i="20" s="1"/>
  <c r="L57" i="20" l="1"/>
  <c r="L64" i="20"/>
  <c r="L50" i="20"/>
  <c r="L20" i="20"/>
  <c r="L73" i="20"/>
  <c r="DL35" i="20"/>
  <c r="BC16" i="20"/>
  <c r="DH15" i="20" s="1"/>
  <c r="DL14" i="20"/>
  <c r="DL15" i="20"/>
  <c r="L31" i="20"/>
  <c r="L74" i="20"/>
  <c r="DL39" i="20"/>
  <c r="BC37" i="20"/>
  <c r="DH36" i="20" s="1"/>
  <c r="L15" i="20"/>
  <c r="L56" i="20"/>
  <c r="BC32" i="20"/>
  <c r="DH31" i="20" s="1"/>
  <c r="BC28" i="20"/>
  <c r="DH27" i="20" s="1"/>
  <c r="BC22" i="20"/>
  <c r="DH21" i="20" s="1"/>
  <c r="DL22" i="20" s="1"/>
  <c r="BC46" i="20"/>
  <c r="DH45" i="20" s="1"/>
  <c r="L33" i="20"/>
  <c r="BC48" i="20"/>
  <c r="DH47" i="20" s="1"/>
  <c r="DL37" i="20"/>
  <c r="BC25" i="20"/>
  <c r="DH24" i="20" s="1"/>
  <c r="DL25" i="20" s="1"/>
  <c r="DL16" i="20"/>
  <c r="L82" i="20"/>
  <c r="L46" i="20"/>
  <c r="M44" i="20"/>
  <c r="M82" i="20"/>
  <c r="M58" i="20"/>
  <c r="M26" i="20"/>
  <c r="M67" i="20"/>
  <c r="M19" i="20"/>
  <c r="M29" i="20"/>
  <c r="M47" i="20"/>
  <c r="M42" i="20"/>
  <c r="M76" i="20"/>
  <c r="M43" i="20"/>
  <c r="M75" i="20"/>
  <c r="M34" i="20"/>
  <c r="M83" i="20"/>
  <c r="M30" i="20"/>
  <c r="M48" i="20"/>
  <c r="M41" i="20"/>
  <c r="M24" i="20"/>
  <c r="M16" i="20"/>
  <c r="M25" i="20"/>
  <c r="M49" i="20"/>
  <c r="M37" i="20"/>
  <c r="M28" i="20"/>
  <c r="M78" i="20"/>
  <c r="M68" i="20"/>
  <c r="M27" i="20"/>
  <c r="M59" i="20"/>
  <c r="M66" i="20"/>
  <c r="M84" i="20"/>
  <c r="M23" i="20"/>
  <c r="M80" i="20"/>
  <c r="M22" i="20"/>
  <c r="M51" i="20"/>
  <c r="M65" i="20"/>
  <c r="M17" i="20"/>
  <c r="M52" i="20"/>
  <c r="M33" i="20"/>
  <c r="M71" i="20"/>
  <c r="M73" i="20"/>
  <c r="M31" i="20"/>
  <c r="M64" i="20"/>
  <c r="M81" i="20"/>
  <c r="M36" i="20"/>
  <c r="M70" i="20"/>
  <c r="M21" i="20"/>
  <c r="M15" i="20"/>
  <c r="M18" i="20"/>
  <c r="M57" i="20"/>
  <c r="M40" i="20"/>
  <c r="M53" i="20"/>
  <c r="M50" i="20"/>
  <c r="M62" i="20"/>
  <c r="M20" i="20"/>
  <c r="M77" i="20"/>
  <c r="M55" i="20"/>
  <c r="M86" i="20"/>
  <c r="M39" i="20"/>
  <c r="M74" i="20"/>
  <c r="M69" i="20"/>
  <c r="M38" i="20"/>
  <c r="M56" i="20"/>
  <c r="M54" i="20"/>
  <c r="M45" i="20"/>
  <c r="M63" i="20"/>
  <c r="M61" i="20"/>
  <c r="M85" i="20"/>
  <c r="M79" i="20"/>
  <c r="M35" i="20"/>
  <c r="M72" i="20"/>
  <c r="M60" i="20"/>
  <c r="M32" i="20"/>
  <c r="M46" i="20"/>
  <c r="L51" i="20"/>
  <c r="BC44" i="20"/>
  <c r="DH43" i="20" s="1"/>
  <c r="DL43" i="20" s="1"/>
  <c r="L40" i="20"/>
  <c r="L26" i="20"/>
  <c r="L76" i="20"/>
  <c r="L83" i="20"/>
  <c r="L25" i="20"/>
  <c r="L44" i="20"/>
  <c r="L39" i="20"/>
  <c r="L59" i="20"/>
  <c r="L43" i="20"/>
  <c r="BC45" i="20"/>
  <c r="DH44" i="20" s="1"/>
  <c r="L29" i="20"/>
  <c r="DL34" i="20"/>
  <c r="L79" i="20"/>
  <c r="L69" i="20"/>
  <c r="L23" i="20"/>
  <c r="L62" i="20"/>
  <c r="DL38" i="20"/>
  <c r="L72" i="20"/>
  <c r="L60" i="20"/>
  <c r="L47" i="20"/>
  <c r="BC42" i="20"/>
  <c r="DH41" i="20" s="1"/>
  <c r="L66" i="20"/>
  <c r="L55" i="20"/>
  <c r="BC43" i="20"/>
  <c r="DH42" i="20" s="1"/>
  <c r="DL42" i="20" s="1"/>
  <c r="L78" i="20"/>
  <c r="L42" i="20"/>
  <c r="L19" i="20"/>
  <c r="L18" i="20"/>
  <c r="L45" i="20"/>
  <c r="L54" i="20"/>
  <c r="L48" i="20"/>
  <c r="BC21" i="20"/>
  <c r="DH20" i="20" s="1"/>
  <c r="L77" i="20"/>
  <c r="L16" i="20"/>
  <c r="L81" i="20"/>
  <c r="L52" i="20"/>
  <c r="L30" i="20"/>
  <c r="L53" i="20"/>
  <c r="BC33" i="20"/>
  <c r="DH32" i="20" s="1"/>
  <c r="L34" i="20"/>
  <c r="L68" i="20"/>
  <c r="DL18" i="20"/>
  <c r="L36" i="20"/>
  <c r="L17" i="20"/>
  <c r="L24" i="20"/>
  <c r="L49" i="20"/>
  <c r="L84" i="20"/>
  <c r="DL36" i="20"/>
  <c r="L67" i="20"/>
  <c r="L38" i="20"/>
  <c r="L63" i="20"/>
  <c r="L75" i="20"/>
  <c r="L21" i="20"/>
  <c r="L61" i="20"/>
  <c r="BC41" i="20"/>
  <c r="DH40" i="20" s="1"/>
  <c r="DL40" i="20" s="1"/>
  <c r="L70" i="20"/>
  <c r="L41" i="20"/>
  <c r="BC27" i="20"/>
  <c r="DH26" i="20" s="1"/>
  <c r="DL26" i="20" s="1"/>
  <c r="BC49" i="20"/>
  <c r="DH48" i="20" s="1"/>
  <c r="DL48" i="20" s="1"/>
  <c r="L27" i="20"/>
  <c r="L58" i="20"/>
  <c r="L22" i="20"/>
  <c r="DL17" i="20"/>
  <c r="BC31" i="20"/>
  <c r="DH30" i="20" s="1"/>
  <c r="DL30" i="20" s="1"/>
  <c r="BC20" i="20"/>
  <c r="DH19" i="20" s="1"/>
  <c r="DL19" i="20" s="1"/>
  <c r="L28" i="20"/>
  <c r="L86" i="20"/>
  <c r="BC47" i="20"/>
  <c r="DH46" i="20" s="1"/>
  <c r="L35" i="20"/>
  <c r="L71" i="20"/>
  <c r="BC29" i="20"/>
  <c r="DH28" i="20" s="1"/>
  <c r="BC50" i="20"/>
  <c r="DH49" i="20" s="1"/>
  <c r="L32" i="20"/>
  <c r="L85" i="20"/>
  <c r="L65" i="20"/>
  <c r="DL10" i="20" l="1"/>
  <c r="DL46" i="20"/>
  <c r="DL49" i="20"/>
  <c r="DL28" i="20"/>
  <c r="DL24" i="20"/>
  <c r="DL32" i="20"/>
  <c r="DL44" i="20"/>
  <c r="DL47" i="20"/>
  <c r="DL45" i="20"/>
  <c r="DL31" i="20"/>
  <c r="DL33" i="20"/>
  <c r="DL41" i="20"/>
  <c r="DL27" i="20"/>
  <c r="DL20" i="20"/>
  <c r="DL29" i="20"/>
  <c r="DL21" i="20"/>
  <c r="H78" i="20"/>
  <c r="I78" i="20" s="1"/>
  <c r="H25" i="20"/>
  <c r="I25" i="20" s="1"/>
  <c r="H65" i="20"/>
  <c r="I65" i="20" s="1"/>
  <c r="H22" i="20"/>
  <c r="I22" i="20" s="1"/>
  <c r="H75" i="20"/>
  <c r="I75" i="20" s="1"/>
  <c r="H44" i="20"/>
  <c r="I44" i="20" s="1"/>
  <c r="H64" i="20"/>
  <c r="I64" i="20" s="1"/>
  <c r="H83" i="20"/>
  <c r="I83" i="20" s="1"/>
  <c r="H51" i="20"/>
  <c r="I51" i="20" s="1"/>
  <c r="H71" i="20"/>
  <c r="I71" i="20" s="1"/>
  <c r="H61" i="20"/>
  <c r="I61" i="20" s="1"/>
  <c r="H48" i="20"/>
  <c r="I48" i="20" s="1"/>
  <c r="H81" i="20"/>
  <c r="I81" i="20" s="1"/>
  <c r="H76" i="20"/>
  <c r="I76" i="20" s="1"/>
  <c r="H56" i="20"/>
  <c r="I56" i="20" s="1"/>
  <c r="H42" i="20"/>
  <c r="I42" i="20" s="1"/>
  <c r="H86" i="20"/>
  <c r="I86" i="20" s="1"/>
  <c r="H80" i="20"/>
  <c r="H77" i="20"/>
  <c r="H62" i="20"/>
  <c r="H26" i="20"/>
  <c r="H74" i="20"/>
  <c r="H59" i="20"/>
  <c r="H53" i="20"/>
  <c r="H39" i="20"/>
  <c r="I39" i="20" s="1"/>
  <c r="H18" i="20"/>
  <c r="I18" i="20" s="1"/>
  <c r="H55" i="20"/>
  <c r="I55" i="20" s="1"/>
  <c r="H35" i="20"/>
  <c r="I35" i="20" s="1"/>
  <c r="H30" i="20"/>
  <c r="I30" i="20" s="1"/>
  <c r="H46" i="20"/>
  <c r="I46" i="20" s="1"/>
  <c r="H50" i="20"/>
  <c r="I50" i="20" s="1"/>
  <c r="H37" i="20"/>
  <c r="I37" i="20" s="1"/>
  <c r="H85" i="20"/>
  <c r="I85" i="20" s="1"/>
  <c r="H66" i="20"/>
  <c r="I66" i="20" s="1"/>
  <c r="H58" i="20"/>
  <c r="I58" i="20" s="1"/>
  <c r="H73" i="20"/>
  <c r="I73" i="20" s="1"/>
  <c r="H49" i="20"/>
  <c r="I49" i="20" s="1"/>
  <c r="H54" i="20"/>
  <c r="I54" i="20" s="1"/>
  <c r="H68" i="20"/>
  <c r="I68" i="20" s="1"/>
  <c r="H79" i="20"/>
  <c r="I79" i="20" s="1"/>
  <c r="H47" i="20"/>
  <c r="I47" i="20" s="1"/>
  <c r="H67" i="20"/>
  <c r="I67" i="20" s="1"/>
  <c r="H38" i="20"/>
  <c r="I38" i="20" s="1"/>
  <c r="H33" i="20"/>
  <c r="I33" i="20" s="1"/>
  <c r="H27" i="20"/>
  <c r="I27" i="20" s="1"/>
  <c r="H34" i="20"/>
  <c r="I34" i="20" s="1"/>
  <c r="H43" i="20"/>
  <c r="I43" i="20" s="1"/>
  <c r="H69" i="20"/>
  <c r="I69" i="20" s="1"/>
  <c r="H84" i="20"/>
  <c r="I84" i="20" s="1"/>
  <c r="H28" i="20"/>
  <c r="H82" i="20"/>
  <c r="H52" i="20"/>
  <c r="H29" i="20"/>
  <c r="H19" i="20"/>
  <c r="H14" i="20"/>
  <c r="H5" i="20" s="1"/>
  <c r="H72" i="20"/>
  <c r="I72" i="20" s="1"/>
  <c r="H20" i="20"/>
  <c r="I20" i="20" s="1"/>
  <c r="H60" i="20"/>
  <c r="I60" i="20" s="1"/>
  <c r="H15" i="20"/>
  <c r="I15" i="20" s="1"/>
  <c r="H24" i="20"/>
  <c r="I24" i="20" s="1"/>
  <c r="H63" i="20"/>
  <c r="I63" i="20" s="1"/>
  <c r="H32" i="20"/>
  <c r="I32" i="20" s="1"/>
  <c r="H41" i="20"/>
  <c r="I41" i="20" s="1"/>
  <c r="H36" i="20"/>
  <c r="I36" i="20" s="1"/>
  <c r="H57" i="20"/>
  <c r="I57" i="20" s="1"/>
  <c r="H17" i="20"/>
  <c r="I17" i="20" s="1"/>
  <c r="H16" i="20"/>
  <c r="I16" i="20" s="1"/>
  <c r="H70" i="20"/>
  <c r="I70" i="20" s="1"/>
  <c r="H23" i="20"/>
  <c r="I23" i="20" s="1"/>
  <c r="H40" i="20"/>
  <c r="I40" i="20" s="1"/>
  <c r="H31" i="20"/>
  <c r="I31" i="20" s="1"/>
  <c r="H21" i="20"/>
  <c r="I21" i="20" s="1"/>
  <c r="H45" i="20"/>
  <c r="I45" i="20" s="1"/>
  <c r="I53" i="20" l="1"/>
  <c r="I26" i="20"/>
  <c r="I62" i="20"/>
  <c r="I19" i="20"/>
  <c r="I29" i="20"/>
  <c r="I82" i="20"/>
  <c r="I77" i="20"/>
  <c r="I74" i="20"/>
  <c r="I52" i="20"/>
  <c r="I28" i="20"/>
  <c r="I80" i="20"/>
  <c r="I59" i="20"/>
  <c r="E59" i="20"/>
  <c r="E28" i="20"/>
  <c r="F28" i="20" s="1"/>
  <c r="E78" i="20"/>
  <c r="F78" i="20" s="1"/>
  <c r="E25" i="20"/>
  <c r="F25" i="20" s="1"/>
  <c r="E56" i="20"/>
  <c r="F56" i="20" s="1"/>
  <c r="E47" i="20"/>
  <c r="F47" i="20" s="1"/>
  <c r="E77" i="20"/>
  <c r="F77" i="20" s="1"/>
  <c r="E64" i="20"/>
  <c r="F64" i="20" s="1"/>
  <c r="E79" i="20"/>
  <c r="F79" i="20" s="1"/>
  <c r="E74" i="20"/>
  <c r="F74" i="20" s="1"/>
  <c r="E84" i="20"/>
  <c r="F84" i="20" s="1"/>
  <c r="E66" i="20"/>
  <c r="F66" i="20" s="1"/>
  <c r="E81" i="20"/>
  <c r="F81" i="20" s="1"/>
  <c r="E76" i="20"/>
  <c r="F76" i="20" s="1"/>
  <c r="E71" i="20"/>
  <c r="F71" i="20" s="1"/>
  <c r="E48" i="20"/>
  <c r="F48" i="20" s="1"/>
  <c r="E70" i="20"/>
  <c r="F70" i="20" s="1"/>
  <c r="E60" i="20"/>
  <c r="F60" i="20" s="1"/>
  <c r="E29" i="20"/>
  <c r="F29" i="20" s="1"/>
  <c r="E80" i="20"/>
  <c r="F80" i="20" s="1"/>
  <c r="E68" i="20"/>
  <c r="E50" i="20"/>
  <c r="E41" i="20"/>
  <c r="E62" i="20"/>
  <c r="E86" i="20"/>
  <c r="E46" i="20"/>
  <c r="E17" i="20"/>
  <c r="E53" i="20"/>
  <c r="E43" i="20"/>
  <c r="E15" i="20"/>
  <c r="E18" i="20"/>
  <c r="E55" i="20"/>
  <c r="E35" i="20"/>
  <c r="F35" i="20" s="1"/>
  <c r="E30" i="20"/>
  <c r="F30" i="20" s="1"/>
  <c r="E85" i="20"/>
  <c r="F85" i="20" s="1"/>
  <c r="E51" i="20"/>
  <c r="F51" i="20" s="1"/>
  <c r="E37" i="20"/>
  <c r="F37" i="20" s="1"/>
  <c r="E58" i="20"/>
  <c r="F58" i="20" s="1"/>
  <c r="E21" i="20"/>
  <c r="F21" i="20" s="1"/>
  <c r="E16" i="20"/>
  <c r="F16" i="20" s="1"/>
  <c r="E36" i="20"/>
  <c r="F36" i="20" s="1"/>
  <c r="E24" i="20"/>
  <c r="F24" i="20" s="1"/>
  <c r="E23" i="20"/>
  <c r="F23" i="20" s="1"/>
  <c r="E61" i="20"/>
  <c r="F61" i="20" s="1"/>
  <c r="E39" i="20"/>
  <c r="F39" i="20" s="1"/>
  <c r="E83" i="20"/>
  <c r="F83" i="20" s="1"/>
  <c r="E54" i="20"/>
  <c r="F54" i="20" s="1"/>
  <c r="E38" i="20"/>
  <c r="F38" i="20" s="1"/>
  <c r="E34" i="20"/>
  <c r="F34" i="20" s="1"/>
  <c r="E31" i="20"/>
  <c r="F31" i="20" s="1"/>
  <c r="E19" i="20"/>
  <c r="F19" i="20" s="1"/>
  <c r="E33" i="20"/>
  <c r="F33" i="20" s="1"/>
  <c r="E27" i="20"/>
  <c r="E26" i="20"/>
  <c r="E69" i="20"/>
  <c r="E44" i="20"/>
  <c r="E75" i="20"/>
  <c r="E67" i="20"/>
  <c r="E40" i="20"/>
  <c r="E82" i="20"/>
  <c r="E45" i="20"/>
  <c r="E65" i="20"/>
  <c r="E14" i="20"/>
  <c r="E49" i="20"/>
  <c r="F49" i="20" s="1"/>
  <c r="E22" i="20"/>
  <c r="F22" i="20" s="1"/>
  <c r="E32" i="20"/>
  <c r="F32" i="20" s="1"/>
  <c r="E20" i="20"/>
  <c r="F20" i="20" s="1"/>
  <c r="E42" i="20"/>
  <c r="F42" i="20" s="1"/>
  <c r="E63" i="20"/>
  <c r="F63" i="20" s="1"/>
  <c r="E72" i="20"/>
  <c r="F72" i="20" s="1"/>
  <c r="E57" i="20"/>
  <c r="F57" i="20" s="1"/>
  <c r="E73" i="20"/>
  <c r="F73" i="20" s="1"/>
  <c r="E52" i="20"/>
  <c r="F52" i="20" s="1"/>
  <c r="F27" i="20" l="1"/>
  <c r="F68" i="20"/>
  <c r="F46" i="20"/>
  <c r="F53" i="20"/>
  <c r="F86" i="20"/>
  <c r="F15" i="20"/>
  <c r="F43" i="20"/>
  <c r="F17" i="20"/>
  <c r="F44" i="20"/>
  <c r="F62" i="20"/>
  <c r="F45" i="20"/>
  <c r="F40" i="20"/>
  <c r="F67" i="20"/>
  <c r="F69" i="20"/>
  <c r="F41" i="20"/>
  <c r="F65" i="20"/>
  <c r="F82" i="20"/>
  <c r="F75" i="20"/>
  <c r="F26" i="20"/>
  <c r="F50" i="20"/>
  <c r="CJ49" i="20"/>
  <c r="CJ46" i="20"/>
  <c r="CJ48" i="20"/>
  <c r="CJ42" i="20"/>
  <c r="CJ43" i="20"/>
  <c r="CK43" i="20" s="1"/>
  <c r="CJ23" i="20"/>
  <c r="CK23" i="20" s="1"/>
  <c r="CJ41" i="20"/>
  <c r="CK41" i="20" s="1"/>
  <c r="CJ36" i="20"/>
  <c r="CK36" i="20" s="1"/>
  <c r="CJ18" i="20"/>
  <c r="CK18" i="20" s="1"/>
  <c r="CJ39" i="20"/>
  <c r="CK39" i="20" s="1"/>
  <c r="CJ33" i="20"/>
  <c r="CK33" i="20" s="1"/>
  <c r="CJ30" i="20"/>
  <c r="CK30" i="20" s="1"/>
  <c r="CJ27" i="20"/>
  <c r="CK27" i="20" s="1"/>
  <c r="CJ28" i="20"/>
  <c r="CK28" i="20" s="1"/>
  <c r="CJ40" i="20"/>
  <c r="CJ35" i="20"/>
  <c r="CJ25" i="20"/>
  <c r="CJ45" i="20"/>
  <c r="CJ50" i="20"/>
  <c r="CJ29" i="20"/>
  <c r="CJ24" i="20"/>
  <c r="CJ19" i="20"/>
  <c r="CJ16" i="20"/>
  <c r="CJ21" i="20"/>
  <c r="CJ37" i="20"/>
  <c r="CJ17" i="20"/>
  <c r="CJ20" i="20"/>
  <c r="CJ22" i="20"/>
  <c r="CJ38" i="20"/>
  <c r="CJ32" i="20"/>
  <c r="CJ34" i="20"/>
  <c r="CJ47" i="20"/>
  <c r="CJ26" i="20"/>
  <c r="CJ15" i="20"/>
  <c r="CJ14" i="20"/>
  <c r="CJ44" i="20"/>
  <c r="CK44" i="20" s="1"/>
  <c r="CJ31" i="20"/>
  <c r="CK31" i="20" s="1"/>
  <c r="F59" i="20"/>
  <c r="F55" i="20"/>
  <c r="G53" i="20"/>
  <c r="G19" i="20"/>
  <c r="G74" i="20"/>
  <c r="G58" i="20"/>
  <c r="G48" i="20"/>
  <c r="G68" i="20"/>
  <c r="G36" i="20"/>
  <c r="G44" i="20"/>
  <c r="G29" i="20"/>
  <c r="G85" i="20"/>
  <c r="G55" i="20"/>
  <c r="G54" i="20"/>
  <c r="G65" i="20"/>
  <c r="G43" i="20"/>
  <c r="G33" i="20"/>
  <c r="G39" i="20"/>
  <c r="G16" i="20"/>
  <c r="G25" i="20"/>
  <c r="G57" i="20"/>
  <c r="G64" i="20"/>
  <c r="G83" i="20"/>
  <c r="G75" i="20"/>
  <c r="G61" i="20"/>
  <c r="G70" i="20"/>
  <c r="G24" i="20"/>
  <c r="G37" i="20"/>
  <c r="G66" i="20"/>
  <c r="G28" i="20"/>
  <c r="G26" i="20"/>
  <c r="G18" i="20"/>
  <c r="G38" i="20"/>
  <c r="G78" i="20"/>
  <c r="G45" i="20"/>
  <c r="G17" i="20"/>
  <c r="G41" i="20"/>
  <c r="G71" i="20"/>
  <c r="G82" i="20"/>
  <c r="G80" i="20"/>
  <c r="G35" i="20"/>
  <c r="G63" i="20"/>
  <c r="G49" i="20"/>
  <c r="G22" i="20"/>
  <c r="G59" i="20"/>
  <c r="G23" i="20"/>
  <c r="G81" i="20"/>
  <c r="G42" i="20"/>
  <c r="G56" i="20"/>
  <c r="G46" i="20"/>
  <c r="G52" i="20"/>
  <c r="G79" i="20"/>
  <c r="G73" i="20"/>
  <c r="G40" i="20"/>
  <c r="G30" i="20"/>
  <c r="G69" i="20"/>
  <c r="G34" i="20"/>
  <c r="G31" i="20"/>
  <c r="G72" i="20"/>
  <c r="G21" i="20"/>
  <c r="G50" i="20"/>
  <c r="G20" i="20"/>
  <c r="G60" i="20"/>
  <c r="G15" i="20"/>
  <c r="G84" i="20"/>
  <c r="G62" i="20"/>
  <c r="G51" i="20"/>
  <c r="G47" i="20"/>
  <c r="G32" i="20"/>
  <c r="G67" i="20"/>
  <c r="G27" i="20"/>
  <c r="G76" i="20"/>
  <c r="G77" i="20"/>
  <c r="G86" i="20"/>
  <c r="F18" i="20"/>
  <c r="B72" i="20"/>
  <c r="B31" i="20"/>
  <c r="B59" i="20"/>
  <c r="B28" i="20"/>
  <c r="B69" i="20"/>
  <c r="B50" i="20"/>
  <c r="B77" i="20"/>
  <c r="B64" i="20"/>
  <c r="B18" i="20"/>
  <c r="B14" i="20"/>
  <c r="G5" i="20" s="1"/>
  <c r="B54" i="20"/>
  <c r="C54" i="20" s="1"/>
  <c r="N54" i="20" s="1"/>
  <c r="B84" i="20"/>
  <c r="C84" i="20" s="1"/>
  <c r="B30" i="20"/>
  <c r="C30" i="20" s="1"/>
  <c r="N30" i="20" s="1"/>
  <c r="B32" i="20"/>
  <c r="C32" i="20" s="1"/>
  <c r="B35" i="20"/>
  <c r="C35" i="20" s="1"/>
  <c r="B29" i="20"/>
  <c r="B71" i="20"/>
  <c r="B48" i="20"/>
  <c r="B80" i="20"/>
  <c r="B68" i="20"/>
  <c r="B65" i="20"/>
  <c r="B26" i="20"/>
  <c r="B86" i="20"/>
  <c r="B83" i="20"/>
  <c r="B74" i="20"/>
  <c r="B62" i="20"/>
  <c r="B56" i="20"/>
  <c r="B63" i="20"/>
  <c r="B52" i="20"/>
  <c r="B40" i="20"/>
  <c r="B82" i="20"/>
  <c r="B78" i="20"/>
  <c r="B46" i="20"/>
  <c r="B43" i="20"/>
  <c r="B15" i="20"/>
  <c r="B70" i="20"/>
  <c r="B55" i="20"/>
  <c r="B66" i="20"/>
  <c r="B39" i="20"/>
  <c r="B23" i="20"/>
  <c r="B19" i="20"/>
  <c r="B79" i="20"/>
  <c r="B85" i="20"/>
  <c r="B17" i="20"/>
  <c r="C17" i="20" s="1"/>
  <c r="B73" i="20"/>
  <c r="C73" i="20" s="1"/>
  <c r="N73" i="20" s="1"/>
  <c r="B61" i="20"/>
  <c r="C61" i="20" s="1"/>
  <c r="B41" i="20"/>
  <c r="C41" i="20" s="1"/>
  <c r="B33" i="20"/>
  <c r="B25" i="20"/>
  <c r="B76" i="20"/>
  <c r="B47" i="20"/>
  <c r="B27" i="20"/>
  <c r="B53" i="20"/>
  <c r="B60" i="20"/>
  <c r="B44" i="20"/>
  <c r="B75" i="20"/>
  <c r="B67" i="20"/>
  <c r="B81" i="20"/>
  <c r="B58" i="20"/>
  <c r="B51" i="20"/>
  <c r="B45" i="20"/>
  <c r="B24" i="20"/>
  <c r="B34" i="20"/>
  <c r="B22" i="20"/>
  <c r="B49" i="20"/>
  <c r="B20" i="20"/>
  <c r="B21" i="20"/>
  <c r="B42" i="20"/>
  <c r="B16" i="20"/>
  <c r="B37" i="20"/>
  <c r="B36" i="20"/>
  <c r="B57" i="20"/>
  <c r="B38" i="20"/>
  <c r="CK47" i="20" l="1"/>
  <c r="CK21" i="20"/>
  <c r="CK22" i="20"/>
  <c r="CK20" i="20"/>
  <c r="CK24" i="20"/>
  <c r="CK29" i="20"/>
  <c r="CK34" i="20"/>
  <c r="CK38" i="20"/>
  <c r="CK16" i="20"/>
  <c r="CK50" i="20"/>
  <c r="CK45" i="20"/>
  <c r="CK32" i="20"/>
  <c r="CK37" i="20"/>
  <c r="CK25" i="20"/>
  <c r="CK35" i="20"/>
  <c r="CK17" i="20"/>
  <c r="CK19" i="20"/>
  <c r="CK40" i="20"/>
  <c r="N41" i="20"/>
  <c r="N61" i="20"/>
  <c r="N32" i="20"/>
  <c r="N17" i="20"/>
  <c r="N35" i="20"/>
  <c r="N84" i="20"/>
  <c r="Q69" i="20"/>
  <c r="Q50" i="20"/>
  <c r="Q56" i="20"/>
  <c r="Q47" i="20"/>
  <c r="Q66" i="20"/>
  <c r="Q74" i="20"/>
  <c r="Q86" i="20"/>
  <c r="Q22" i="20"/>
  <c r="Q73" i="20"/>
  <c r="R73" i="20" s="1"/>
  <c r="DG36" i="20" s="1"/>
  <c r="Q68" i="20"/>
  <c r="Q58" i="20"/>
  <c r="Q23" i="20"/>
  <c r="Q78" i="20"/>
  <c r="Q49" i="20"/>
  <c r="Q34" i="20"/>
  <c r="Q82" i="20"/>
  <c r="Q18" i="20"/>
  <c r="Q44" i="20"/>
  <c r="Q33" i="20"/>
  <c r="Q30" i="20"/>
  <c r="Q27" i="20"/>
  <c r="Q70" i="20"/>
  <c r="Q79" i="20"/>
  <c r="Q76" i="20"/>
  <c r="Q67" i="20"/>
  <c r="Q64" i="20"/>
  <c r="Q85" i="20"/>
  <c r="Q61" i="20"/>
  <c r="Q51" i="20"/>
  <c r="Q62" i="20"/>
  <c r="Q42" i="20"/>
  <c r="Q25" i="20"/>
  <c r="Q16" i="20"/>
  <c r="Q81" i="20"/>
  <c r="Q32" i="20"/>
  <c r="Q39" i="20"/>
  <c r="Q45" i="20"/>
  <c r="Q77" i="20"/>
  <c r="Q54" i="20"/>
  <c r="R54" i="20" s="1"/>
  <c r="DG17" i="20" s="1"/>
  <c r="Q21" i="20"/>
  <c r="Q72" i="20"/>
  <c r="Q57" i="20"/>
  <c r="Q75" i="20"/>
  <c r="Q24" i="20"/>
  <c r="Q83" i="20"/>
  <c r="Q55" i="20"/>
  <c r="Q84" i="20"/>
  <c r="Q41" i="20"/>
  <c r="Q52" i="20"/>
  <c r="Q28" i="20"/>
  <c r="Q60" i="20"/>
  <c r="Q43" i="20"/>
  <c r="Q40" i="20"/>
  <c r="Q53" i="20"/>
  <c r="Q48" i="20"/>
  <c r="Q59" i="20"/>
  <c r="Q36" i="20"/>
  <c r="Q20" i="20"/>
  <c r="Q37" i="20"/>
  <c r="Q31" i="20"/>
  <c r="Q17" i="20"/>
  <c r="Q65" i="20"/>
  <c r="Q63" i="20"/>
  <c r="Q15" i="20"/>
  <c r="Q80" i="20"/>
  <c r="Q29" i="20"/>
  <c r="Q38" i="20"/>
  <c r="Q46" i="20"/>
  <c r="Q14" i="20"/>
  <c r="R14" i="20" s="1"/>
  <c r="Q19" i="20"/>
  <c r="Q71" i="20"/>
  <c r="Q35" i="20"/>
  <c r="Q26" i="20"/>
  <c r="C85" i="20"/>
  <c r="N85" i="20" s="1"/>
  <c r="C16" i="20"/>
  <c r="N16" i="20" s="1"/>
  <c r="C46" i="20"/>
  <c r="N46" i="20" s="1"/>
  <c r="C50" i="20"/>
  <c r="N50" i="20" s="1"/>
  <c r="C34" i="20"/>
  <c r="N34" i="20" s="1"/>
  <c r="C79" i="20"/>
  <c r="N79" i="20" s="1"/>
  <c r="C36" i="20"/>
  <c r="N36" i="20" s="1"/>
  <c r="C59" i="20"/>
  <c r="N59" i="20" s="1"/>
  <c r="C78" i="20"/>
  <c r="N78" i="20" s="1"/>
  <c r="R78" i="20" s="1"/>
  <c r="DG41" i="20" s="1"/>
  <c r="C28" i="20"/>
  <c r="N28" i="20" s="1"/>
  <c r="R28" i="20" s="1"/>
  <c r="C64" i="20"/>
  <c r="N64" i="20" s="1"/>
  <c r="C72" i="20"/>
  <c r="N72" i="20" s="1"/>
  <c r="C45" i="20"/>
  <c r="N45" i="20" s="1"/>
  <c r="C19" i="20"/>
  <c r="N19" i="20" s="1"/>
  <c r="C39" i="20"/>
  <c r="N39" i="20" s="1"/>
  <c r="C21" i="20"/>
  <c r="N21" i="20" s="1"/>
  <c r="C51" i="20"/>
  <c r="N51" i="20" s="1"/>
  <c r="C27" i="20"/>
  <c r="N27" i="20" s="1"/>
  <c r="R27" i="20" s="1"/>
  <c r="C57" i="20"/>
  <c r="N57" i="20" s="1"/>
  <c r="C77" i="20"/>
  <c r="N77" i="20" s="1"/>
  <c r="C66" i="20"/>
  <c r="N66" i="20" s="1"/>
  <c r="C22" i="20"/>
  <c r="N22" i="20" s="1"/>
  <c r="C58" i="20"/>
  <c r="N58" i="20" s="1"/>
  <c r="C62" i="20"/>
  <c r="N62" i="20" s="1"/>
  <c r="C67" i="20"/>
  <c r="N67" i="20" s="1"/>
  <c r="C68" i="20"/>
  <c r="N68" i="20" s="1"/>
  <c r="C47" i="20"/>
  <c r="N47" i="20" s="1"/>
  <c r="R47" i="20" s="1"/>
  <c r="C80" i="20"/>
  <c r="N80" i="20" s="1"/>
  <c r="R80" i="20" s="1"/>
  <c r="DG43" i="20" s="1"/>
  <c r="CK42" i="20"/>
  <c r="C18" i="20"/>
  <c r="N18" i="20" s="1"/>
  <c r="C23" i="20"/>
  <c r="N23" i="20" s="1"/>
  <c r="R23" i="20" s="1"/>
  <c r="C70" i="20"/>
  <c r="N70" i="20" s="1"/>
  <c r="C20" i="20"/>
  <c r="N20" i="20" s="1"/>
  <c r="C49" i="20"/>
  <c r="N49" i="20" s="1"/>
  <c r="C63" i="20"/>
  <c r="N63" i="20" s="1"/>
  <c r="C56" i="20"/>
  <c r="N56" i="20" s="1"/>
  <c r="C81" i="20"/>
  <c r="N81" i="20" s="1"/>
  <c r="C44" i="20"/>
  <c r="N44" i="20" s="1"/>
  <c r="C26" i="20"/>
  <c r="N26" i="20" s="1"/>
  <c r="C65" i="20"/>
  <c r="N65" i="20" s="1"/>
  <c r="C76" i="20"/>
  <c r="N76" i="20" s="1"/>
  <c r="C48" i="20"/>
  <c r="N48" i="20" s="1"/>
  <c r="CK48" i="20"/>
  <c r="R30" i="20"/>
  <c r="C37" i="20"/>
  <c r="N37" i="20" s="1"/>
  <c r="C55" i="20"/>
  <c r="N55" i="20" s="1"/>
  <c r="R55" i="20" s="1"/>
  <c r="DG18" i="20" s="1"/>
  <c r="C42" i="20"/>
  <c r="N42" i="20" s="1"/>
  <c r="C15" i="20"/>
  <c r="N15" i="20" s="1"/>
  <c r="C43" i="20"/>
  <c r="N43" i="20" s="1"/>
  <c r="C82" i="20"/>
  <c r="N82" i="20" s="1"/>
  <c r="C24" i="20"/>
  <c r="N24" i="20" s="1"/>
  <c r="C74" i="20"/>
  <c r="N74" i="20" s="1"/>
  <c r="C75" i="20"/>
  <c r="N75" i="20" s="1"/>
  <c r="C60" i="20"/>
  <c r="N60" i="20" s="1"/>
  <c r="C53" i="20"/>
  <c r="N53" i="20" s="1"/>
  <c r="C25" i="20"/>
  <c r="N25" i="20" s="1"/>
  <c r="R25" i="20" s="1"/>
  <c r="C71" i="20"/>
  <c r="N71" i="20" s="1"/>
  <c r="CK15" i="20"/>
  <c r="CK46" i="20"/>
  <c r="C38" i="20"/>
  <c r="N38" i="20" s="1"/>
  <c r="R38" i="20" s="1"/>
  <c r="C69" i="20"/>
  <c r="N69" i="20" s="1"/>
  <c r="C31" i="20"/>
  <c r="N31" i="20" s="1"/>
  <c r="C40" i="20"/>
  <c r="N40" i="20" s="1"/>
  <c r="C52" i="20"/>
  <c r="N52" i="20" s="1"/>
  <c r="C83" i="20"/>
  <c r="N83" i="20" s="1"/>
  <c r="C86" i="20"/>
  <c r="N86" i="20" s="1"/>
  <c r="C33" i="20"/>
  <c r="N33" i="20" s="1"/>
  <c r="C29" i="20"/>
  <c r="N29" i="20" s="1"/>
  <c r="CK26" i="20"/>
  <c r="CK49" i="20"/>
  <c r="R61" i="20" l="1"/>
  <c r="DG24" i="20" s="1"/>
  <c r="R35" i="20"/>
  <c r="R48" i="20"/>
  <c r="R44" i="20"/>
  <c r="R32" i="20"/>
  <c r="R34" i="20"/>
  <c r="R49" i="20"/>
  <c r="R83" i="20"/>
  <c r="DG46" i="20" s="1"/>
  <c r="R81" i="20"/>
  <c r="DG44" i="20" s="1"/>
  <c r="DK44" i="20" s="1"/>
  <c r="R17" i="20"/>
  <c r="R39" i="20"/>
  <c r="R84" i="20"/>
  <c r="DG47" i="20" s="1"/>
  <c r="DK47" i="20" s="1"/>
  <c r="R15" i="20"/>
  <c r="R21" i="20"/>
  <c r="R41" i="20"/>
  <c r="R86" i="20"/>
  <c r="DG49" i="20" s="1"/>
  <c r="R50" i="20"/>
  <c r="DG13" i="20" s="1"/>
  <c r="R19" i="20"/>
  <c r="R45" i="20"/>
  <c r="R26" i="20"/>
  <c r="R56" i="20"/>
  <c r="DG19" i="20" s="1"/>
  <c r="DK19" i="20" s="1"/>
  <c r="R72" i="20"/>
  <c r="DG35" i="20" s="1"/>
  <c r="DK36" i="20" s="1"/>
  <c r="R29" i="20"/>
  <c r="R46" i="20"/>
  <c r="R16" i="20"/>
  <c r="R69" i="20"/>
  <c r="DG32" i="20" s="1"/>
  <c r="DK18" i="20"/>
  <c r="R42" i="20"/>
  <c r="R33" i="20"/>
  <c r="R51" i="20"/>
  <c r="DG14" i="20" s="1"/>
  <c r="DK14" i="20" s="1"/>
  <c r="R37" i="20"/>
  <c r="R52" i="20"/>
  <c r="DG15" i="20" s="1"/>
  <c r="DK15" i="20" s="1"/>
  <c r="R71" i="20"/>
  <c r="DG34" i="20" s="1"/>
  <c r="R65" i="20"/>
  <c r="DG28" i="20" s="1"/>
  <c r="R18" i="20"/>
  <c r="R59" i="20"/>
  <c r="DG22" i="20" s="1"/>
  <c r="R31" i="20"/>
  <c r="R70" i="20"/>
  <c r="DG33" i="20" s="1"/>
  <c r="R67" i="20"/>
  <c r="DG30" i="20" s="1"/>
  <c r="R74" i="20"/>
  <c r="DG37" i="20" s="1"/>
  <c r="DK37" i="20" s="1"/>
  <c r="R76" i="20"/>
  <c r="DG39" i="20" s="1"/>
  <c r="R62" i="20"/>
  <c r="DG25" i="20" s="1"/>
  <c r="DK25" i="20" s="1"/>
  <c r="R24" i="20"/>
  <c r="R20" i="20"/>
  <c r="R57" i="20"/>
  <c r="DG20" i="20" s="1"/>
  <c r="R36" i="20"/>
  <c r="R79" i="20"/>
  <c r="DG42" i="20" s="1"/>
  <c r="DK42" i="20" s="1"/>
  <c r="R68" i="20"/>
  <c r="DG31" i="20" s="1"/>
  <c r="R53" i="20"/>
  <c r="DG16" i="20" s="1"/>
  <c r="R60" i="20"/>
  <c r="DG23" i="20" s="1"/>
  <c r="R22" i="20"/>
  <c r="R66" i="20"/>
  <c r="DG29" i="20" s="1"/>
  <c r="R77" i="20"/>
  <c r="DG40" i="20" s="1"/>
  <c r="DK41" i="20" s="1"/>
  <c r="R64" i="20"/>
  <c r="DG27" i="20" s="1"/>
  <c r="R63" i="20"/>
  <c r="DG26" i="20" s="1"/>
  <c r="R40" i="20"/>
  <c r="R85" i="20"/>
  <c r="DG48" i="20" s="1"/>
  <c r="DK48" i="20" s="1"/>
  <c r="R58" i="20"/>
  <c r="DG21" i="20" s="1"/>
  <c r="R75" i="20"/>
  <c r="DG38" i="20" s="1"/>
  <c r="R82" i="20"/>
  <c r="DG45" i="20" s="1"/>
  <c r="DK45" i="20" s="1"/>
  <c r="R43" i="20"/>
  <c r="CG20" i="20"/>
  <c r="CG49" i="20"/>
  <c r="CG17" i="20"/>
  <c r="CH17" i="20" s="1"/>
  <c r="CM17" i="20" s="1"/>
  <c r="CG39" i="20"/>
  <c r="CH39" i="20" s="1"/>
  <c r="CM39" i="20" s="1"/>
  <c r="CG42" i="20"/>
  <c r="CG38" i="20"/>
  <c r="CG26" i="20"/>
  <c r="CG22" i="20"/>
  <c r="CG41" i="20"/>
  <c r="CG50" i="20"/>
  <c r="CG48" i="20"/>
  <c r="CG36" i="20"/>
  <c r="CG47" i="20"/>
  <c r="CG28" i="20"/>
  <c r="CG18" i="20"/>
  <c r="CG40" i="20"/>
  <c r="CG35" i="20"/>
  <c r="CG31" i="20"/>
  <c r="CG27" i="20"/>
  <c r="CG24" i="20"/>
  <c r="CG30" i="20"/>
  <c r="CG37" i="20"/>
  <c r="CG19" i="20"/>
  <c r="CG45" i="20"/>
  <c r="CG16" i="20"/>
  <c r="CG46" i="20"/>
  <c r="CG33" i="20"/>
  <c r="CG43" i="20"/>
  <c r="CG25" i="20"/>
  <c r="CG23" i="20"/>
  <c r="CG15" i="20"/>
  <c r="CG29" i="20"/>
  <c r="CG21" i="20"/>
  <c r="CG14" i="20"/>
  <c r="CG34" i="20"/>
  <c r="CH34" i="20" s="1"/>
  <c r="CM34" i="20" s="1"/>
  <c r="CG44" i="20"/>
  <c r="CH44" i="20" s="1"/>
  <c r="CM44" i="20" s="1"/>
  <c r="CG32" i="20"/>
  <c r="DK35" i="20" l="1"/>
  <c r="CH38" i="20"/>
  <c r="CM38" i="20" s="1"/>
  <c r="CH32" i="20"/>
  <c r="CM32" i="20" s="1"/>
  <c r="CH42" i="20"/>
  <c r="CM42" i="20" s="1"/>
  <c r="DK33" i="20"/>
  <c r="DK49" i="20"/>
  <c r="CH24" i="20"/>
  <c r="CM24" i="20" s="1"/>
  <c r="DK46" i="20"/>
  <c r="CH47" i="20"/>
  <c r="CM47" i="20" s="1"/>
  <c r="DK20" i="20"/>
  <c r="CH28" i="20"/>
  <c r="CM28" i="20" s="1"/>
  <c r="CH36" i="20"/>
  <c r="CM36" i="20" s="1"/>
  <c r="CH31" i="20"/>
  <c r="CM31" i="20" s="1"/>
  <c r="CH40" i="20"/>
  <c r="CM40" i="20" s="1"/>
  <c r="CH48" i="20"/>
  <c r="CM48" i="20" s="1"/>
  <c r="CH50" i="20"/>
  <c r="CM50" i="20" s="1"/>
  <c r="CH41" i="20"/>
  <c r="CM41" i="20" s="1"/>
  <c r="DK39" i="20"/>
  <c r="CH35" i="20"/>
  <c r="CM35" i="20" s="1"/>
  <c r="CH22" i="20"/>
  <c r="CM22" i="20" s="1"/>
  <c r="CH27" i="20"/>
  <c r="CM27" i="20" s="1"/>
  <c r="CH18" i="20"/>
  <c r="CM18" i="20" s="1"/>
  <c r="CH26" i="20"/>
  <c r="CM26" i="20" s="1"/>
  <c r="DK34" i="20"/>
  <c r="DK30" i="20"/>
  <c r="DK31" i="20"/>
  <c r="DK10" i="20"/>
  <c r="DK23" i="20"/>
  <c r="DK16" i="20"/>
  <c r="DK43" i="20"/>
  <c r="BS27" i="20"/>
  <c r="BS24" i="20"/>
  <c r="BS46" i="20"/>
  <c r="BS40" i="20"/>
  <c r="BS29" i="20"/>
  <c r="BS19" i="20"/>
  <c r="BS30" i="20"/>
  <c r="BS20" i="20"/>
  <c r="BS41" i="20"/>
  <c r="BS31" i="20"/>
  <c r="BS44" i="20"/>
  <c r="BS38" i="20"/>
  <c r="BS35" i="20"/>
  <c r="BS26" i="20"/>
  <c r="BS17" i="20"/>
  <c r="BS22" i="20"/>
  <c r="BS33" i="20"/>
  <c r="BS15" i="20"/>
  <c r="BS47" i="20"/>
  <c r="BS43" i="20"/>
  <c r="BS32" i="20"/>
  <c r="BS23" i="20"/>
  <c r="BS14" i="20"/>
  <c r="BS50" i="20"/>
  <c r="BT50" i="20" s="1"/>
  <c r="BS25" i="20"/>
  <c r="BT25" i="20" s="1"/>
  <c r="BS48" i="20"/>
  <c r="BS18" i="20"/>
  <c r="BS36" i="20"/>
  <c r="BS16" i="20"/>
  <c r="BS21" i="20"/>
  <c r="BS37" i="20"/>
  <c r="BS49" i="20"/>
  <c r="BS42" i="20"/>
  <c r="BS34" i="20"/>
  <c r="BS28" i="20"/>
  <c r="BS45" i="20"/>
  <c r="BS39" i="20"/>
  <c r="DK17" i="20"/>
  <c r="CH25" i="20"/>
  <c r="CM25" i="20" s="1"/>
  <c r="DK27" i="20"/>
  <c r="CH49" i="20"/>
  <c r="CM49" i="20" s="1"/>
  <c r="CH29" i="20"/>
  <c r="CM29" i="20" s="1"/>
  <c r="CH23" i="20"/>
  <c r="CM23" i="20" s="1"/>
  <c r="DK21" i="20"/>
  <c r="CH33" i="20"/>
  <c r="CM33" i="20" s="1"/>
  <c r="CH16" i="20"/>
  <c r="CM16" i="20" s="1"/>
  <c r="DK40" i="20"/>
  <c r="DK28" i="20"/>
  <c r="CH21" i="20"/>
  <c r="CM21" i="20" s="1"/>
  <c r="CH15" i="20"/>
  <c r="CM15" i="20" s="1"/>
  <c r="DK38" i="20"/>
  <c r="CH46" i="20"/>
  <c r="CM46" i="20" s="1"/>
  <c r="DK22" i="20"/>
  <c r="CH37" i="20"/>
  <c r="CM37" i="20" s="1"/>
  <c r="DK29" i="20"/>
  <c r="DK24" i="20"/>
  <c r="CH20" i="20"/>
  <c r="CM20" i="20" s="1"/>
  <c r="DK32" i="20"/>
  <c r="CH43" i="20"/>
  <c r="CM43" i="20" s="1"/>
  <c r="DK26" i="20"/>
  <c r="CH45" i="20"/>
  <c r="CM45" i="20" s="1"/>
  <c r="CH19" i="20"/>
  <c r="CM19" i="20" s="1"/>
  <c r="CH30" i="20"/>
  <c r="CM30" i="20" s="1"/>
  <c r="BV24" i="20"/>
  <c r="BW24" i="20" s="1"/>
  <c r="BV21" i="20"/>
  <c r="BW21" i="20" s="1"/>
  <c r="BV43" i="20"/>
  <c r="BW43" i="20" s="1"/>
  <c r="BV30" i="20"/>
  <c r="BV20" i="20"/>
  <c r="BV31" i="20"/>
  <c r="BV48" i="20"/>
  <c r="BV42" i="20"/>
  <c r="BV32" i="20"/>
  <c r="BV35" i="20"/>
  <c r="BV22" i="20"/>
  <c r="BV17" i="20"/>
  <c r="BV26" i="20"/>
  <c r="BV41" i="20"/>
  <c r="BV50" i="20"/>
  <c r="BV38" i="20"/>
  <c r="BV44" i="20"/>
  <c r="BV33" i="20"/>
  <c r="BV15" i="20"/>
  <c r="BV18" i="20"/>
  <c r="BV47" i="20"/>
  <c r="BV16" i="20"/>
  <c r="BV36" i="20"/>
  <c r="BV19" i="20"/>
  <c r="BV45" i="20"/>
  <c r="BV29" i="20"/>
  <c r="BV14" i="20"/>
  <c r="BV23" i="20"/>
  <c r="BW23" i="20" s="1"/>
  <c r="BV49" i="20"/>
  <c r="BW49" i="20" s="1"/>
  <c r="BV46" i="20"/>
  <c r="BW46" i="20" s="1"/>
  <c r="BV27" i="20"/>
  <c r="BW27" i="20" s="1"/>
  <c r="BV39" i="20"/>
  <c r="BW39" i="20" s="1"/>
  <c r="BV34" i="20"/>
  <c r="BW34" i="20" s="1"/>
  <c r="BV25" i="20"/>
  <c r="BW25" i="20" s="1"/>
  <c r="BV40" i="20"/>
  <c r="BW40" i="20" s="1"/>
  <c r="BV37" i="20"/>
  <c r="BV28" i="20"/>
  <c r="BW48" i="20" l="1"/>
  <c r="BW31" i="20"/>
  <c r="BW42" i="20"/>
  <c r="BW28" i="20"/>
  <c r="BW20" i="20"/>
  <c r="BW32" i="20"/>
  <c r="BW37" i="20"/>
  <c r="BW30" i="20"/>
  <c r="BT18" i="20"/>
  <c r="BT48" i="20"/>
  <c r="BW17" i="20"/>
  <c r="BW22" i="20"/>
  <c r="BY25" i="20"/>
  <c r="BW35" i="20"/>
  <c r="BT49" i="20"/>
  <c r="BY49" i="20" s="1"/>
  <c r="BT37" i="20"/>
  <c r="BY37" i="20" s="1"/>
  <c r="BT21" i="20"/>
  <c r="BY21" i="20" s="1"/>
  <c r="BT16" i="20"/>
  <c r="DL11" i="20"/>
  <c r="DM11" i="20"/>
  <c r="DN11" i="20"/>
  <c r="DK11" i="20"/>
  <c r="DO32" i="20" s="1"/>
  <c r="BT36" i="20"/>
  <c r="BT47" i="20"/>
  <c r="BT26" i="20"/>
  <c r="BY48" i="20"/>
  <c r="BT15" i="20"/>
  <c r="BT35" i="20"/>
  <c r="BY35" i="20" s="1"/>
  <c r="BT38" i="20"/>
  <c r="BT23" i="20"/>
  <c r="BY23" i="20" s="1"/>
  <c r="BT44" i="20"/>
  <c r="BW16" i="20"/>
  <c r="BY16" i="20" s="1"/>
  <c r="BT31" i="20"/>
  <c r="BT41" i="20"/>
  <c r="BW29" i="20"/>
  <c r="BW18" i="20"/>
  <c r="BY18" i="20" s="1"/>
  <c r="BT20" i="20"/>
  <c r="BY20" i="20" s="1"/>
  <c r="BT22" i="20"/>
  <c r="BT30" i="20"/>
  <c r="BT17" i="20"/>
  <c r="BT19" i="20"/>
  <c r="BW19" i="20"/>
  <c r="BT39" i="20"/>
  <c r="BY39" i="20" s="1"/>
  <c r="BT29" i="20"/>
  <c r="BT43" i="20"/>
  <c r="BY43" i="20" s="1"/>
  <c r="BW45" i="20"/>
  <c r="BT45" i="20"/>
  <c r="BY45" i="20" s="1"/>
  <c r="BT40" i="20"/>
  <c r="BY40" i="20" s="1"/>
  <c r="BW36" i="20"/>
  <c r="BW50" i="20"/>
  <c r="BY50" i="20" s="1"/>
  <c r="BT28" i="20"/>
  <c r="BY28" i="20" s="1"/>
  <c r="BT46" i="20"/>
  <c r="BY46" i="20" s="1"/>
  <c r="BT32" i="20"/>
  <c r="BY32" i="20" s="1"/>
  <c r="BT33" i="20"/>
  <c r="BW15" i="20"/>
  <c r="BW33" i="20"/>
  <c r="BW44" i="20"/>
  <c r="BW38" i="20"/>
  <c r="BW41" i="20"/>
  <c r="BT34" i="20"/>
  <c r="BY34" i="20" s="1"/>
  <c r="BT24" i="20"/>
  <c r="BY24" i="20" s="1"/>
  <c r="BW47" i="20"/>
  <c r="BW26" i="20"/>
  <c r="BT42" i="20"/>
  <c r="BY42" i="20" s="1"/>
  <c r="BT27" i="20"/>
  <c r="BY27" i="20" s="1"/>
  <c r="BY30" i="20" l="1"/>
  <c r="BY22" i="20"/>
  <c r="BY31" i="20"/>
  <c r="BY36" i="20"/>
  <c r="BY17" i="20"/>
  <c r="DO13" i="20"/>
  <c r="DO46" i="20"/>
  <c r="DO43" i="20"/>
  <c r="DO39" i="20"/>
  <c r="DO48" i="20"/>
  <c r="DO30" i="20"/>
  <c r="DO36" i="20"/>
  <c r="DO45" i="20"/>
  <c r="DO42" i="20"/>
  <c r="DO19" i="20"/>
  <c r="DO18" i="20"/>
  <c r="DO31" i="20"/>
  <c r="DO23" i="20"/>
  <c r="DO26" i="20"/>
  <c r="DO20" i="20"/>
  <c r="DO47" i="20"/>
  <c r="DO33" i="20"/>
  <c r="DO34" i="20"/>
  <c r="DO29" i="20"/>
  <c r="DO16" i="20"/>
  <c r="DO24" i="20"/>
  <c r="DO25" i="20"/>
  <c r="DO22" i="20"/>
  <c r="DO17" i="20"/>
  <c r="DO35" i="20"/>
  <c r="DO44" i="20"/>
  <c r="DO14" i="20"/>
  <c r="DO15" i="20"/>
  <c r="DO49" i="20"/>
  <c r="DO41" i="20"/>
  <c r="DO38" i="20"/>
  <c r="DO37" i="20"/>
  <c r="BY19" i="20"/>
  <c r="DO21" i="20"/>
  <c r="DO40" i="20"/>
  <c r="DQ33" i="20"/>
  <c r="DQ17" i="20"/>
  <c r="DQ38" i="20"/>
  <c r="DQ44" i="20"/>
  <c r="DQ37" i="20"/>
  <c r="DQ31" i="20"/>
  <c r="DQ21" i="20"/>
  <c r="DQ39" i="20"/>
  <c r="DQ19" i="20"/>
  <c r="DQ47" i="20"/>
  <c r="DQ30" i="20"/>
  <c r="DQ28" i="20"/>
  <c r="DQ22" i="20"/>
  <c r="DQ41" i="20"/>
  <c r="DQ48" i="20"/>
  <c r="DQ26" i="20"/>
  <c r="DQ18" i="20"/>
  <c r="DQ20" i="20"/>
  <c r="DQ34" i="20"/>
  <c r="DQ15" i="20"/>
  <c r="DQ23" i="20"/>
  <c r="DQ27" i="20"/>
  <c r="DQ16" i="20"/>
  <c r="DQ42" i="20"/>
  <c r="DQ32" i="20"/>
  <c r="DQ13" i="20"/>
  <c r="DQ49" i="20"/>
  <c r="DQ24" i="20"/>
  <c r="DQ43" i="20"/>
  <c r="DQ46" i="20"/>
  <c r="DQ40" i="20"/>
  <c r="DQ29" i="20"/>
  <c r="DQ14" i="20"/>
  <c r="DQ45" i="20"/>
  <c r="DQ36" i="20"/>
  <c r="DQ25" i="20"/>
  <c r="DQ35" i="20"/>
  <c r="DO27" i="20"/>
  <c r="DR14" i="20"/>
  <c r="DR36" i="20"/>
  <c r="DR38" i="20"/>
  <c r="DR24" i="20"/>
  <c r="DR19" i="20"/>
  <c r="DR26" i="20"/>
  <c r="DR48" i="20"/>
  <c r="DR31" i="20"/>
  <c r="DR21" i="20"/>
  <c r="DR49" i="20"/>
  <c r="DR45" i="20"/>
  <c r="DR22" i="20"/>
  <c r="DR35" i="20"/>
  <c r="DR17" i="20"/>
  <c r="DR20" i="20"/>
  <c r="DR25" i="20"/>
  <c r="DR44" i="20"/>
  <c r="DR33" i="20"/>
  <c r="DR41" i="20"/>
  <c r="DR37" i="20"/>
  <c r="DR15" i="20"/>
  <c r="DR39" i="20"/>
  <c r="DR34" i="20"/>
  <c r="DR47" i="20"/>
  <c r="DR43" i="20"/>
  <c r="DR30" i="20"/>
  <c r="DR46" i="20"/>
  <c r="DR13" i="20"/>
  <c r="DR27" i="20"/>
  <c r="DR32" i="20"/>
  <c r="DR16" i="20"/>
  <c r="DR18" i="20"/>
  <c r="DR40" i="20"/>
  <c r="DR29" i="20"/>
  <c r="DR28" i="20"/>
  <c r="DR42" i="20"/>
  <c r="DR23" i="20"/>
  <c r="DP39" i="20"/>
  <c r="DP29" i="20"/>
  <c r="DP45" i="20"/>
  <c r="DP27" i="20"/>
  <c r="DP49" i="20"/>
  <c r="DP22" i="20"/>
  <c r="DP46" i="20"/>
  <c r="DP30" i="20"/>
  <c r="DP36" i="20"/>
  <c r="DP37" i="20"/>
  <c r="DP17" i="20"/>
  <c r="DP28" i="20"/>
  <c r="DP23" i="20"/>
  <c r="DP19" i="20"/>
  <c r="DP41" i="20"/>
  <c r="DP38" i="20"/>
  <c r="DP16" i="20"/>
  <c r="DP31" i="20"/>
  <c r="DP20" i="20"/>
  <c r="DP33" i="20"/>
  <c r="DP35" i="20"/>
  <c r="DP42" i="20"/>
  <c r="DP21" i="20"/>
  <c r="DP43" i="20"/>
  <c r="DP47" i="20"/>
  <c r="DP34" i="20"/>
  <c r="DP48" i="20"/>
  <c r="DP15" i="20"/>
  <c r="DP24" i="20"/>
  <c r="DP13" i="20"/>
  <c r="DP40" i="20"/>
  <c r="DP26" i="20"/>
  <c r="DP18" i="20"/>
  <c r="DP14" i="20"/>
  <c r="DP25" i="20"/>
  <c r="DP44" i="20"/>
  <c r="DP32" i="20"/>
  <c r="DO28" i="20"/>
  <c r="BY41" i="20"/>
  <c r="BY33" i="20"/>
  <c r="BY38" i="20"/>
  <c r="BY15" i="20"/>
  <c r="BY29" i="20"/>
  <c r="BY26" i="20"/>
  <c r="BY44" i="20"/>
  <c r="BY47" i="20"/>
  <c r="DU49" i="20" l="1"/>
  <c r="DU19" i="20"/>
  <c r="DU13" i="20"/>
  <c r="DU17" i="20"/>
  <c r="DU24" i="20"/>
  <c r="DU16" i="20"/>
  <c r="DU35" i="20"/>
  <c r="DU41" i="20"/>
  <c r="DU20" i="20"/>
  <c r="DU47" i="20"/>
  <c r="DU46" i="20"/>
  <c r="DU31" i="20"/>
  <c r="DU25" i="20"/>
  <c r="DU45" i="20"/>
  <c r="DU23" i="20"/>
  <c r="DU33" i="20"/>
  <c r="DU28" i="20"/>
  <c r="DU15" i="20"/>
  <c r="DU18" i="20"/>
  <c r="DU39" i="20"/>
  <c r="DU37" i="20"/>
  <c r="DU14" i="20"/>
  <c r="DU27" i="20"/>
  <c r="DU44" i="20"/>
  <c r="DU26" i="20"/>
  <c r="DU43" i="20"/>
  <c r="DU21" i="20"/>
  <c r="DU40" i="20"/>
  <c r="DU32" i="20"/>
  <c r="DU22" i="20"/>
  <c r="DU42" i="20"/>
  <c r="DU36" i="20"/>
  <c r="DU48" i="20"/>
  <c r="DU29" i="20"/>
  <c r="DU38" i="20"/>
  <c r="DU30" i="20"/>
  <c r="DU34" i="20"/>
  <c r="DT35" i="20"/>
  <c r="DT16" i="20"/>
  <c r="DT46" i="20"/>
  <c r="DT34" i="20"/>
  <c r="DT25" i="20"/>
  <c r="DT33" i="20"/>
  <c r="DT31" i="20"/>
  <c r="DT22" i="20"/>
  <c r="DT17" i="20"/>
  <c r="DT48" i="20"/>
  <c r="DT37" i="20"/>
  <c r="DT45" i="20"/>
  <c r="DT21" i="20"/>
  <c r="DT38" i="20"/>
  <c r="DT30" i="20"/>
  <c r="DT28" i="20"/>
  <c r="DT18" i="20"/>
  <c r="DT13" i="20"/>
  <c r="DT39" i="20"/>
  <c r="DT14" i="20"/>
  <c r="DT24" i="20"/>
  <c r="DT27" i="20"/>
  <c r="DT41" i="20"/>
  <c r="DT29" i="20"/>
  <c r="DT26" i="20"/>
  <c r="DT42" i="20"/>
  <c r="DT20" i="20"/>
  <c r="DT40" i="20"/>
  <c r="DT15" i="20"/>
  <c r="DT47" i="20"/>
  <c r="DT19" i="20"/>
  <c r="DT44" i="20"/>
  <c r="DT32" i="20"/>
  <c r="DT23" i="20"/>
  <c r="DT43" i="20"/>
  <c r="DT49" i="20"/>
  <c r="DT36" i="20"/>
  <c r="DV45" i="20"/>
  <c r="DV48" i="20"/>
  <c r="DV24" i="20"/>
  <c r="DV36" i="20"/>
  <c r="DV14" i="20"/>
  <c r="DV40" i="20"/>
  <c r="DV49" i="20"/>
  <c r="DV29" i="20"/>
  <c r="DV41" i="20"/>
  <c r="DV38" i="20"/>
  <c r="DV19" i="20"/>
  <c r="DV28" i="20"/>
  <c r="DV42" i="20"/>
  <c r="DV33" i="20"/>
  <c r="DV23" i="20"/>
  <c r="DV25" i="20"/>
  <c r="DV20" i="20"/>
  <c r="DV34" i="20"/>
  <c r="DV37" i="20"/>
  <c r="DV46" i="20"/>
  <c r="DV43" i="20"/>
  <c r="DV31" i="20"/>
  <c r="DV16" i="20"/>
  <c r="DV18" i="20"/>
  <c r="DV15" i="20"/>
  <c r="DV39" i="20"/>
  <c r="DV17" i="20"/>
  <c r="DV32" i="20"/>
  <c r="DV30" i="20"/>
  <c r="DV26" i="20"/>
  <c r="DV35" i="20"/>
  <c r="DV22" i="20"/>
  <c r="DV44" i="20"/>
  <c r="DV47" i="20"/>
  <c r="DV13" i="20"/>
  <c r="DV21" i="20"/>
  <c r="DV27" i="20"/>
  <c r="DS21" i="20"/>
  <c r="DS36" i="20"/>
  <c r="DS17" i="20"/>
  <c r="DS42" i="20"/>
  <c r="DS24" i="20"/>
  <c r="DS32" i="20"/>
  <c r="DS27" i="20"/>
  <c r="DS46" i="20"/>
  <c r="DS26" i="20"/>
  <c r="DS43" i="20"/>
  <c r="DS41" i="20"/>
  <c r="DS34" i="20"/>
  <c r="DS20" i="20"/>
  <c r="DS45" i="20"/>
  <c r="DS22" i="20"/>
  <c r="DS13" i="20"/>
  <c r="DS23" i="20"/>
  <c r="DS47" i="20"/>
  <c r="DS35" i="20"/>
  <c r="DS40" i="20"/>
  <c r="DS18" i="20"/>
  <c r="DS15" i="20"/>
  <c r="DS16" i="20"/>
  <c r="DS44" i="20"/>
  <c r="DS33" i="20"/>
  <c r="DS38" i="20"/>
  <c r="DS31" i="20"/>
  <c r="DS28" i="20"/>
  <c r="DS49" i="20"/>
  <c r="DS30" i="20"/>
  <c r="DS25" i="20"/>
  <c r="DS14" i="20"/>
  <c r="DS19" i="20"/>
  <c r="DS39" i="20"/>
  <c r="DS29" i="20"/>
  <c r="DS48" i="20"/>
  <c r="DS37" i="20"/>
  <c r="D18" i="19" l="1"/>
  <c r="D17" i="19"/>
  <c r="D16" i="19"/>
  <c r="D15" i="19"/>
  <c r="B5" i="19"/>
  <c r="D19" i="19" s="1"/>
  <c r="I1" i="19"/>
  <c r="K3" i="19" a="1"/>
  <c r="I3" i="19" a="1"/>
  <c r="I3" i="19" l="1"/>
  <c r="K3" i="19"/>
  <c r="B19" i="19"/>
  <c r="C19" i="19" s="1"/>
  <c r="B18" i="19"/>
  <c r="C18" i="19" s="1"/>
  <c r="B17" i="19"/>
  <c r="C17" i="19" s="1"/>
  <c r="B15" i="19"/>
  <c r="C15" i="19" s="1"/>
  <c r="E15" i="19" l="1"/>
  <c r="F15" i="19" s="1"/>
  <c r="G15" i="19" s="1"/>
  <c r="E18" i="19"/>
  <c r="F18" i="19" s="1"/>
  <c r="G18" i="19" s="1"/>
  <c r="E16" i="19"/>
  <c r="F16" i="19" s="1"/>
  <c r="E17" i="19"/>
  <c r="F17" i="19" s="1"/>
  <c r="G17" i="19" s="1"/>
  <c r="E19" i="19"/>
  <c r="F19" i="19" s="1"/>
  <c r="G19" i="19" s="1"/>
  <c r="B16" i="19"/>
  <c r="C16" i="19" s="1"/>
  <c r="G16" i="19" l="1"/>
  <c r="C19" i="17" l="1"/>
  <c r="D19" i="17"/>
  <c r="C20" i="17"/>
  <c r="D20" i="17"/>
  <c r="D29" i="14"/>
  <c r="G29" i="14"/>
  <c r="J29" i="14"/>
  <c r="M29" i="14"/>
  <c r="P29" i="14"/>
  <c r="S29" i="14"/>
  <c r="D30" i="14"/>
  <c r="G30" i="14"/>
  <c r="J30" i="14"/>
  <c r="M30" i="14"/>
  <c r="P30" i="14"/>
  <c r="S30" i="14"/>
  <c r="D37" i="12"/>
  <c r="G37" i="12"/>
  <c r="J37" i="12"/>
  <c r="M37" i="12"/>
  <c r="P37" i="12"/>
  <c r="S37" i="12"/>
  <c r="D38" i="12"/>
  <c r="G38" i="12"/>
  <c r="J38" i="12"/>
  <c r="M38" i="12"/>
  <c r="P38" i="12"/>
  <c r="S38" i="12"/>
  <c r="D21" i="10"/>
  <c r="G21" i="10"/>
  <c r="J21" i="10"/>
  <c r="M21" i="10"/>
  <c r="D22" i="10"/>
  <c r="G22" i="10"/>
  <c r="J22" i="10"/>
  <c r="M22" i="10"/>
  <c r="D23" i="9"/>
  <c r="G23" i="9"/>
  <c r="D24" i="9"/>
  <c r="G24" i="9"/>
  <c r="D25" i="8"/>
  <c r="G25" i="8"/>
  <c r="J25" i="8"/>
  <c r="M25" i="8"/>
  <c r="D26" i="8"/>
  <c r="G26" i="8"/>
  <c r="J26" i="8"/>
  <c r="M26" i="8"/>
  <c r="D26" i="5"/>
  <c r="G26" i="5"/>
  <c r="D27" i="5"/>
  <c r="G27" i="5"/>
  <c r="J31" i="2"/>
  <c r="D29" i="3"/>
  <c r="G29" i="3"/>
  <c r="D30" i="3"/>
  <c r="G30" i="3"/>
  <c r="D30" i="2"/>
  <c r="G30" i="2"/>
  <c r="J30" i="2"/>
  <c r="G31" i="2"/>
  <c r="D31" i="2"/>
  <c r="E46" i="1"/>
  <c r="H46" i="1"/>
  <c r="E47" i="1"/>
  <c r="H47" i="1"/>
  <c r="B30" i="2" l="1"/>
  <c r="C30" i="2" s="1"/>
  <c r="K21" i="10"/>
  <c r="L21" i="10" s="1"/>
  <c r="N37" i="12"/>
  <c r="O37" i="12" s="1"/>
  <c r="E30" i="2"/>
  <c r="F30" i="2" s="1"/>
  <c r="K37" i="12"/>
  <c r="L37" i="12" s="1"/>
  <c r="E37" i="12"/>
  <c r="F37" i="12" s="1"/>
  <c r="B46" i="1"/>
  <c r="C46" i="1" s="1"/>
  <c r="D46" i="1" s="1"/>
  <c r="E26" i="5"/>
  <c r="F26" i="5" s="1"/>
  <c r="H29" i="14"/>
  <c r="I29" i="14" s="1"/>
  <c r="Q37" i="12"/>
  <c r="R37" i="12" s="1"/>
  <c r="E25" i="8"/>
  <c r="F25" i="8" s="1"/>
  <c r="E23" i="9"/>
  <c r="F23" i="9" s="1"/>
  <c r="B21" i="10"/>
  <c r="C21" i="10" s="1"/>
  <c r="H25" i="8"/>
  <c r="I25" i="8" s="1"/>
  <c r="B26" i="5"/>
  <c r="C26" i="5" s="1"/>
  <c r="K29" i="14"/>
  <c r="L29" i="14" s="1"/>
  <c r="E29" i="3"/>
  <c r="F29" i="3" s="1"/>
  <c r="K25" i="8"/>
  <c r="L25" i="8" s="1"/>
  <c r="H30" i="2"/>
  <c r="I30" i="2" s="1"/>
  <c r="F46" i="1"/>
  <c r="G46" i="1" s="1"/>
  <c r="E21" i="10"/>
  <c r="F21" i="10" s="1"/>
  <c r="N29" i="14"/>
  <c r="O29" i="14" s="1"/>
  <c r="H21" i="10"/>
  <c r="I21" i="10" s="1"/>
  <c r="Q29" i="14"/>
  <c r="R29" i="14" s="1"/>
  <c r="H37" i="12"/>
  <c r="I37" i="12" s="1"/>
  <c r="B29" i="14"/>
  <c r="C29" i="14" s="1"/>
  <c r="B29" i="3"/>
  <c r="C29" i="3" s="1"/>
  <c r="B37" i="12"/>
  <c r="C37" i="12" s="1"/>
  <c r="E29" i="14"/>
  <c r="F29" i="14" s="1"/>
  <c r="B23" i="9"/>
  <c r="C23" i="9" s="1"/>
  <c r="B25" i="8"/>
  <c r="C25" i="8" s="1"/>
  <c r="F47" i="1"/>
  <c r="G47" i="1" s="1"/>
  <c r="H29" i="3" l="1"/>
  <c r="T37" i="12"/>
  <c r="H26" i="5"/>
  <c r="H23" i="9"/>
  <c r="B26" i="8"/>
  <c r="C26" i="8" s="1"/>
  <c r="K38" i="12"/>
  <c r="L38" i="12" s="1"/>
  <c r="K22" i="10"/>
  <c r="L22" i="10" s="1"/>
  <c r="Q30" i="14"/>
  <c r="R30" i="14" s="1"/>
  <c r="E38" i="12"/>
  <c r="F38" i="12" s="1"/>
  <c r="E30" i="14"/>
  <c r="F30" i="14" s="1"/>
  <c r="H31" i="2"/>
  <c r="I31" i="2" s="1"/>
  <c r="B31" i="2"/>
  <c r="C31" i="2" s="1"/>
  <c r="H26" i="8"/>
  <c r="I26" i="8" s="1"/>
  <c r="H38" i="12"/>
  <c r="I38" i="12" s="1"/>
  <c r="B38" i="12"/>
  <c r="C38" i="12" s="1"/>
  <c r="B30" i="14"/>
  <c r="C30" i="14" s="1"/>
  <c r="E26" i="8"/>
  <c r="F26" i="8" s="1"/>
  <c r="E22" i="10"/>
  <c r="F22" i="10" s="1"/>
  <c r="B27" i="5"/>
  <c r="C27" i="5" s="1"/>
  <c r="B24" i="9"/>
  <c r="C24" i="9" s="1"/>
  <c r="B22" i="10"/>
  <c r="C22" i="10" s="1"/>
  <c r="H22" i="10"/>
  <c r="I22" i="10" s="1"/>
  <c r="E24" i="9"/>
  <c r="F24" i="9" s="1"/>
  <c r="N30" i="14"/>
  <c r="O30" i="14" s="1"/>
  <c r="N38" i="12"/>
  <c r="O38" i="12" s="1"/>
  <c r="E30" i="3"/>
  <c r="F30" i="3" s="1"/>
  <c r="H30" i="14"/>
  <c r="I30" i="14" s="1"/>
  <c r="E27" i="5"/>
  <c r="F27" i="5" s="1"/>
  <c r="K26" i="8"/>
  <c r="L26" i="8" s="1"/>
  <c r="B47" i="1"/>
  <c r="C47" i="1" s="1"/>
  <c r="D47" i="1" s="1"/>
  <c r="I47" i="1" s="1"/>
  <c r="B30" i="3"/>
  <c r="C30" i="3" s="1"/>
  <c r="Q38" i="12"/>
  <c r="R38" i="12" s="1"/>
  <c r="K30" i="14"/>
  <c r="L30" i="14" s="1"/>
  <c r="E31" i="2"/>
  <c r="F31" i="2" s="1"/>
  <c r="N21" i="10"/>
  <c r="T29" i="14"/>
  <c r="N25" i="8"/>
  <c r="E15" i="3"/>
  <c r="H17" i="10"/>
  <c r="H18" i="10"/>
  <c r="H19" i="10"/>
  <c r="H20" i="10"/>
  <c r="H15" i="10"/>
  <c r="H16" i="10"/>
  <c r="B15" i="1"/>
  <c r="B19" i="1"/>
  <c r="B26" i="1"/>
  <c r="B32" i="1"/>
  <c r="B34" i="1"/>
  <c r="B36" i="1"/>
  <c r="B43" i="1"/>
  <c r="B35" i="1"/>
  <c r="B44" i="1"/>
  <c r="B41" i="1"/>
  <c r="B30" i="1"/>
  <c r="B20" i="1"/>
  <c r="B29" i="1"/>
  <c r="B16" i="1"/>
  <c r="B38" i="1"/>
  <c r="B17" i="1"/>
  <c r="B18" i="1"/>
  <c r="B24" i="1"/>
  <c r="B31" i="1"/>
  <c r="B39" i="1"/>
  <c r="B25" i="1"/>
  <c r="B42" i="1"/>
  <c r="B21" i="1"/>
  <c r="B22" i="1"/>
  <c r="B23" i="1"/>
  <c r="B28" i="1"/>
  <c r="B33" i="1"/>
  <c r="B37" i="1"/>
  <c r="B18" i="2"/>
  <c r="B22" i="2"/>
  <c r="B25" i="2"/>
  <c r="E19" i="5"/>
  <c r="E20" i="8"/>
  <c r="E18" i="8"/>
  <c r="E21" i="8"/>
  <c r="N28" i="12"/>
  <c r="E30" i="12"/>
  <c r="B22" i="8"/>
  <c r="H16" i="8"/>
  <c r="H17" i="8"/>
  <c r="H18" i="8"/>
  <c r="H19" i="8"/>
  <c r="H20" i="8"/>
  <c r="H21" i="8"/>
  <c r="H23" i="8"/>
  <c r="H24" i="8"/>
  <c r="H22" i="8"/>
  <c r="H15" i="8"/>
  <c r="F36" i="1"/>
  <c r="F41" i="1"/>
  <c r="F45" i="1"/>
  <c r="F40" i="1"/>
  <c r="F42" i="1"/>
  <c r="F43" i="1"/>
  <c r="F27" i="1"/>
  <c r="F22" i="1"/>
  <c r="F17" i="1"/>
  <c r="F23" i="1"/>
  <c r="F28" i="1"/>
  <c r="F20" i="1"/>
  <c r="F21" i="1"/>
  <c r="F25" i="1"/>
  <c r="F31" i="1"/>
  <c r="F34" i="1"/>
  <c r="F35" i="1"/>
  <c r="F26" i="1"/>
  <c r="F18" i="1"/>
  <c r="F19" i="1"/>
  <c r="F29" i="1"/>
  <c r="E18" i="2"/>
  <c r="E24" i="2"/>
  <c r="E25" i="2"/>
  <c r="E27" i="2"/>
  <c r="E28" i="2"/>
  <c r="E19" i="2"/>
  <c r="E15" i="2"/>
  <c r="E16" i="2"/>
  <c r="E26" i="2"/>
  <c r="E20" i="2"/>
  <c r="E23" i="2"/>
  <c r="E29" i="2"/>
  <c r="H24" i="2"/>
  <c r="H26" i="2"/>
  <c r="H17" i="2"/>
  <c r="H19" i="2"/>
  <c r="H21" i="2"/>
  <c r="H23" i="2"/>
  <c r="H25" i="2"/>
  <c r="H22" i="2"/>
  <c r="H16" i="2"/>
  <c r="H18" i="2"/>
  <c r="H27" i="2"/>
  <c r="H28" i="2"/>
  <c r="H15" i="2"/>
  <c r="H29" i="2"/>
  <c r="H20" i="2"/>
  <c r="B28" i="3"/>
  <c r="B17" i="3"/>
  <c r="B24" i="3"/>
  <c r="B15" i="3"/>
  <c r="B20" i="3"/>
  <c r="B22" i="3"/>
  <c r="B23" i="3"/>
  <c r="K21" i="8"/>
  <c r="K24" i="8"/>
  <c r="B22" i="5"/>
  <c r="Q36" i="12"/>
  <c r="K26" i="12"/>
  <c r="H23" i="12"/>
  <c r="E18" i="9"/>
  <c r="E21" i="9"/>
  <c r="E16" i="9"/>
  <c r="E19" i="9"/>
  <c r="E22" i="9"/>
  <c r="E17" i="9"/>
  <c r="E20" i="9"/>
  <c r="E15" i="9"/>
  <c r="B16" i="9"/>
  <c r="B15" i="9"/>
  <c r="B17" i="9"/>
  <c r="B18" i="9"/>
  <c r="B20" i="9"/>
  <c r="B19" i="9"/>
  <c r="B22" i="9"/>
  <c r="B21" i="9"/>
  <c r="B18" i="10"/>
  <c r="B20" i="10"/>
  <c r="B15" i="10"/>
  <c r="E16" i="10"/>
  <c r="E20" i="10"/>
  <c r="E15" i="10"/>
  <c r="E17" i="10"/>
  <c r="E18" i="10"/>
  <c r="E19" i="10"/>
  <c r="K16" i="10"/>
  <c r="B29" i="12"/>
  <c r="B33" i="12"/>
  <c r="B19" i="12"/>
  <c r="B22" i="12"/>
  <c r="B28" i="12"/>
  <c r="B30" i="12"/>
  <c r="B31" i="12"/>
  <c r="B36" i="12"/>
  <c r="H29" i="12"/>
  <c r="H19" i="12"/>
  <c r="H20" i="12"/>
  <c r="H34" i="12"/>
  <c r="H31" i="12"/>
  <c r="H35" i="12"/>
  <c r="H36" i="12"/>
  <c r="H22" i="12"/>
  <c r="H28" i="12"/>
  <c r="K29" i="12"/>
  <c r="K30" i="12"/>
  <c r="K22" i="12"/>
  <c r="K24" i="12"/>
  <c r="K25" i="12"/>
  <c r="K31" i="12"/>
  <c r="K15" i="12"/>
  <c r="K17" i="12"/>
  <c r="E36" i="12"/>
  <c r="E16" i="12"/>
  <c r="E27" i="12"/>
  <c r="E19" i="12"/>
  <c r="E23" i="12"/>
  <c r="E29" i="12"/>
  <c r="E32" i="12"/>
  <c r="E17" i="12"/>
  <c r="E28" i="12"/>
  <c r="E31" i="12"/>
  <c r="E35" i="12"/>
  <c r="E24" i="12"/>
  <c r="Q21" i="12"/>
  <c r="Q23" i="12"/>
  <c r="Q28" i="12"/>
  <c r="Q30" i="12"/>
  <c r="Q34" i="12"/>
  <c r="Q16" i="12"/>
  <c r="Q22" i="12"/>
  <c r="Q25" i="12"/>
  <c r="Q26" i="12"/>
  <c r="Q27" i="12"/>
  <c r="Q19" i="12"/>
  <c r="Q24" i="12"/>
  <c r="Q17" i="12"/>
  <c r="N20" i="12"/>
  <c r="N26" i="12"/>
  <c r="N34" i="12"/>
  <c r="N17" i="12"/>
  <c r="N27" i="12"/>
  <c r="N29" i="12"/>
  <c r="N16" i="12"/>
  <c r="N18" i="12"/>
  <c r="N19" i="12"/>
  <c r="N22" i="12"/>
  <c r="N24" i="12"/>
  <c r="N25" i="12"/>
  <c r="N23" i="12"/>
  <c r="N31" i="12"/>
  <c r="N32" i="12"/>
  <c r="E20" i="12"/>
  <c r="H16" i="12"/>
  <c r="B17" i="12"/>
  <c r="H30" i="3" l="1"/>
  <c r="N22" i="10"/>
  <c r="H24" i="9"/>
  <c r="H27" i="5"/>
  <c r="K31" i="2"/>
  <c r="T30" i="14"/>
  <c r="T38" i="12"/>
  <c r="N26" i="8"/>
  <c r="K17" i="8"/>
  <c r="B20" i="2"/>
  <c r="E25" i="5"/>
  <c r="K19" i="12"/>
  <c r="B21" i="2"/>
  <c r="H27" i="12"/>
  <c r="B18" i="3"/>
  <c r="F37" i="1"/>
  <c r="B17" i="2"/>
  <c r="B15" i="5"/>
  <c r="B16" i="3"/>
  <c r="F24" i="1"/>
  <c r="B27" i="2"/>
  <c r="B21" i="5"/>
  <c r="B17" i="5"/>
  <c r="E16" i="8"/>
  <c r="B17" i="10"/>
  <c r="B23" i="5"/>
  <c r="B19" i="3"/>
  <c r="F39" i="1"/>
  <c r="E15" i="8"/>
  <c r="B23" i="2"/>
  <c r="E23" i="8"/>
  <c r="B16" i="5"/>
  <c r="H33" i="12"/>
  <c r="B19" i="10"/>
  <c r="B20" i="5"/>
  <c r="E19" i="8"/>
  <c r="B29" i="2"/>
  <c r="E22" i="12"/>
  <c r="H30" i="12"/>
  <c r="B16" i="10"/>
  <c r="B25" i="5"/>
  <c r="F32" i="1"/>
  <c r="E24" i="8"/>
  <c r="B26" i="2"/>
  <c r="N21" i="12"/>
  <c r="E21" i="12"/>
  <c r="B24" i="5"/>
  <c r="F30" i="1"/>
  <c r="E22" i="8"/>
  <c r="B16" i="2"/>
  <c r="B19" i="5"/>
  <c r="B18" i="5"/>
  <c r="E17" i="8"/>
  <c r="K18" i="12"/>
  <c r="K18" i="8"/>
  <c r="E24" i="5"/>
  <c r="E20" i="5"/>
  <c r="E24" i="3"/>
  <c r="E22" i="3"/>
  <c r="K16" i="8"/>
  <c r="E28" i="3"/>
  <c r="E27" i="3"/>
  <c r="E25" i="3"/>
  <c r="K22" i="8"/>
  <c r="F16" i="1"/>
  <c r="B21" i="8"/>
  <c r="E18" i="5"/>
  <c r="E23" i="3"/>
  <c r="K19" i="8"/>
  <c r="B20" i="8"/>
  <c r="E17" i="5"/>
  <c r="E17" i="3"/>
  <c r="K15" i="8"/>
  <c r="E23" i="5"/>
  <c r="K21" i="12"/>
  <c r="K35" i="12"/>
  <c r="E16" i="3"/>
  <c r="E21" i="3"/>
  <c r="E15" i="5"/>
  <c r="B24" i="8"/>
  <c r="K33" i="12"/>
  <c r="B23" i="8"/>
  <c r="Q32" i="12"/>
  <c r="K36" i="12"/>
  <c r="Q15" i="12"/>
  <c r="K20" i="12"/>
  <c r="Q35" i="12"/>
  <c r="E21" i="2"/>
  <c r="F38" i="1"/>
  <c r="B17" i="8"/>
  <c r="B28" i="2"/>
  <c r="N33" i="12"/>
  <c r="Q31" i="12"/>
  <c r="K32" i="12"/>
  <c r="K17" i="10"/>
  <c r="B26" i="3"/>
  <c r="E22" i="2"/>
  <c r="F33" i="1"/>
  <c r="B15" i="8"/>
  <c r="B19" i="2"/>
  <c r="B45" i="1"/>
  <c r="E20" i="3"/>
  <c r="K20" i="8"/>
  <c r="K23" i="8"/>
  <c r="K18" i="10"/>
  <c r="K15" i="10"/>
  <c r="B21" i="3"/>
  <c r="B18" i="8"/>
  <c r="K19" i="10"/>
  <c r="B25" i="3"/>
  <c r="E17" i="2"/>
  <c r="F15" i="1"/>
  <c r="B19" i="8"/>
  <c r="B15" i="2"/>
  <c r="B40" i="1"/>
  <c r="E19" i="3"/>
  <c r="K23" i="12"/>
  <c r="E22" i="5"/>
  <c r="E21" i="5"/>
  <c r="K20" i="10"/>
  <c r="E16" i="5"/>
  <c r="K34" i="12"/>
  <c r="B27" i="3"/>
  <c r="N30" i="12"/>
  <c r="E15" i="12"/>
  <c r="K28" i="12"/>
  <c r="K27" i="12"/>
  <c r="F44" i="1"/>
  <c r="B16" i="8"/>
  <c r="B24" i="2"/>
  <c r="E18" i="3"/>
  <c r="E26" i="3"/>
  <c r="B26" i="12"/>
  <c r="B23" i="12"/>
  <c r="B20" i="12"/>
  <c r="B16" i="12"/>
  <c r="B35" i="12"/>
  <c r="B34" i="12"/>
  <c r="B32" i="12"/>
  <c r="B18" i="12"/>
  <c r="E26" i="12"/>
  <c r="Q20" i="12"/>
  <c r="N15" i="12"/>
  <c r="Q33" i="12"/>
  <c r="N36" i="12"/>
  <c r="Q29" i="12"/>
  <c r="E18" i="12"/>
  <c r="H24" i="12"/>
  <c r="B27" i="12"/>
  <c r="H32" i="12"/>
  <c r="E25" i="12"/>
  <c r="H25" i="12"/>
  <c r="N35" i="12"/>
  <c r="Q18" i="12"/>
  <c r="K16" i="12"/>
  <c r="H21" i="12"/>
  <c r="B25" i="12"/>
  <c r="H18" i="12"/>
  <c r="B24" i="12"/>
  <c r="E34" i="12"/>
  <c r="H17" i="12"/>
  <c r="B21" i="12"/>
  <c r="E33" i="12"/>
  <c r="H15" i="12"/>
  <c r="B15" i="12"/>
  <c r="H26" i="12"/>
  <c r="Q14" i="12" l="1"/>
  <c r="N14" i="12"/>
  <c r="K14" i="12"/>
  <c r="E14" i="12"/>
  <c r="E6" i="12" l="1"/>
  <c r="C6" i="12"/>
  <c r="G5" i="12"/>
  <c r="F5" i="12"/>
  <c r="E5" i="12"/>
  <c r="D5" i="12"/>
  <c r="C5" i="12"/>
  <c r="B5" i="12"/>
  <c r="R16" i="12" l="1"/>
  <c r="R21" i="12"/>
  <c r="R19" i="12"/>
  <c r="R26" i="12"/>
  <c r="R31" i="12"/>
  <c r="R17" i="12"/>
  <c r="R36" i="12"/>
  <c r="R22" i="12"/>
  <c r="R33" i="12"/>
  <c r="R24" i="12"/>
  <c r="R29" i="12"/>
  <c r="R20" i="12"/>
  <c r="R34" i="12"/>
  <c r="R18" i="12"/>
  <c r="R23" i="12"/>
  <c r="R27" i="12"/>
  <c r="R32" i="12"/>
  <c r="R15" i="12"/>
  <c r="R30" i="12"/>
  <c r="R28" i="12"/>
  <c r="R25" i="12"/>
  <c r="R35" i="12"/>
  <c r="J26" i="12"/>
  <c r="J18" i="12"/>
  <c r="J21" i="12"/>
  <c r="J23" i="12"/>
  <c r="J19" i="12"/>
  <c r="J22" i="12"/>
  <c r="J28" i="12"/>
  <c r="J31" i="12"/>
  <c r="J33" i="12"/>
  <c r="J16" i="12"/>
  <c r="J27" i="12"/>
  <c r="J29" i="12"/>
  <c r="J25" i="12"/>
  <c r="J15" i="12"/>
  <c r="J24" i="12"/>
  <c r="J34" i="12"/>
  <c r="J36" i="12"/>
  <c r="J30" i="12"/>
  <c r="J20" i="12"/>
  <c r="J35" i="12"/>
  <c r="J17" i="12"/>
  <c r="J32" i="12"/>
  <c r="S26" i="12"/>
  <c r="S25" i="12"/>
  <c r="S33" i="12"/>
  <c r="S31" i="12"/>
  <c r="S36" i="12"/>
  <c r="S17" i="12"/>
  <c r="S28" i="12"/>
  <c r="S16" i="12"/>
  <c r="S29" i="12"/>
  <c r="S32" i="12"/>
  <c r="S19" i="12"/>
  <c r="S30" i="12"/>
  <c r="S21" i="12"/>
  <c r="S24" i="12"/>
  <c r="S34" i="12"/>
  <c r="S35" i="12"/>
  <c r="S18" i="12"/>
  <c r="S23" i="12"/>
  <c r="S22" i="12"/>
  <c r="S27" i="12"/>
  <c r="S15" i="12"/>
  <c r="S20" i="12"/>
  <c r="G30" i="12"/>
  <c r="G33" i="12"/>
  <c r="G19" i="12"/>
  <c r="G35" i="12"/>
  <c r="G34" i="12"/>
  <c r="G18" i="12"/>
  <c r="G16" i="12"/>
  <c r="G23" i="12"/>
  <c r="G36" i="12"/>
  <c r="G28" i="12"/>
  <c r="G21" i="12"/>
  <c r="G29" i="12"/>
  <c r="G15" i="12"/>
  <c r="G17" i="12"/>
  <c r="G20" i="12"/>
  <c r="G22" i="12"/>
  <c r="G27" i="12"/>
  <c r="G26" i="12"/>
  <c r="G31" i="12"/>
  <c r="G24" i="12"/>
  <c r="G32" i="12"/>
  <c r="G25" i="12"/>
  <c r="D15" i="12"/>
  <c r="D16" i="12"/>
  <c r="D26" i="12"/>
  <c r="D17" i="12"/>
  <c r="D32" i="12"/>
  <c r="D20" i="12"/>
  <c r="D28" i="12"/>
  <c r="D31" i="12"/>
  <c r="D25" i="12"/>
  <c r="D36" i="12"/>
  <c r="D29" i="12"/>
  <c r="D30" i="12"/>
  <c r="D35" i="12"/>
  <c r="D22" i="12"/>
  <c r="D27" i="12"/>
  <c r="D18" i="12"/>
  <c r="D23" i="12"/>
  <c r="D34" i="12"/>
  <c r="D33" i="12"/>
  <c r="D19" i="12"/>
  <c r="D24" i="12"/>
  <c r="D21" i="12"/>
  <c r="P16" i="12"/>
  <c r="P27" i="12"/>
  <c r="P30" i="12"/>
  <c r="P22" i="12"/>
  <c r="P21" i="12"/>
  <c r="P26" i="12"/>
  <c r="P18" i="12"/>
  <c r="P31" i="12"/>
  <c r="P19" i="12"/>
  <c r="P15" i="12"/>
  <c r="P36" i="12"/>
  <c r="P29" i="12"/>
  <c r="P20" i="12"/>
  <c r="P35" i="12"/>
  <c r="P32" i="12"/>
  <c r="P17" i="12"/>
  <c r="P24" i="12"/>
  <c r="P33" i="12"/>
  <c r="P28" i="12"/>
  <c r="P34" i="12"/>
  <c r="P25" i="12"/>
  <c r="P23" i="12"/>
  <c r="M28" i="12"/>
  <c r="M34" i="12"/>
  <c r="M18" i="12"/>
  <c r="M33" i="12"/>
  <c r="M31" i="12"/>
  <c r="M16" i="12"/>
  <c r="M15" i="12"/>
  <c r="M21" i="12"/>
  <c r="M27" i="12"/>
  <c r="M26" i="12"/>
  <c r="M17" i="12"/>
  <c r="M35" i="12"/>
  <c r="M23" i="12"/>
  <c r="M36" i="12"/>
  <c r="M20" i="12"/>
  <c r="M25" i="12"/>
  <c r="M19" i="12"/>
  <c r="M32" i="12"/>
  <c r="M24" i="12"/>
  <c r="M30" i="12"/>
  <c r="M29" i="12"/>
  <c r="M22" i="12"/>
  <c r="J4" i="12"/>
  <c r="K4" i="12"/>
  <c r="O33" i="12" l="1"/>
  <c r="O19" i="12"/>
  <c r="O15" i="12"/>
  <c r="O25" i="12"/>
  <c r="O20" i="12"/>
  <c r="O35" i="12"/>
  <c r="O16" i="12"/>
  <c r="O21" i="12"/>
  <c r="O24" i="12"/>
  <c r="O32" i="12"/>
  <c r="O30" i="12"/>
  <c r="O26" i="12"/>
  <c r="O17" i="12"/>
  <c r="O31" i="12"/>
  <c r="O36" i="12"/>
  <c r="O23" i="12"/>
  <c r="O22" i="12"/>
  <c r="O28" i="12"/>
  <c r="O29" i="12"/>
  <c r="O34" i="12"/>
  <c r="O18" i="12"/>
  <c r="O27" i="12"/>
  <c r="J9" i="12"/>
  <c r="L18" i="12" l="1"/>
  <c r="L27" i="12"/>
  <c r="L23" i="12"/>
  <c r="L30" i="12"/>
  <c r="L28" i="12"/>
  <c r="L35" i="12"/>
  <c r="L33" i="12"/>
  <c r="L21" i="12"/>
  <c r="L26" i="12"/>
  <c r="L34" i="12"/>
  <c r="L20" i="12"/>
  <c r="L16" i="12"/>
  <c r="L22" i="12"/>
  <c r="L31" i="12"/>
  <c r="L24" i="12"/>
  <c r="L29" i="12"/>
  <c r="L32" i="12"/>
  <c r="L36" i="12"/>
  <c r="L17" i="12"/>
  <c r="L19" i="12"/>
  <c r="L15" i="12"/>
  <c r="L25" i="12"/>
  <c r="I35" i="12" l="1"/>
  <c r="I26" i="12"/>
  <c r="I17" i="12"/>
  <c r="I27" i="12"/>
  <c r="I30" i="12"/>
  <c r="I18" i="12"/>
  <c r="I23" i="12"/>
  <c r="I16" i="12"/>
  <c r="I21" i="12"/>
  <c r="I15" i="12"/>
  <c r="I25" i="12"/>
  <c r="I28" i="12"/>
  <c r="I33" i="12"/>
  <c r="I24" i="12"/>
  <c r="I19" i="12"/>
  <c r="I22" i="12"/>
  <c r="I32" i="12"/>
  <c r="I31" i="12"/>
  <c r="I36" i="12"/>
  <c r="I29" i="12"/>
  <c r="I34" i="12"/>
  <c r="I20" i="12"/>
  <c r="F20" i="12" l="1"/>
  <c r="F17" i="12"/>
  <c r="F15" i="12"/>
  <c r="F25" i="12"/>
  <c r="F26" i="12"/>
  <c r="F29" i="12"/>
  <c r="F30" i="12"/>
  <c r="F21" i="12"/>
  <c r="F24" i="12"/>
  <c r="F35" i="12"/>
  <c r="F36" i="12"/>
  <c r="F32" i="12"/>
  <c r="F23" i="12"/>
  <c r="F28" i="12"/>
  <c r="F34" i="12"/>
  <c r="F18" i="12"/>
  <c r="F31" i="12"/>
  <c r="F27" i="12"/>
  <c r="F19" i="12"/>
  <c r="F33" i="12"/>
  <c r="F16" i="12"/>
  <c r="F22" i="12"/>
  <c r="C23" i="12" l="1"/>
  <c r="T23" i="12" s="1"/>
  <c r="C21" i="12"/>
  <c r="T21" i="12" s="1"/>
  <c r="C15" i="12"/>
  <c r="T15" i="12" s="1"/>
  <c r="C20" i="12"/>
  <c r="T20" i="12" s="1"/>
  <c r="C25" i="12"/>
  <c r="T25" i="12" s="1"/>
  <c r="C16" i="12"/>
  <c r="T16" i="12" s="1"/>
  <c r="C30" i="12"/>
  <c r="T30" i="12" s="1"/>
  <c r="C26" i="12"/>
  <c r="T26" i="12" s="1"/>
  <c r="C27" i="12"/>
  <c r="T27" i="12" s="1"/>
  <c r="C35" i="12"/>
  <c r="T35" i="12" s="1"/>
  <c r="C18" i="12"/>
  <c r="T18" i="12" s="1"/>
  <c r="C34" i="12"/>
  <c r="T34" i="12" s="1"/>
  <c r="C28" i="12"/>
  <c r="T28" i="12" s="1"/>
  <c r="C22" i="12"/>
  <c r="T22" i="12" s="1"/>
  <c r="C19" i="12"/>
  <c r="T19" i="12" s="1"/>
  <c r="C17" i="12"/>
  <c r="T17" i="12" s="1"/>
  <c r="C24" i="12"/>
  <c r="T24" i="12" s="1"/>
  <c r="C32" i="12"/>
  <c r="T32" i="12" s="1"/>
  <c r="C33" i="12"/>
  <c r="T33" i="12" s="1"/>
  <c r="C36" i="12"/>
  <c r="T36" i="12" s="1"/>
  <c r="C31" i="12"/>
  <c r="T31" i="12" s="1"/>
  <c r="C29" i="12"/>
  <c r="T29" i="12" s="1"/>
  <c r="H27" i="14" l="1"/>
  <c r="H16" i="14"/>
  <c r="N25" i="14"/>
  <c r="N26" i="14"/>
  <c r="N23" i="14"/>
  <c r="N24" i="14"/>
  <c r="B21" i="14"/>
  <c r="E16" i="14"/>
  <c r="Q24" i="14"/>
  <c r="N27" i="14"/>
  <c r="K25" i="14"/>
  <c r="H19" i="14"/>
  <c r="K22" i="14" l="1"/>
  <c r="K27" i="14"/>
  <c r="Q21" i="14"/>
  <c r="K19" i="14"/>
  <c r="K24" i="14"/>
  <c r="Q20" i="14"/>
  <c r="B18" i="14"/>
  <c r="H26" i="14"/>
  <c r="K21" i="14"/>
  <c r="E23" i="14"/>
  <c r="K20" i="14"/>
  <c r="K28" i="14"/>
  <c r="Q18" i="14"/>
  <c r="Q17" i="14"/>
  <c r="Q16" i="14"/>
  <c r="Q26" i="14"/>
  <c r="H15" i="14"/>
  <c r="B25" i="14"/>
  <c r="B23" i="14"/>
  <c r="N22" i="14"/>
  <c r="N21" i="14"/>
  <c r="N20" i="14"/>
  <c r="K17" i="14"/>
  <c r="K26" i="14"/>
  <c r="Q23" i="14"/>
  <c r="E27" i="14"/>
  <c r="E24" i="14"/>
  <c r="B20" i="14"/>
  <c r="E17" i="14"/>
  <c r="B15" i="14"/>
  <c r="B28" i="14"/>
  <c r="H28" i="14"/>
  <c r="H25" i="14"/>
  <c r="N19" i="14"/>
  <c r="N18" i="14"/>
  <c r="N16" i="14"/>
  <c r="H21" i="14"/>
  <c r="B19" i="14"/>
  <c r="K23" i="14"/>
  <c r="N15" i="14"/>
  <c r="Q15" i="14"/>
  <c r="K16" i="14"/>
  <c r="Q25" i="14"/>
  <c r="E18" i="14"/>
  <c r="Q22" i="14"/>
  <c r="E25" i="14"/>
  <c r="Q19" i="14"/>
  <c r="E19" i="14"/>
  <c r="B16" i="14"/>
  <c r="E15" i="14"/>
  <c r="E28" i="14"/>
  <c r="E26" i="14"/>
  <c r="E21" i="14"/>
  <c r="H24" i="14"/>
  <c r="H23" i="14"/>
  <c r="H22" i="14"/>
  <c r="N28" i="14"/>
  <c r="H20" i="14"/>
  <c r="B22" i="14"/>
  <c r="H17" i="14"/>
  <c r="K15" i="14"/>
  <c r="K18" i="14"/>
  <c r="Q28" i="14"/>
  <c r="Q27" i="14"/>
  <c r="E20" i="14"/>
  <c r="E22" i="14"/>
  <c r="B17" i="14"/>
  <c r="H18" i="14"/>
  <c r="B27" i="14"/>
  <c r="B26" i="14"/>
  <c r="B24" i="14"/>
  <c r="N17" i="14"/>
  <c r="Q14" i="14" l="1"/>
  <c r="K14" i="14"/>
  <c r="H14" i="14"/>
  <c r="E14" i="14"/>
  <c r="G6" i="14" l="1"/>
  <c r="C6" i="14"/>
  <c r="G5" i="14"/>
  <c r="F5" i="14"/>
  <c r="E5" i="14"/>
  <c r="D5" i="14"/>
  <c r="C5" i="14"/>
  <c r="B5" i="14"/>
  <c r="F18" i="14" l="1"/>
  <c r="F16" i="14"/>
  <c r="F15" i="14"/>
  <c r="F17" i="14"/>
  <c r="F25" i="14"/>
  <c r="F24" i="14"/>
  <c r="F20" i="14"/>
  <c r="F26" i="14"/>
  <c r="F21" i="14"/>
  <c r="F28" i="14"/>
  <c r="F27" i="14"/>
  <c r="F23" i="14"/>
  <c r="F19" i="14"/>
  <c r="F22" i="14"/>
  <c r="P28" i="14"/>
  <c r="O28" i="14"/>
  <c r="P26" i="14"/>
  <c r="P16" i="14"/>
  <c r="P22" i="14"/>
  <c r="P23" i="14"/>
  <c r="P27" i="14"/>
  <c r="P21" i="14"/>
  <c r="P24" i="14"/>
  <c r="P20" i="14"/>
  <c r="P17" i="14"/>
  <c r="P18" i="14"/>
  <c r="P25" i="14"/>
  <c r="P19" i="14"/>
  <c r="P15" i="14"/>
  <c r="O27" i="14"/>
  <c r="O16" i="14"/>
  <c r="O19" i="14"/>
  <c r="O21" i="14"/>
  <c r="O20" i="14"/>
  <c r="O15" i="14"/>
  <c r="O18" i="14"/>
  <c r="O24" i="14"/>
  <c r="O25" i="14"/>
  <c r="O22" i="14"/>
  <c r="O23" i="14"/>
  <c r="O17" i="14"/>
  <c r="O26" i="14"/>
  <c r="D28" i="14"/>
  <c r="C28" i="14"/>
  <c r="D21" i="14"/>
  <c r="D16" i="14"/>
  <c r="D27" i="14"/>
  <c r="D24" i="14"/>
  <c r="D23" i="14"/>
  <c r="D18" i="14"/>
  <c r="D25" i="14"/>
  <c r="D22" i="14"/>
  <c r="D19" i="14"/>
  <c r="D20" i="14"/>
  <c r="D17" i="14"/>
  <c r="D26" i="14"/>
  <c r="D15" i="14"/>
  <c r="C24" i="14"/>
  <c r="C23" i="14"/>
  <c r="C18" i="14"/>
  <c r="C27" i="14"/>
  <c r="C17" i="14"/>
  <c r="C21" i="14"/>
  <c r="C22" i="14"/>
  <c r="C20" i="14"/>
  <c r="C16" i="14"/>
  <c r="C26" i="14"/>
  <c r="C19" i="14"/>
  <c r="C25" i="14"/>
  <c r="C15" i="14"/>
  <c r="J28" i="14"/>
  <c r="J26" i="14"/>
  <c r="J16" i="14"/>
  <c r="J27" i="14"/>
  <c r="J22" i="14"/>
  <c r="J23" i="14"/>
  <c r="J17" i="14"/>
  <c r="J25" i="14"/>
  <c r="J21" i="14"/>
  <c r="J18" i="14"/>
  <c r="J19" i="14"/>
  <c r="J24" i="14"/>
  <c r="J20" i="14"/>
  <c r="J15" i="14"/>
  <c r="I20" i="14"/>
  <c r="I17" i="14"/>
  <c r="I18" i="14"/>
  <c r="I23" i="14"/>
  <c r="I26" i="14"/>
  <c r="I27" i="14"/>
  <c r="I15" i="14"/>
  <c r="I16" i="14"/>
  <c r="I22" i="14"/>
  <c r="I19" i="14"/>
  <c r="I25" i="14"/>
  <c r="I24" i="14"/>
  <c r="I28" i="14"/>
  <c r="I21" i="14"/>
  <c r="M28" i="14"/>
  <c r="M26" i="14"/>
  <c r="M21" i="14"/>
  <c r="M27" i="14"/>
  <c r="M22" i="14"/>
  <c r="M17" i="14"/>
  <c r="M24" i="14"/>
  <c r="M19" i="14"/>
  <c r="M16" i="14"/>
  <c r="M23" i="14"/>
  <c r="M18" i="14"/>
  <c r="M25" i="14"/>
  <c r="M20" i="14"/>
  <c r="M15" i="14"/>
  <c r="L23" i="14"/>
  <c r="L21" i="14"/>
  <c r="L16" i="14"/>
  <c r="L17" i="14"/>
  <c r="L15" i="14"/>
  <c r="L25" i="14"/>
  <c r="L22" i="14"/>
  <c r="L26" i="14"/>
  <c r="L24" i="14"/>
  <c r="L28" i="14"/>
  <c r="L19" i="14"/>
  <c r="L27" i="14"/>
  <c r="L18" i="14"/>
  <c r="L20" i="14"/>
  <c r="R21" i="14"/>
  <c r="R26" i="14"/>
  <c r="R27" i="14"/>
  <c r="R22" i="14"/>
  <c r="R25" i="14"/>
  <c r="R18" i="14"/>
  <c r="R23" i="14"/>
  <c r="R16" i="14"/>
  <c r="R20" i="14"/>
  <c r="R17" i="14"/>
  <c r="R28" i="14"/>
  <c r="R24" i="14"/>
  <c r="R15" i="14"/>
  <c r="R19" i="14"/>
  <c r="G28" i="14"/>
  <c r="G21" i="14"/>
  <c r="G27" i="14"/>
  <c r="G20" i="14"/>
  <c r="G16" i="14"/>
  <c r="G24" i="14"/>
  <c r="G19" i="14"/>
  <c r="G22" i="14"/>
  <c r="G17" i="14"/>
  <c r="G23" i="14"/>
  <c r="G25" i="14"/>
  <c r="G18" i="14"/>
  <c r="G26" i="14"/>
  <c r="G15" i="14"/>
  <c r="S28" i="14"/>
  <c r="S26" i="14"/>
  <c r="S23" i="14"/>
  <c r="S16" i="14"/>
  <c r="S25" i="14"/>
  <c r="S20" i="14"/>
  <c r="S21" i="14"/>
  <c r="S27" i="14"/>
  <c r="S15" i="14"/>
  <c r="S22" i="14"/>
  <c r="S19" i="14"/>
  <c r="S17" i="14"/>
  <c r="S18" i="14"/>
  <c r="S24" i="14"/>
  <c r="T15" i="14" l="1"/>
  <c r="T16" i="14"/>
  <c r="T17" i="14"/>
  <c r="K4" i="14"/>
  <c r="J4" i="14"/>
  <c r="J9" i="14" l="1"/>
  <c r="T27" i="14"/>
  <c r="T23" i="14"/>
  <c r="T19" i="14"/>
  <c r="T18" i="14"/>
  <c r="T21" i="14"/>
  <c r="T24" i="14"/>
  <c r="T22" i="14"/>
  <c r="T20" i="14"/>
  <c r="T25" i="14"/>
  <c r="T26" i="14"/>
  <c r="T28" i="14" l="1"/>
  <c r="C18" i="17"/>
  <c r="D18" i="17"/>
  <c r="D20" i="10"/>
  <c r="G20" i="10"/>
  <c r="J20" i="10"/>
  <c r="M20" i="10"/>
  <c r="D24" i="8"/>
  <c r="G24" i="8"/>
  <c r="J24" i="8"/>
  <c r="M24" i="8"/>
  <c r="D25" i="5"/>
  <c r="G25" i="5"/>
  <c r="D28" i="3"/>
  <c r="G28" i="3"/>
  <c r="E45" i="1"/>
  <c r="H45" i="1"/>
  <c r="C17" i="17" l="1"/>
  <c r="D17" i="17"/>
  <c r="D19" i="10"/>
  <c r="G19" i="10"/>
  <c r="J19" i="10"/>
  <c r="M19" i="10"/>
  <c r="D23" i="8"/>
  <c r="G23" i="8"/>
  <c r="J23" i="8"/>
  <c r="M23" i="8"/>
  <c r="D24" i="5"/>
  <c r="G24" i="5"/>
  <c r="D27" i="3"/>
  <c r="G27" i="3"/>
  <c r="E44" i="1"/>
  <c r="H44" i="1"/>
  <c r="C15" i="17"/>
  <c r="D15" i="17"/>
  <c r="D16" i="17"/>
  <c r="M1" i="17"/>
  <c r="M2" i="17" a="1"/>
  <c r="O2" i="17" a="1"/>
  <c r="Q2" i="17" a="1"/>
  <c r="Q2" i="17" l="1"/>
  <c r="O2" i="17"/>
  <c r="M2" i="17"/>
  <c r="H20" i="17"/>
  <c r="E20" i="17"/>
  <c r="H18" i="17"/>
  <c r="E18" i="17"/>
  <c r="H14" i="17"/>
  <c r="H17" i="17"/>
  <c r="K112" i="17"/>
  <c r="K113" i="17"/>
  <c r="K114" i="17"/>
  <c r="K115" i="17"/>
  <c r="K111" i="17"/>
  <c r="C16" i="17"/>
  <c r="H16" i="17"/>
  <c r="D5" i="17"/>
  <c r="C5" i="17"/>
  <c r="B5" i="17"/>
  <c r="E14" i="17" l="1"/>
  <c r="F20" i="17" s="1"/>
  <c r="E19" i="17"/>
  <c r="H19" i="17"/>
  <c r="I19" i="17" s="1"/>
  <c r="J20" i="17"/>
  <c r="J19" i="17"/>
  <c r="I20" i="17"/>
  <c r="E17" i="17"/>
  <c r="J18" i="17"/>
  <c r="I18" i="17"/>
  <c r="J16" i="17"/>
  <c r="J15" i="17"/>
  <c r="J17" i="17"/>
  <c r="I16" i="17"/>
  <c r="I17" i="17"/>
  <c r="E16" i="17"/>
  <c r="E15" i="17"/>
  <c r="H15" i="17"/>
  <c r="I15" i="17" s="1"/>
  <c r="F15" i="17" l="1"/>
  <c r="G15" i="17"/>
  <c r="F18" i="17"/>
  <c r="F17" i="17"/>
  <c r="G17" i="17"/>
  <c r="G19" i="17"/>
  <c r="F16" i="17"/>
  <c r="G16" i="17"/>
  <c r="G18" i="17"/>
  <c r="K18" i="17" s="1"/>
  <c r="G20" i="17"/>
  <c r="K20" i="17" s="1"/>
  <c r="F19" i="17"/>
  <c r="K17" i="17"/>
  <c r="K15" i="17"/>
  <c r="D18" i="10"/>
  <c r="G18" i="10"/>
  <c r="J18" i="10"/>
  <c r="M18" i="10"/>
  <c r="D22" i="8"/>
  <c r="G22" i="8"/>
  <c r="J22" i="8"/>
  <c r="M22" i="8"/>
  <c r="D23" i="5"/>
  <c r="G23" i="5"/>
  <c r="D26" i="3"/>
  <c r="G26" i="3"/>
  <c r="E43" i="1"/>
  <c r="H43" i="1"/>
  <c r="B27" i="1"/>
  <c r="K16" i="17" l="1"/>
  <c r="K19" i="17"/>
  <c r="F24" i="8"/>
  <c r="C24" i="8"/>
  <c r="L24" i="8"/>
  <c r="G45" i="1" l="1"/>
  <c r="C26" i="3"/>
  <c r="G43" i="1"/>
  <c r="F23" i="8"/>
  <c r="F26" i="3"/>
  <c r="F25" i="5"/>
  <c r="C27" i="3"/>
  <c r="F24" i="5"/>
  <c r="F23" i="5"/>
  <c r="G44" i="1"/>
  <c r="F27" i="3"/>
  <c r="I24" i="8"/>
  <c r="N24" i="8" s="1"/>
  <c r="C25" i="5"/>
  <c r="C23" i="5"/>
  <c r="C24" i="5"/>
  <c r="I23" i="8"/>
  <c r="C22" i="8"/>
  <c r="C28" i="3"/>
  <c r="F28" i="3"/>
  <c r="F22" i="8"/>
  <c r="I22" i="8"/>
  <c r="L23" i="8"/>
  <c r="C23" i="8"/>
  <c r="L22" i="8"/>
  <c r="H27" i="3" l="1"/>
  <c r="H26" i="3"/>
  <c r="H25" i="5"/>
  <c r="H24" i="5"/>
  <c r="H28" i="3"/>
  <c r="N22" i="8"/>
  <c r="N23" i="8"/>
  <c r="H23" i="5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L20" i="10" l="1"/>
  <c r="C20" i="10"/>
  <c r="I20" i="10"/>
  <c r="F20" i="10"/>
  <c r="C19" i="10"/>
  <c r="F19" i="10"/>
  <c r="I19" i="10"/>
  <c r="I18" i="10"/>
  <c r="C18" i="10"/>
  <c r="I17" i="10"/>
  <c r="F17" i="10"/>
  <c r="C17" i="10"/>
  <c r="L18" i="10" l="1"/>
  <c r="L19" i="10"/>
  <c r="N19" i="10" s="1"/>
  <c r="N20" i="10"/>
  <c r="F18" i="10"/>
  <c r="L17" i="10"/>
  <c r="N17" i="10" s="1"/>
  <c r="N18" i="10" l="1"/>
  <c r="C21" i="8" l="1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N21" i="8"/>
  <c r="H22" i="5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N20" i="8" l="1"/>
  <c r="H21" i="5"/>
  <c r="H24" i="3"/>
  <c r="C19" i="8" l="1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N19" i="8"/>
  <c r="H20" i="5"/>
  <c r="L18" i="8" l="1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F16" i="9" s="1"/>
  <c r="F15" i="9"/>
  <c r="B5" i="9"/>
  <c r="C16" i="9" s="1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D22" i="9" l="1"/>
  <c r="D21" i="9"/>
  <c r="D20" i="9"/>
  <c r="C21" i="9"/>
  <c r="C22" i="9"/>
  <c r="C20" i="9"/>
  <c r="C19" i="9"/>
  <c r="D19" i="9"/>
  <c r="C18" i="9"/>
  <c r="D18" i="9"/>
  <c r="C17" i="9"/>
  <c r="D17" i="9"/>
  <c r="G15" i="9"/>
  <c r="G22" i="9"/>
  <c r="G21" i="9"/>
  <c r="G20" i="9"/>
  <c r="F21" i="9"/>
  <c r="F22" i="9"/>
  <c r="F20" i="9"/>
  <c r="F19" i="9"/>
  <c r="G19" i="9"/>
  <c r="G18" i="9"/>
  <c r="F18" i="9"/>
  <c r="F17" i="9"/>
  <c r="G17" i="9"/>
  <c r="D16" i="9"/>
  <c r="G16" i="9"/>
  <c r="N18" i="8"/>
  <c r="H19" i="5"/>
  <c r="H22" i="3"/>
  <c r="N17" i="8"/>
  <c r="H18" i="5"/>
  <c r="H21" i="3"/>
  <c r="N16" i="8"/>
  <c r="H17" i="5"/>
  <c r="H20" i="3"/>
  <c r="C15" i="9"/>
  <c r="D15" i="9"/>
  <c r="H16" i="9" l="1"/>
  <c r="H17" i="9"/>
  <c r="H22" i="9"/>
  <c r="H19" i="9"/>
  <c r="H21" i="9"/>
  <c r="H18" i="9"/>
  <c r="H20" i="9"/>
  <c r="H15" i="9"/>
  <c r="M15" i="8"/>
  <c r="L15" i="8"/>
  <c r="J15" i="8"/>
  <c r="I15" i="8"/>
  <c r="G15" i="8"/>
  <c r="F15" i="8"/>
  <c r="D15" i="8"/>
  <c r="C15" i="8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H15" i="5" s="1"/>
  <c r="F18" i="3"/>
  <c r="G18" i="3"/>
  <c r="C18" i="3"/>
  <c r="D18" i="3"/>
  <c r="H35" i="1"/>
  <c r="E35" i="1"/>
  <c r="G35" i="1"/>
  <c r="C5" i="5"/>
  <c r="B5" i="5"/>
  <c r="H18" i="3" l="1"/>
  <c r="F17" i="3"/>
  <c r="G17" i="3"/>
  <c r="C17" i="3"/>
  <c r="D17" i="3"/>
  <c r="H34" i="1"/>
  <c r="E34" i="1"/>
  <c r="G34" i="1"/>
  <c r="D16" i="3"/>
  <c r="H17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5" i="3" s="1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H5" i="1" l="1"/>
  <c r="I6" i="1" s="1"/>
  <c r="F8" i="1" s="1"/>
  <c r="I4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5" i="1" l="1"/>
  <c r="D45" i="1" s="1"/>
  <c r="I45" i="1" s="1"/>
  <c r="C44" i="1"/>
  <c r="D44" i="1" s="1"/>
  <c r="I44" i="1" s="1"/>
  <c r="C43" i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29" i="2" l="1"/>
  <c r="G28" i="2"/>
  <c r="F29" i="2"/>
  <c r="F28" i="2"/>
  <c r="D29" i="2"/>
  <c r="D28" i="2"/>
  <c r="C28" i="2"/>
  <c r="C29" i="2"/>
  <c r="J29" i="2"/>
  <c r="J28" i="2"/>
  <c r="I28" i="2"/>
  <c r="I29" i="2"/>
  <c r="G27" i="2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D25" i="2"/>
  <c r="C25" i="2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29" i="2" l="1"/>
  <c r="K28" i="2"/>
  <c r="K30" i="2"/>
  <c r="K25" i="2"/>
  <c r="K26" i="2"/>
  <c r="K15" i="2"/>
  <c r="K19" i="2"/>
  <c r="K16" i="2"/>
  <c r="K22" i="2"/>
  <c r="K23" i="2"/>
  <c r="K18" i="2"/>
  <c r="K27" i="2"/>
  <c r="K21" i="2"/>
  <c r="K20" i="2"/>
  <c r="K24" i="2"/>
  <c r="K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<sst xmlns="http://schemas.openxmlformats.org/spreadsheetml/2006/main" count="1351" uniqueCount="144">
  <si>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</si>
  <si>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</si>
  <si>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</si>
  <si>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</si>
  <si>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</si>
  <si>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</si>
  <si>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</si>
  <si>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</si>
  <si>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</si>
  <si>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</si>
  <si>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</si>
  <si>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</si>
  <si>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</si>
  <si>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</si>
  <si>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</si>
  <si>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</si>
  <si>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</si>
  <si>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</si>
  <si>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</si>
  <si>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</si>
  <si>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</si>
  <si>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</si>
  <si>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</si>
  <si>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</si>
  <si>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</si>
  <si>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</si>
  <si>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</si>
  <si>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</si>
  <si>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</si>
  <si>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</si>
  <si>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</si>
  <si>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</si>
  <si>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</si>
  <si>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</si>
  <si>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</si>
  <si>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</si>
  <si>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</si>
  <si>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</si>
  <si>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</si>
  <si>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</si>
  <si>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</si>
  <si>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</si>
  <si>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</si>
  <si>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</si>
  <si>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</si>
  <si>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</si>
  <si>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</si>
  <si>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</si>
  <si>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</si>
  <si>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</si>
  <si>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</si>
  <si>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</si>
  <si>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</si>
  <si>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</si>
  <si>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</si>
  <si>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</si>
  <si>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</si>
  <si>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</si>
  <si>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</si>
  <si>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</si>
  <si>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</si>
  <si>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</si>
  <si>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</si>
  <si>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</si>
  <si>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</si>
  <si>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</si>
  <si>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</si>
  <si>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</si>
  <si>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</si>
  <si>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</si>
  <si>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</si>
  <si>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</si>
  <si>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</si>
  <si>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</si>
  <si>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</si>
  <si>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</si>
  <si>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</si>
  <si>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</si>
  <si>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</si>
  <si>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</si>
  <si>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</si>
  <si>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</si>
  <si>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</si>
  <si>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</si>
  <si>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</si>
  <si>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</si>
  <si>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</si>
  <si>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</si>
  <si>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</si>
  <si>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</si>
  <si>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</si>
  <si>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</si>
  <si>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</si>
  <si>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</si>
  <si>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</si>
  <si>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</si>
  <si>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</si>
  <si>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</si>
  <si>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</si>
  <si>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</si>
  <si>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</si>
  <si>
    <t>Time =</t>
  </si>
  <si>
    <t>s</t>
  </si>
  <si>
    <t>CDX IG 5Y</t>
  </si>
  <si>
    <t>SPX</t>
  </si>
  <si>
    <t>CDX IG CDSI GEN 5Y CORP</t>
  </si>
  <si>
    <t>SPX US 12/19/25 P6750 Index</t>
  </si>
  <si>
    <t>Div Effect</t>
  </si>
  <si>
    <t>Units Held</t>
  </si>
  <si>
    <t>IHYG Div</t>
  </si>
  <si>
    <t>IEAC Div</t>
  </si>
  <si>
    <t>Raw P/L</t>
  </si>
  <si>
    <t>IHYG vs IEAC</t>
  </si>
  <si>
    <t>HYG vs LQD</t>
  </si>
  <si>
    <t>Diff IHYG vs IEAC</t>
  </si>
  <si>
    <t>Diff HYG vs LQD</t>
  </si>
  <si>
    <t>Vol</t>
  </si>
  <si>
    <t>Beta</t>
  </si>
  <si>
    <t>Beta IHYG vs IEAC</t>
  </si>
  <si>
    <t>Beta HYG vs LQD</t>
  </si>
  <si>
    <t>Cum IHYG vs IEAC</t>
  </si>
  <si>
    <t>Cum HYG vs LQD</t>
  </si>
  <si>
    <t>CDX HY 5Y</t>
  </si>
  <si>
    <t>CDX HY CDSI S44 5Y CORP</t>
  </si>
  <si>
    <t>CDX IG CDSI S44 5Y CORP</t>
  </si>
  <si>
    <t>ITRX XOVER 5Y</t>
  </si>
  <si>
    <t>ITRX MAIN 5Y</t>
  </si>
  <si>
    <t>ITRX XOVER CDSI S43 5Y CORP</t>
  </si>
  <si>
    <t>ITRX EUR CDSI S43 5Y CORP</t>
  </si>
  <si>
    <t>HY vs IG</t>
  </si>
  <si>
    <t>Main vs Xover</t>
  </si>
  <si>
    <t>Diff HY vs IG</t>
  </si>
  <si>
    <t>Diff Main vs Xover</t>
  </si>
  <si>
    <t>Beta HY vs IG</t>
  </si>
  <si>
    <t>Beta Main vs Xover</t>
  </si>
  <si>
    <t>Cum HY vs IG</t>
  </si>
  <si>
    <t>Cum Main vs Xover</t>
  </si>
  <si>
    <t>91282CNN@BGN Govt</t>
  </si>
  <si>
    <t>91282CMM@BGN Govt</t>
  </si>
  <si>
    <t>912810UG@BGN Govt</t>
  </si>
  <si>
    <t>Cum HYG($25M) vs LQD($25.7M)</t>
  </si>
  <si>
    <t>Cum HY($25M) vs IG($125M)</t>
  </si>
  <si>
    <t>Cum IHYG(EUR 21M) vs IEAC(EUR 36.1M)</t>
  </si>
  <si>
    <t>Cum Xover(EUR 21M) vs Main(EUR 94.5M)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</si>
</sst>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[$-409]m/d/yy\ h:mm\ AM/PM;@"/>
    <numFmt numFmtId="168" formatCode="[$-409]d\-mmm\-yy;@"/>
    <numFmt numFmtId="169" formatCode="[$-409]dd\-mmm\-yy;@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73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3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168" fontId="1" fillId="0" borderId="9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69" fontId="1" fillId="0" borderId="8" xfId="0" applyNumberFormat="1" applyFont="1" applyBorder="1" applyAlignment="1">
      <alignment horizontal="center" vertical="center"/>
    </xf>
    <xf numFmtId="169" fontId="0" fillId="0" borderId="8" xfId="0" applyNumberFormat="1" applyBorder="1" applyAlignment="1">
      <alignment horizontal="center"/>
    </xf>
    <xf numFmtId="169" fontId="1" fillId="0" borderId="9" xfId="0" applyNumberFormat="1" applyFont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9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8" borderId="11" xfId="0" applyFont="1" applyFill="1" applyBorder="1" applyAlignment="1">
      <alignment horizontal="center" vertical="center"/>
    </xf>
    <xf numFmtId="18" fontId="1" fillId="0" borderId="0" xfId="0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Data...3801101372</v>
        <stp/>
        <stp>BDH|14935268074772348826</stp>
        <tr r="AF3" s="14"/>
      </tp>
      <tp t="s">
        <v>#N/A Requesting Data...3204635944</v>
        <stp/>
        <stp>BDH|12962778500969095462</stp>
        <tr r="Q2" s="17"/>
      </tp>
      <tp t="s">
        <v>#N/A Requesting Data...3197697428</v>
        <stp/>
        <stp>BDH|11832039174389313731</stp>
        <tr r="I3" s="19"/>
      </tp>
      <tp t="s">
        <v>#N/A Requesting Data...4198240545</v>
        <stp/>
        <stp>BDP|11883986536691201393</stp>
        <tr r="C10" s="21"/>
        <tr r="C10" s="20"/>
        <tr r="C10" s="24"/>
        <tr r="C10" s="22"/>
        <tr r="C10" s="10"/>
      </tp>
      <tp t="s">
        <v>#N/A Requesting Data...3529656491</v>
        <stp/>
        <stp>BDH|16843069983234274367</stp>
        <tr r="AA3" s="21"/>
        <tr r="AA3" s="20"/>
        <tr r="AA3" s="24"/>
        <tr r="AA3" s="22"/>
        <tr r="V3" s="10"/>
      </tp>
      <tp t="s">
        <v>#N/A Requesting Data...3760880478</v>
        <stp/>
        <stp>BDP|18062887627254797806</stp>
        <tr r="AH10" s="21"/>
        <tr r="AJ10" s="21"/>
        <tr r="AH10" s="20"/>
        <tr r="AJ10" s="20"/>
        <tr r="AH10" s="22"/>
        <tr r="AJ10" s="22"/>
        <tr r="C10" s="12"/>
        <tr r="E10" s="12"/>
      </tp>
      <tp t="s">
        <v>#N/A Requesting Data...3720166298</v>
        <stp/>
        <stp>BDP|16545953933052450030</stp>
        <tr r="B10" s="5"/>
      </tp>
      <tp t="s">
        <v>#N/A Requesting Data...3272997844</v>
        <stp/>
        <stp>BDP|14650062796027575721</stp>
        <tr r="AL10" s="21"/>
        <tr r="AL10" s="20"/>
        <tr r="AL10" s="22"/>
        <tr r="G10" s="12"/>
        <tr r="E10" s="14"/>
      </tp>
      <tp t="s">
        <v>#N/A Requesting Data...4003238501</v>
        <stp/>
        <stp>BDH|11243448991603920239</stp>
        <tr r="M3" s="1"/>
      </tp>
      <tp t="s">
        <v>#N/A Requesting Data...3785665261</v>
        <stp/>
        <stp>BDP|12076286461161277423</stp>
        <tr r="C10" s="5"/>
      </tp>
      <tp t="s">
        <v>#N/A Requesting Data...3833452656</v>
        <stp/>
        <stp>BDP|14602333172280113394</stp>
        <tr r="C10" s="19"/>
      </tp>
      <tp t="s">
        <v>#N/A Requesting Data...4045041027</v>
        <stp/>
        <stp>BDH|15135414629444979492</stp>
        <tr r="L3" s="3"/>
      </tp>
      <tp t="s">
        <v>#N/A Requesting Data...3352360649</v>
        <stp/>
        <stp>BDH|11474375954954911055</stp>
        <tr r="O3" s="2"/>
      </tp>
      <tp t="s">
        <v>#N/A Requesting Data...3798013489</v>
        <stp/>
        <stp>BDP|18219294914923540841</stp>
        <tr r="C10" s="9"/>
      </tp>
      <tp t="s">
        <v>#N/A Requesting Data...3539951347</v>
        <stp/>
        <stp>BDH|11627291771431067517</stp>
        <tr r="M3" s="2"/>
      </tp>
      <tp t="s">
        <v>#N/A Requesting Data...3625974960</v>
        <stp/>
        <stp>BDP|13030111079165378191</stp>
        <tr r="F10" s="14"/>
      </tp>
      <tp t="s">
        <v>#N/A Requesting Data...3782863469</v>
        <stp/>
        <stp>BDP|17674809694487604003</stp>
        <tr r="B10" s="21"/>
        <tr r="B10" s="20"/>
        <tr r="B10" s="24"/>
        <tr r="B10" s="22"/>
        <tr r="B10" s="10"/>
      </tp>
      <tp t="s">
        <v>#N/A Requesting Data...3543328188</v>
        <stp/>
        <stp>BDH|13964635671847154499</stp>
        <tr r="BG3" s="21"/>
        <tr r="BK3" s="21"/>
        <tr r="BG3" s="20"/>
        <tr r="BK3" s="20"/>
        <tr r="BG3" s="22"/>
        <tr r="BK3" s="22"/>
        <tr r="AB3" s="12"/>
        <tr r="X3" s="12"/>
      </tp>
      <tp t="s">
        <v>#N/A Requesting Data...3537255694</v>
        <stp/>
        <stp>BDH|18162560590571847378</stp>
        <tr r="X3" s="14"/>
      </tp>
      <tp t="s">
        <v>#N/A Requesting Data...4007499651</v>
        <stp/>
        <stp>BDP|11473368239062878490</stp>
        <tr r="AK10" s="21"/>
        <tr r="AK10" s="20"/>
        <tr r="AK10" s="22"/>
        <tr r="F10" s="12"/>
        <tr r="D10" s="14"/>
      </tp>
      <tp t="s">
        <v>#N/A Requesting Data...4154030847</v>
        <stp/>
        <stp>BDP|14572736216992007722</stp>
        <tr r="B10" s="2"/>
      </tp>
      <tp t="s">
        <v>#N/A Requesting Data...3631758776</v>
        <stp/>
        <stp>BDH|15267460911865140226</stp>
        <tr r="U3" s="21"/>
        <tr r="U3" s="20"/>
        <tr r="U3" s="24"/>
        <tr r="U3" s="22"/>
        <tr r="P3" s="10"/>
      </tp>
      <tp t="s">
        <v>#N/A Requesting Data...4111411784</v>
        <stp/>
        <stp>BDP|13060443244535072213</stp>
        <tr r="B10" s="1"/>
      </tp>
      <tp t="s">
        <v>#N/A Requesting Data...3763365636</v>
        <stp/>
        <stp>BDH|11484576345481562505</stp>
        <tr r="L3" s="5"/>
      </tp>
      <tp t="s">
        <v>#N/A Requesting Data...3398169138</v>
        <stp/>
        <stp>BDP|17166731865344641740</stp>
        <tr r="C10" s="1"/>
      </tp>
      <tp t="s">
        <v>#N/A Requesting Data...3877903960</v>
        <stp/>
        <stp>BDH|10480072156286192651</stp>
        <tr r="M2" s="17"/>
      </tp>
      <tp t="s">
        <v>#N/A Requesting Data...3509614111</v>
        <stp/>
        <stp>BDH|12647009602432219551</stp>
        <tr r="BE3" s="21"/>
        <tr r="BE3" s="20"/>
        <tr r="BE3" s="24"/>
        <tr r="BE3" s="22"/>
        <tr r="V3" s="12"/>
      </tp>
      <tp t="s">
        <v>#N/A Requesting Data...4239165506</v>
        <stp/>
        <stp>BDH|16467316579085746262</stp>
        <tr r="CA2" s="21"/>
        <tr r="CA2" s="20"/>
        <tr r="CA2" s="24"/>
        <tr r="CA2" s="22"/>
      </tp>
    </main>
    <main first="bofaddin.rtdserver">
      <tp t="s">
        <v>#N/A Requesting Data...3307965746</v>
        <stp/>
        <stp>BDH|9186517077447967092</stp>
        <tr r="L3" s="9"/>
      </tp>
      <tp t="s">
        <v>#N/A Requesting Data...3500666376</v>
        <stp/>
        <stp>BDH|7345905123703431303</stp>
        <tr r="K3" s="19"/>
      </tp>
      <tp t="s">
        <v>#N/A Requesting Data...3840170564</v>
        <stp/>
        <stp>BDH|5317864766721891432</stp>
        <tr r="BG3" s="24"/>
        <tr r="BK3" s="24"/>
      </tp>
      <tp t="s">
        <v>#N/A Requesting Data...4087307886</v>
        <stp/>
        <stp>BDP|9706553668206945454</stp>
        <tr r="D10" s="8"/>
      </tp>
      <tp t="s">
        <v>#N/A Requesting Data...3122363417</v>
        <stp/>
        <stp>BDH|8152848245364562958</stp>
        <tr r="CQ2" s="20"/>
        <tr r="CQ2" s="24"/>
        <tr r="CQ2" s="21"/>
        <tr r="CQ2" s="22"/>
      </tp>
      <tp t="s">
        <v>#N/A Requesting Data...3068586925</v>
        <stp/>
        <stp>BDH|5539333081823417452</stp>
        <tr r="Y3" s="22"/>
        <tr r="Y3" s="21"/>
        <tr r="Y3" s="20"/>
        <tr r="Y3" s="24"/>
        <tr r="T3" s="10"/>
      </tp>
      <tp t="s">
        <v>#N/A Requesting Data...3636125382</v>
        <stp/>
        <stp>BDH|1329569449212382861</stp>
        <tr r="J3" s="5"/>
      </tp>
      <tp t="s">
        <v>#N/A Requesting Data...3658146758</v>
        <stp/>
        <stp>BDH|1638971538329390838</stp>
        <tr r="K3" s="1"/>
      </tp>
      <tp t="s">
        <v>#N/A Requesting Data...3730863787</v>
        <stp/>
        <stp>BDP|4329662592027264695</stp>
        <tr r="AG10" s="21"/>
        <tr r="AG10" s="20"/>
        <tr r="AG10" s="24"/>
        <tr r="AG10" s="22"/>
        <tr r="B10" s="12"/>
      </tp>
      <tp t="s">
        <v>#N/A Requesting Data...4036459488</v>
        <stp/>
        <stp>BDP|4304578592480280251</stp>
        <tr r="AH10" s="24"/>
        <tr r="AJ10" s="24"/>
      </tp>
      <tp t="s">
        <v>#N/A Requesting Data...4270860714</v>
        <stp/>
        <stp>BDH|5136548023480949962</stp>
        <tr r="BO3" s="24"/>
      </tp>
      <tp t="s">
        <v>#N/A Requesting Data...4112361188</v>
        <stp/>
        <stp>BDH|2606501181454536025</stp>
        <tr r="BI3" s="21"/>
        <tr r="BI3" s="20"/>
        <tr r="BI3" s="24"/>
        <tr r="BI3" s="22"/>
        <tr r="Z3" s="12"/>
        <tr r="V3" s="14"/>
      </tp>
      <tp t="s">
        <v>#N/A Requesting Data...3224929573</v>
        <stp/>
        <stp>BDP|3445302272426769594</stp>
        <tr r="B10" s="19"/>
      </tp>
      <tp t="s">
        <v>#N/A Requesting Data...4208061174</v>
        <stp/>
        <stp>BDH|5761591176155605677</stp>
        <tr r="BO3" s="20"/>
        <tr r="AF3" s="12"/>
        <tr r="BO3" s="21"/>
        <tr r="BO3" s="22"/>
        <tr r="AB3" s="14"/>
      </tp>
      <tp t="s">
        <v>#N/A Requesting Data...3351956871</v>
        <stp/>
        <stp>BDH|4754210311230384391</stp>
        <tr r="BM3" s="21"/>
        <tr r="BM3" s="20"/>
        <tr r="BM3" s="22"/>
        <tr r="AD3" s="12"/>
        <tr r="Z3" s="14"/>
      </tp>
      <tp t="s">
        <v>#N/A Requesting Data...3072994935</v>
        <stp/>
        <stp>BDP|6614610459362681385</stp>
        <tr r="E10" s="21"/>
        <tr r="E10" s="20"/>
        <tr r="E10" s="24"/>
        <tr r="E10" s="22"/>
        <tr r="E10" s="10"/>
      </tp>
      <tp t="s">
        <v>#N/A Requesting Data...3791988907</v>
        <stp/>
        <stp>BDH|2223092252715027510</stp>
        <tr r="P3" s="8"/>
      </tp>
      <tp t="s">
        <v>#N/A Requesting Data...3554969809</v>
        <stp/>
        <stp>BDP|3122389811593012513</stp>
        <tr r="C10" s="14"/>
      </tp>
      <tp t="s">
        <v>#N/A Requesting Data...3688678632</v>
        <stp/>
        <stp>BDH|7619174735834178684</stp>
        <tr r="O2" s="17"/>
      </tp>
      <tp t="s">
        <v>#N/A Requesting Data...4063292546</v>
        <stp/>
        <stp>BDH|2149093781559007481</stp>
        <tr r="V3" s="8"/>
      </tp>
      <tp t="s">
        <v>#N/A Requesting Data...4268804375</v>
        <stp/>
        <stp>BDP|1931107217112743305</stp>
        <tr r="D10" s="2"/>
      </tp>
      <tp t="s">
        <v>#N/A Requesting Data...3084082360</v>
        <stp/>
        <stp>BDP|8919074471278682748</stp>
        <tr r="C10" s="3"/>
      </tp>
      <tp t="s">
        <v>#N/A Requesting Data...3901237104</v>
        <stp/>
        <stp>BDP|6499873574608943180</stp>
        <tr r="B10" s="8"/>
      </tp>
      <tp t="s">
        <v>#N/A Requesting Data...4060817333</v>
        <stp/>
        <stp>BDP|9073119891745028595</stp>
        <tr r="E10" s="8"/>
      </tp>
      <tp t="s">
        <v>#N/A Requesting Data...3388387912</v>
        <stp/>
        <stp>BDP|7280882837258491593</stp>
        <tr r="D10" s="21"/>
        <tr r="D10" s="20"/>
        <tr r="D10" s="24"/>
        <tr r="D10" s="22"/>
        <tr r="D10" s="10"/>
      </tp>
      <tp t="s">
        <v>#N/A Requesting Data...3093905187</v>
        <stp/>
        <stp>BDP|7292532636709731973</stp>
        <tr r="AL10" s="24"/>
      </tp>
      <tp t="s">
        <v>#N/A Requesting Data...4125633192</v>
        <stp/>
        <stp>BDH|4463772806153247286</stp>
        <tr r="Q3" s="2"/>
      </tp>
      <tp t="s">
        <v>#N/A Requesting Data...3100473550</v>
        <stp/>
        <stp>BDH|4510789450054244024</stp>
        <tr r="J3" s="9"/>
      </tp>
      <tp t="s">
        <v>#N/A Requesting Data...4122656428</v>
        <stp/>
        <stp>BDP|4720520890802409863</stp>
        <tr r="B10" s="3"/>
      </tp>
      <tp t="s">
        <v>#N/A Requesting Data...3302415492</v>
        <stp/>
        <stp>BDH|3739880719930641876</stp>
        <tr r="R3" s="8"/>
      </tp>
      <tp t="s">
        <v>#N/A Requesting Data...4226463962</v>
        <stp/>
        <stp>BDH|6711683923657654615</stp>
        <tr r="BM3" s="24"/>
      </tp>
      <tp t="s">
        <v>#N/A Requesting Data...4278858697</v>
        <stp/>
        <stp>BDH|2146480761487665479</stp>
        <tr r="CC2" s="24"/>
        <tr r="CC2" s="21"/>
        <tr r="CC2" s="20"/>
        <tr r="CC2" s="22"/>
      </tp>
      <tp t="s">
        <v>#N/A Requesting Data...3615744109</v>
        <stp/>
        <stp>BDP|2192385730727379645</stp>
        <tr r="C10" s="8"/>
      </tp>
      <tp t="s">
        <v>#N/A Requesting Data...3916930297</v>
        <stp/>
        <stp>BDH|3477527779532621052</stp>
        <tr r="AD3" s="14"/>
      </tp>
      <tp t="s">
        <v>#N/A Requesting Data...3505803698</v>
        <stp/>
        <stp>BDP|2176230454944066217</stp>
        <tr r="AK10" s="24"/>
      </tp>
      <tp t="s">
        <v>#N/A Requesting Data...3435993218</v>
        <stp/>
        <stp>BDP|519161733290183679</stp>
        <tr r="B10" s="9"/>
      </tp>
      <tp t="s">
        <v>#N/A Requesting Data...3217797830</v>
        <stp/>
        <stp>BDH|220464810598007945</stp>
        <tr r="W3" s="20"/>
        <tr r="W3" s="21"/>
        <tr r="W3" s="24"/>
        <tr r="W3" s="22"/>
        <tr r="R3" s="10"/>
      </tp>
      <tp t="s">
        <v>#N/A Requesting Data...3565707773</v>
        <stp/>
        <stp>BDH|706323504421359590</stp>
        <tr r="T3" s="8"/>
      </tp>
      <tp t="s">
        <v>#N/A Requesting Data...3110430655</v>
        <stp/>
        <stp>BDP|332801733094788947</stp>
        <tr r="AI10" s="21"/>
        <tr r="AI10" s="20"/>
        <tr r="AI10" s="24"/>
        <tr r="AI10" s="22"/>
        <tr r="D10" s="12"/>
        <tr r="B10" s="14"/>
      </tp>
      <tp t="s">
        <v>#N/A Requesting Data...3325101178</v>
        <stp/>
        <stp>BDH|929235834849982901</stp>
        <tr r="J3" s="3"/>
      </tp>
      <tp t="s">
        <v>#N/A Requesting Data...3858166578</v>
        <stp/>
        <stp>BDP|416056535068485843</stp>
        <tr r="C10" s="2"/>
      </tp>
      <tp t="s">
        <v>#N/A Requesting Data...3750198278</v>
        <stp/>
        <stp>BDH|394318915605183544</stp>
        <tr r="CO2" s="21"/>
        <tr r="CO2" s="20"/>
        <tr r="CO2" s="24"/>
        <tr r="CO2" s="22"/>
      </tp>
      <tp t="s">
        <v>#N/A Requesting Data...3867728702</v>
        <stp/>
        <stp>BDP|967432059673127000</stp>
        <tr r="G10" s="1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'Live_ACAFP Basis'!$A$13:$A$326</c:f>
              <c:numCache>
                <c:formatCode>d\-mmm\-yy</c:formatCode>
                <c:ptCount val="300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  <c:pt idx="20">
                  <c:v>45947</c:v>
                </c:pt>
                <c:pt idx="21">
                  <c:v>45950</c:v>
                </c:pt>
                <c:pt idx="22">
                  <c:v>45951</c:v>
                </c:pt>
                <c:pt idx="23">
                  <c:v>45952</c:v>
                </c:pt>
                <c:pt idx="24">
                  <c:v>45953</c:v>
                </c:pt>
                <c:pt idx="25">
                  <c:v>45954</c:v>
                </c:pt>
                <c:pt idx="26">
                  <c:v>45955</c:v>
                </c:pt>
                <c:pt idx="27">
                  <c:v>45956</c:v>
                </c:pt>
              </c:numCache>
            </c:numRef>
          </c:cat>
          <c:val>
            <c:numRef>
              <c:f>'Live_ACAFP Basis'!$I$13:$I$326</c:f>
              <c:numCache>
                <c:formatCode>_("$"* #,##0.00_);_("$"* \(#,##0.00\);_("$"* "-"??_);_(@_)</c:formatCode>
                <c:ptCount val="300"/>
                <c:pt idx="1">
                  <c:v>0</c:v>
                </c:pt>
                <c:pt idx="2" formatCode="_(&quot;$&quot;* #,##0_);_(&quot;$&quot;* \(#,##0\);_(&quot;$&quot;* &quot;-&quot;??_);_(@_)">
                  <c:v>29722.51995833364</c:v>
                </c:pt>
                <c:pt idx="3" formatCode="_(&quot;$&quot;* #,##0_);_(&quot;$&quot;* \(#,##0\);_(&quot;$&quot;* &quot;-&quot;??_);_(@_)">
                  <c:v>18086.583916666765</c:v>
                </c:pt>
                <c:pt idx="4" formatCode="_(&quot;$&quot;* #,##0_);_(&quot;$&quot;* \(#,##0\);_(&quot;$&quot;* &quot;-&quot;??_);_(@_)">
                  <c:v>48157.170791666424</c:v>
                </c:pt>
                <c:pt idx="5" formatCode="_(&quot;$&quot;* #,##0_);_(&quot;$&quot;* \(#,##0\);_(&quot;$&quot;* &quot;-&quot;??_);_(@_)">
                  <c:v>52668.419749999608</c:v>
                </c:pt>
                <c:pt idx="6" formatCode="_(&quot;$&quot;* #,##0_);_(&quot;$&quot;* \(#,##0\);_(&quot;$&quot;* &quot;-&quot;??_);_(@_)">
                  <c:v>65894.388208333519</c:v>
                </c:pt>
                <c:pt idx="7" formatCode="_(&quot;$&quot;* #,##0_);_(&quot;$&quot;* \(#,##0\);_(&quot;$&quot;* &quot;-&quot;??_);_(@_)">
                  <c:v>87248.865666666738</c:v>
                </c:pt>
                <c:pt idx="8" formatCode="_(&quot;$&quot;* #,##0_);_(&quot;$&quot;* \(#,##0\);_(&quot;$&quot;* &quot;-&quot;??_);_(@_)">
                  <c:v>73342.472624999675</c:v>
                </c:pt>
                <c:pt idx="9" formatCode="_(&quot;$&quot;* #,##0_);_(&quot;$&quot;* \(#,##0\);_(&quot;$&quot;* &quot;-&quot;??_);_(@_)">
                  <c:v>90882.740499999694</c:v>
                </c:pt>
                <c:pt idx="10" formatCode="_(&quot;$&quot;* #,##0_);_(&quot;$&quot;* \(#,##0\);_(&quot;$&quot;* &quot;-&quot;??_);_(@_)">
                  <c:v>60255.550749999988</c:v>
                </c:pt>
                <c:pt idx="11" formatCode="_(&quot;$&quot;* #,##0_);_(&quot;$&quot;* \(#,##0\);_(&quot;$&quot;* &quot;-&quot;??_);_(@_)">
                  <c:v>31785.259624999911</c:v>
                </c:pt>
                <c:pt idx="12" formatCode="_(&quot;$&quot;* #,##0_);_(&quot;$&quot;* \(#,##0\);_(&quot;$&quot;* &quot;-&quot;??_);_(@_)">
                  <c:v>35174.781583332726</c:v>
                </c:pt>
                <c:pt idx="13" formatCode="_(&quot;$&quot;* #,##0_);_(&quot;$&quot;* \(#,##0\);_(&quot;$&quot;* &quot;-&quot;??_);_(@_)">
                  <c:v>54870.620541666744</c:v>
                </c:pt>
                <c:pt idx="14" formatCode="_(&quot;$&quot;* #,##0_);_(&quot;$&quot;* \(#,##0\);_(&quot;$&quot;* &quot;-&quot;??_);_(@_)">
                  <c:v>64562.996999999639</c:v>
                </c:pt>
                <c:pt idx="15" formatCode="_(&quot;$&quot;* #,##0_);_(&quot;$&quot;* \(#,##0\);_(&quot;$&quot;* &quot;-&quot;??_);_(@_)">
                  <c:v>62371.666958332899</c:v>
                </c:pt>
                <c:pt idx="16" formatCode="_(&quot;$&quot;* #,##0_);_(&quot;$&quot;* \(#,##0\);_(&quot;$&quot;* &quot;-&quot;??_);_(@_)">
                  <c:v>19374.640833332982</c:v>
                </c:pt>
                <c:pt idx="17" formatCode="_(&quot;$&quot;* #,##0_);_(&quot;$&quot;* \(#,##0\);_(&quot;$&quot;* &quot;-&quot;??_);_(@_)">
                  <c:v>58397.865791666605</c:v>
                </c:pt>
                <c:pt idx="18" formatCode="_(&quot;$&quot;* #,##0_);_(&quot;$&quot;* \(#,##0\);_(&quot;$&quot;* &quot;-&quot;??_);_(@_)">
                  <c:v>83542.931750000134</c:v>
                </c:pt>
                <c:pt idx="19" formatCode="_(&quot;$&quot;* #,##0_);_(&quot;$&quot;* \(#,##0\);_(&quot;$&quot;* &quot;-&quot;??_);_(@_)">
                  <c:v>86508.451708333698</c:v>
                </c:pt>
                <c:pt idx="20" formatCode="_(&quot;$&quot;* #,##0_);_(&quot;$&quot;* \(#,##0\);_(&quot;$&quot;* &quot;-&quot;??_);_(@_)">
                  <c:v>31970.306616666734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Defence vs Oil'!$A$13:$A$44</c:f>
              <c:numCache>
                <c:formatCode>[$-409]d\-mmm\-yy;@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45950</c:v>
                </c:pt>
                <c:pt idx="20">
                  <c:v>45951</c:v>
                </c:pt>
                <c:pt idx="21">
                  <c:v>45952</c:v>
                </c:pt>
                <c:pt idx="22">
                  <c:v>45953</c:v>
                </c:pt>
                <c:pt idx="23">
                  <c:v>45954</c:v>
                </c:pt>
                <c:pt idx="24">
                  <c:v>45955</c:v>
                </c:pt>
                <c:pt idx="25">
                  <c:v>45956</c:v>
                </c:pt>
              </c:numCache>
            </c:numRef>
          </c:cat>
          <c:val>
            <c:numRef>
              <c:f>'Live_EU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-37582.527555555585</c:v>
                </c:pt>
                <c:pt idx="3" formatCode="_(&quot;$&quot;* #,##0_);_(&quot;$&quot;* \(#,##0\);_(&quot;$&quot;* &quot;-&quot;??_);_(@_)">
                  <c:v>-38151.863111111059</c:v>
                </c:pt>
                <c:pt idx="4" formatCode="_(&quot;$&quot;* #,##0_);_(&quot;$&quot;* \(#,##0\);_(&quot;$&quot;* &quot;-&quot;??_);_(@_)">
                  <c:v>-39602.409777777837</c:v>
                </c:pt>
                <c:pt idx="5" formatCode="_(&quot;$&quot;* #,##0_);_(&quot;$&quot;* \(#,##0\);_(&quot;$&quot;* &quot;-&quot;??_);_(@_)">
                  <c:v>-41268.625333333359</c:v>
                </c:pt>
                <c:pt idx="6" formatCode="_(&quot;$&quot;* #,##0_);_(&quot;$&quot;* \(#,##0\);_(&quot;$&quot;* &quot;-&quot;??_);_(@_)">
                  <c:v>-36586.68088888887</c:v>
                </c:pt>
                <c:pt idx="7" formatCode="_(&quot;$&quot;* #,##0_);_(&quot;$&quot;* \(#,##0\);_(&quot;$&quot;* &quot;-&quot;??_);_(@_)">
                  <c:v>-18248.304444444457</c:v>
                </c:pt>
                <c:pt idx="8" formatCode="_(&quot;$&quot;* #,##0_);_(&quot;$&quot;* \(#,##0\);_(&quot;$&quot;* &quot;-&quot;??_);_(@_)">
                  <c:v>-35451.052000000003</c:v>
                </c:pt>
                <c:pt idx="9" formatCode="_(&quot;$&quot;* #,##0_);_(&quot;$&quot;* \(#,##0\);_(&quot;$&quot;* &quot;-&quot;??_);_(@_)">
                  <c:v>-22633.790666666646</c:v>
                </c:pt>
                <c:pt idx="10" formatCode="_(&quot;$&quot;* #,##0_);_(&quot;$&quot;* \(#,##0\);_(&quot;$&quot;* &quot;-&quot;??_);_(@_)">
                  <c:v>-18710.022222222215</c:v>
                </c:pt>
                <c:pt idx="11" formatCode="_(&quot;$&quot;* #,##0_);_(&quot;$&quot;* \(#,##0\);_(&quot;$&quot;* &quot;-&quot;??_);_(@_)">
                  <c:v>-21759.25777777769</c:v>
                </c:pt>
                <c:pt idx="12" formatCode="_(&quot;$&quot;* #,##0_);_(&quot;$&quot;* \(#,##0\);_(&quot;$&quot;* &quot;-&quot;??_);_(@_)">
                  <c:v>-7730.2733333333636</c:v>
                </c:pt>
                <c:pt idx="13" formatCode="_(&quot;$&quot;* #,##0_);_(&quot;$&quot;* \(#,##0\);_(&quot;$&quot;* &quot;-&quot;??_);_(@_)">
                  <c:v>-18806.46488888887</c:v>
                </c:pt>
                <c:pt idx="14" formatCode="_(&quot;$&quot;* #,##0_);_(&quot;$&quot;* \(#,##0\);_(&quot;$&quot;* &quot;-&quot;??_);_(@_)">
                  <c:v>-27308.091555555577</c:v>
                </c:pt>
                <c:pt idx="15" formatCode="_(&quot;$&quot;* #,##0_);_(&quot;$&quot;* \(#,##0\);_(&quot;$&quot;* &quot;-&quot;??_);_(@_)">
                  <c:v>-20238.319111111043</c:v>
                </c:pt>
                <c:pt idx="16" formatCode="_(&quot;$&quot;* #,##0_);_(&quot;$&quot;* \(#,##0\);_(&quot;$&quot;* &quot;-&quot;??_);_(@_)">
                  <c:v>-5843.8106666666536</c:v>
                </c:pt>
                <c:pt idx="17" formatCode="_(&quot;$&quot;* #,##0_);_(&quot;$&quot;* \(#,##0\);_(&quot;$&quot;* &quot;-&quot;??_);_(@_)">
                  <c:v>-6799.7982222222599</c:v>
                </c:pt>
                <c:pt idx="18" formatCode="_(&quot;$&quot;* #,##0_);_(&quot;$&quot;* \(#,##0\);_(&quot;$&quot;* &quot;-&quot;??_);_(@_)">
                  <c:v>-6827.1882177777788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-6165.1582222222023</c:v>
                </c:pt>
                <c:pt idx="3">
                  <c:v>-3827.7808888889067</c:v>
                </c:pt>
                <c:pt idx="4">
                  <c:v>1521.9848888889455</c:v>
                </c:pt>
                <c:pt idx="5">
                  <c:v>3248.1346666666204</c:v>
                </c:pt>
                <c:pt idx="6">
                  <c:v>1703.8324444444233</c:v>
                </c:pt>
                <c:pt idx="7">
                  <c:v>4203.9702222221968</c:v>
                </c:pt>
                <c:pt idx="8">
                  <c:v>3757.0515555555176</c:v>
                </c:pt>
                <c:pt idx="9">
                  <c:v>2646.5653333333194</c:v>
                </c:pt>
                <c:pt idx="10">
                  <c:v>1324.447111111047</c:v>
                </c:pt>
                <c:pt idx="11">
                  <c:v>-4186.8551111111228</c:v>
                </c:pt>
                <c:pt idx="12">
                  <c:v>4334.8866666667363</c:v>
                </c:pt>
                <c:pt idx="13">
                  <c:v>13551.30000000001</c:v>
                </c:pt>
                <c:pt idx="14">
                  <c:v>6398.55377777781</c:v>
                </c:pt>
                <c:pt idx="15">
                  <c:v>855.32355555550021</c:v>
                </c:pt>
                <c:pt idx="16">
                  <c:v>289.92933333334804</c:v>
                </c:pt>
                <c:pt idx="17">
                  <c:v>4109.6567911111706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Live_Barclays!$H$12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Live_Barclays!$A$13:$A$41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 formatCode="[$-409]d\-mmm\-yy;@">
                  <c:v>45947</c:v>
                </c:pt>
                <c:pt idx="15" formatCode="[$-409]d\-mmm\-yy;@">
                  <c:v>45950</c:v>
                </c:pt>
                <c:pt idx="16" formatCode="[$-409]d\-mmm\-yy;@">
                  <c:v>45951</c:v>
                </c:pt>
                <c:pt idx="17" formatCode="[$-409]d\-mmm\-yy;@">
                  <c:v>45952</c:v>
                </c:pt>
                <c:pt idx="18" formatCode="[$-409]d\-mmm\-yy;@">
                  <c:v>45953</c:v>
                </c:pt>
                <c:pt idx="19" formatCode="[$-409]d\-mmm\-yy;@">
                  <c:v>45954</c:v>
                </c:pt>
                <c:pt idx="20" formatCode="[$-409]d\-mmm\-yy;@">
                  <c:v>45955</c:v>
                </c:pt>
                <c:pt idx="21" formatCode="[$-409]d\-mmm\-yy;@">
                  <c:v>45956</c:v>
                </c:pt>
              </c:numCache>
            </c:numRef>
          </c:cat>
          <c:val>
            <c:numRef>
              <c:f>Live_Barclays!$H$13:$H$41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-40714.599305555654</c:v>
                </c:pt>
                <c:pt idx="3" formatCode="_(&quot;$&quot;* #,##0_);_(&quot;$&quot;* \(#,##0\);_(&quot;$&quot;* &quot;-&quot;??_);_(@_)">
                  <c:v>-44589.198611111329</c:v>
                </c:pt>
                <c:pt idx="4" formatCode="_(&quot;$&quot;* #,##0_);_(&quot;$&quot;* \(#,##0\);_(&quot;$&quot;* &quot;-&quot;??_);_(@_)">
                  <c:v>-61343.797916665128</c:v>
                </c:pt>
                <c:pt idx="5" formatCode="_(&quot;$&quot;* #,##0_);_(&quot;$&quot;* \(#,##0\);_(&quot;$&quot;* &quot;-&quot;??_);_(@_)">
                  <c:v>-38127.59583333406</c:v>
                </c:pt>
                <c:pt idx="6" formatCode="_(&quot;$&quot;* #,##0_);_(&quot;$&quot;* \(#,##0\);_(&quot;$&quot;* &quot;-&quot;??_);_(@_)">
                  <c:v>-39482.195138888783</c:v>
                </c:pt>
                <c:pt idx="7" formatCode="_(&quot;$&quot;* #,##0_);_(&quot;$&quot;* \(#,##0\);_(&quot;$&quot;* &quot;-&quot;??_);_(@_)">
                  <c:v>-44336.794444443171</c:v>
                </c:pt>
                <c:pt idx="8" formatCode="_(&quot;$&quot;* #,##0_);_(&quot;$&quot;* \(#,##0\);_(&quot;$&quot;* &quot;-&quot;??_);_(@_)">
                  <c:v>-43051.393749998366</c:v>
                </c:pt>
                <c:pt idx="9" formatCode="_(&quot;$&quot;* #,##0_);_(&quot;$&quot;* \(#,##0\);_(&quot;$&quot;* &quot;-&quot;??_);_(@_)">
                  <c:v>-43745.993055553918</c:v>
                </c:pt>
                <c:pt idx="10" formatCode="_(&quot;$&quot;* #,##0_);_(&quot;$&quot;* \(#,##0\);_(&quot;$&quot;* &quot;-&quot;??_);_(@_)">
                  <c:v>-45829.79097222058</c:v>
                </c:pt>
                <c:pt idx="11" formatCode="_(&quot;$&quot;* #,##0_);_(&quot;$&quot;* \(#,##0\);_(&quot;$&quot;* &quot;-&quot;??_);_(@_)">
                  <c:v>-13664.390277778683</c:v>
                </c:pt>
                <c:pt idx="12" formatCode="_(&quot;$&quot;* #,##0_);_(&quot;$&quot;* \(#,##0\);_(&quot;$&quot;* &quot;-&quot;??_);_(@_)">
                  <c:v>-23858.989583334125</c:v>
                </c:pt>
                <c:pt idx="13" formatCode="_(&quot;$&quot;* #,##0_);_(&quot;$&quot;* \(#,##0\);_(&quot;$&quot;* &quot;-&quot;??_);_(@_)">
                  <c:v>59186.411111111694</c:v>
                </c:pt>
                <c:pt idx="14" formatCode="_(&quot;$&quot;* #,##0_);_(&quot;$&quot;* \(#,##0\);_(&quot;$&quot;* &quot;-&quot;??_);_(@_)">
                  <c:v>65391.811805554142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 formatCode="[$-409]d\-mmm\-yy;@">
                  <c:v>45947</c:v>
                </c:pt>
                <c:pt idx="14" formatCode="[$-409]d\-mmm\-yy;@">
                  <c:v>45950</c:v>
                </c:pt>
                <c:pt idx="15" formatCode="[$-409]d\-mmm\-yy;@">
                  <c:v>45951</c:v>
                </c:pt>
                <c:pt idx="16" formatCode="[$-409]d\-mmm\-yy;@">
                  <c:v>45952</c:v>
                </c:pt>
                <c:pt idx="17" formatCode="[$-409]d\-mmm\-yy;@">
                  <c:v>45953</c:v>
                </c:pt>
                <c:pt idx="18" formatCode="[$-409]d\-mmm\-yy;@">
                  <c:v>45954</c:v>
                </c:pt>
                <c:pt idx="19" formatCode="[$-409]d\-mmm\-yy;@">
                  <c:v>45955</c:v>
                </c:pt>
                <c:pt idx="20" formatCode="[$-409]d\-mmm\-yy;@">
                  <c:v>45956</c:v>
                </c:pt>
              </c:numCache>
            </c:numRef>
          </c:cat>
          <c:val>
            <c:numRef>
              <c:f>'Live_KSA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-33999.438363333589</c:v>
                </c:pt>
                <c:pt idx="3">
                  <c:v>-21872.876726667379</c:v>
                </c:pt>
                <c:pt idx="4">
                  <c:v>-18600.691816667229</c:v>
                </c:pt>
                <c:pt idx="5">
                  <c:v>-17319.130180001801</c:v>
                </c:pt>
                <c:pt idx="6">
                  <c:v>-2621.318543333357</c:v>
                </c:pt>
                <c:pt idx="7">
                  <c:v>-1704.7569066679584</c:v>
                </c:pt>
                <c:pt idx="8">
                  <c:v>-21558.195270002099</c:v>
                </c:pt>
                <c:pt idx="9">
                  <c:v>-32622.260360002092</c:v>
                </c:pt>
                <c:pt idx="10">
                  <c:v>-13894.448723334845</c:v>
                </c:pt>
                <c:pt idx="11">
                  <c:v>-23517.887086668132</c:v>
                </c:pt>
                <c:pt idx="12">
                  <c:v>-32467.575450000637</c:v>
                </c:pt>
                <c:pt idx="13">
                  <c:v>-18158.51381333387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 formatCode="[$-409]d\-mmm\-yy;@">
                  <c:v>45947</c:v>
                </c:pt>
                <c:pt idx="12" formatCode="[$-409]d\-mmm\-yy;@">
                  <c:v>45950</c:v>
                </c:pt>
                <c:pt idx="13" formatCode="[$-409]d\-mmm\-yy;@">
                  <c:v>45951</c:v>
                </c:pt>
                <c:pt idx="14" formatCode="[$-409]d\-mmm\-yy;@">
                  <c:v>45952</c:v>
                </c:pt>
                <c:pt idx="15" formatCode="[$-409]d\-mmm\-yy;@">
                  <c:v>45953</c:v>
                </c:pt>
                <c:pt idx="16" formatCode="[$-409]d\-mmm\-yy;@">
                  <c:v>45954</c:v>
                </c:pt>
                <c:pt idx="17" formatCode="[$-409]d\-mmm\-yy;@">
                  <c:v>45955</c:v>
                </c:pt>
                <c:pt idx="18" formatCode="[$-409]d\-mmm\-yy;@">
                  <c:v>45956</c:v>
                </c:pt>
              </c:numCache>
            </c:numRef>
          </c:cat>
          <c:val>
            <c:numRef>
              <c:f>'Live_EU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-253.92333333342685</c:v>
                </c:pt>
                <c:pt idx="3">
                  <c:v>2657.1628888888317</c:v>
                </c:pt>
                <c:pt idx="4">
                  <c:v>-1868.1268888890072</c:v>
                </c:pt>
                <c:pt idx="5">
                  <c:v>3661.185333333262</c:v>
                </c:pt>
                <c:pt idx="6">
                  <c:v>7998.6185555555294</c:v>
                </c:pt>
                <c:pt idx="7">
                  <c:v>24215.314222222223</c:v>
                </c:pt>
                <c:pt idx="8">
                  <c:v>25250.656444444416</c:v>
                </c:pt>
                <c:pt idx="9">
                  <c:v>-14784.979333333336</c:v>
                </c:pt>
                <c:pt idx="10">
                  <c:v>-22796.194111111166</c:v>
                </c:pt>
                <c:pt idx="11">
                  <c:v>5481.5106611110859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 formatCode="[$-409]d\-mmm\-yy;@">
                  <c:v>45947</c:v>
                </c:pt>
                <c:pt idx="10" formatCode="[$-409]d\-mmm\-yy;@">
                  <c:v>45950</c:v>
                </c:pt>
                <c:pt idx="11" formatCode="[$-409]d\-mmm\-yy;@">
                  <c:v>45951</c:v>
                </c:pt>
                <c:pt idx="12" formatCode="[$-409]d\-mmm\-yy;@">
                  <c:v>45952</c:v>
                </c:pt>
                <c:pt idx="13" formatCode="[$-409]d\-mmm\-yy;@">
                  <c:v>45953</c:v>
                </c:pt>
                <c:pt idx="14" formatCode="[$-409]d\-mmm\-yy;@">
                  <c:v>45954</c:v>
                </c:pt>
                <c:pt idx="15" formatCode="[$-409]d\-mmm\-yy;@">
                  <c:v>45955</c:v>
                </c:pt>
                <c:pt idx="16" formatCode="[$-409]d\-mmm\-yy;@">
                  <c:v>45956</c:v>
                </c:pt>
              </c:numCache>
            </c:numRef>
          </c:cat>
          <c:val>
            <c:numRef>
              <c:f>'Live_EU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-84513.222513004264</c:v>
                </c:pt>
                <c:pt idx="3">
                  <c:v>-107288.81744881991</c:v>
                </c:pt>
                <c:pt idx="4">
                  <c:v>-103712.69433464142</c:v>
                </c:pt>
                <c:pt idx="5">
                  <c:v>-85685.002180177136</c:v>
                </c:pt>
                <c:pt idx="6">
                  <c:v>-84796.624262727753</c:v>
                </c:pt>
                <c:pt idx="7">
                  <c:v>-23155.512247244649</c:v>
                </c:pt>
                <c:pt idx="8">
                  <c:v>-69793.868856556044</c:v>
                </c:pt>
                <c:pt idx="9">
                  <c:v>-67998.679209062961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ETF Compression'!$A$13:$A$62</c:f>
              <c:numCache>
                <c:formatCode>[$-409]d\-mmm\-yy;@</c:formatCode>
                <c:ptCount val="50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45950</c:v>
                </c:pt>
                <c:pt idx="27">
                  <c:v>45951</c:v>
                </c:pt>
                <c:pt idx="28">
                  <c:v>45952</c:v>
                </c:pt>
                <c:pt idx="29">
                  <c:v>45953</c:v>
                </c:pt>
                <c:pt idx="30">
                  <c:v>45954</c:v>
                </c:pt>
                <c:pt idx="31">
                  <c:v>45955</c:v>
                </c:pt>
                <c:pt idx="32">
                  <c:v>45956</c:v>
                </c:pt>
              </c:numCache>
            </c:numRef>
          </c:cat>
          <c:val>
            <c:numRef>
              <c:f>'Live_US ETF Compression'!$T$13:$T$62</c:f>
              <c:numCache>
                <c:formatCode>_("$"* #,##0_);_("$"* \(#,##0\);_("$"* "-"??_);_(@_)</c:formatCode>
                <c:ptCount val="50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1991.5057342589062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-106151.36280510449</c:v>
                </c:pt>
                <c:pt idx="25">
                  <c:v>-59809.786065385531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IG Cash Curve'!$A$13:$A$50</c:f>
              <c:numCache>
                <c:formatCode>d\-mmm\-yy</c:formatCode>
                <c:ptCount val="38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'Live_US IG Cash Curve'!$T$13:$T$50</c:f>
              <c:numCache>
                <c:formatCode>_("$"* #,##0_);_("$"* \(#,##0\);_("$"* "-"??_);_(@_)</c:formatCode>
                <c:ptCount val="38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-34548.916129348756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9532.7635867743957</c:v>
                </c:pt>
                <c:pt idx="17">
                  <c:v>-17469.655809534466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[$-409]d\-mmm\-yy;@</c:formatCode>
                <c:ptCount val="37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45950</c:v>
                </c:pt>
                <c:pt idx="10">
                  <c:v>45951</c:v>
                </c:pt>
                <c:pt idx="11">
                  <c:v>45952</c:v>
                </c:pt>
                <c:pt idx="12">
                  <c:v>45953</c:v>
                </c:pt>
                <c:pt idx="13">
                  <c:v>45954</c:v>
                </c:pt>
                <c:pt idx="14">
                  <c:v>45955</c:v>
                </c:pt>
                <c:pt idx="15">
                  <c:v>45956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-849.50596440913796</c:v>
                </c:pt>
                <c:pt idx="7" formatCode="_(&quot;$&quot;* #,##0_);_(&quot;$&quot;* \(#,##0\);_(&quot;$&quot;* &quot;-&quot;??_);_(@_)">
                  <c:v>72.41207639010463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'Closed_CDX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'Closed_CDX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>
                  <c:v>45946</c:v>
                </c:pt>
                <c:pt idx="7">
                  <c:v>45947</c:v>
                </c:pt>
              </c:numCache>
            </c:numRef>
          </c:cat>
          <c:val>
            <c:numRef>
              <c:f>'Closed_CDX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85048.333333333605</c:v>
                </c:pt>
                <c:pt idx="6">
                  <c:v>48470.555555555678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A-4050-A53A-95C79A0B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PL - 29Aug start'!$EA$12</c:f>
              <c:strCache>
                <c:ptCount val="1"/>
                <c:pt idx="0">
                  <c:v>Cum IHYG vs IEAC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PL - 29Aug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- 29Aug start'!$EA$13:$EA$49</c:f>
              <c:numCache>
                <c:formatCode>General</c:formatCode>
                <c:ptCount val="37"/>
                <c:pt idx="0">
                  <c:v>0</c:v>
                </c:pt>
                <c:pt idx="1">
                  <c:v>-31338.434066920541</c:v>
                </c:pt>
                <c:pt idx="2">
                  <c:v>-17825.541717956774</c:v>
                </c:pt>
                <c:pt idx="3">
                  <c:v>-19491.602680613869</c:v>
                </c:pt>
                <c:pt idx="4">
                  <c:v>-11832.69928539684</c:v>
                </c:pt>
                <c:pt idx="5">
                  <c:v>-34600.557783198659</c:v>
                </c:pt>
                <c:pt idx="6">
                  <c:v>-50166.194938246859</c:v>
                </c:pt>
                <c:pt idx="7">
                  <c:v>-66546.051494833431</c:v>
                </c:pt>
                <c:pt idx="8">
                  <c:v>-75257.116934877005</c:v>
                </c:pt>
                <c:pt idx="9">
                  <c:v>-97533.291848054156</c:v>
                </c:pt>
                <c:pt idx="10">
                  <c:v>-134342.58482182596</c:v>
                </c:pt>
                <c:pt idx="11">
                  <c:v>-126454.37607240988</c:v>
                </c:pt>
                <c:pt idx="12">
                  <c:v>-99235.75243302263</c:v>
                </c:pt>
                <c:pt idx="13">
                  <c:v>-107356.78006209427</c:v>
                </c:pt>
                <c:pt idx="14">
                  <c:v>-118962.88114425651</c:v>
                </c:pt>
                <c:pt idx="15">
                  <c:v>-101460.28770123443</c:v>
                </c:pt>
                <c:pt idx="16">
                  <c:v>-68484.89376443479</c:v>
                </c:pt>
                <c:pt idx="17">
                  <c:v>-102571.9275844548</c:v>
                </c:pt>
                <c:pt idx="18">
                  <c:v>-95381.871231737576</c:v>
                </c:pt>
                <c:pt idx="19">
                  <c:v>-69657.83973084559</c:v>
                </c:pt>
                <c:pt idx="20">
                  <c:v>-103259.01733044858</c:v>
                </c:pt>
                <c:pt idx="21">
                  <c:v>-102722.70801494148</c:v>
                </c:pt>
                <c:pt idx="22">
                  <c:v>-60029.853476963326</c:v>
                </c:pt>
                <c:pt idx="23">
                  <c:v>-136845.773941422</c:v>
                </c:pt>
                <c:pt idx="24">
                  <c:v>-139937.50975097972</c:v>
                </c:pt>
                <c:pt idx="25">
                  <c:v>-121435.36466687894</c:v>
                </c:pt>
                <c:pt idx="26">
                  <c:v>-134290.4400300608</c:v>
                </c:pt>
                <c:pt idx="27">
                  <c:v>-166287.02728212296</c:v>
                </c:pt>
                <c:pt idx="28">
                  <c:v>-178834.67754658117</c:v>
                </c:pt>
                <c:pt idx="29">
                  <c:v>-264993.9896704625</c:v>
                </c:pt>
                <c:pt idx="30">
                  <c:v>-288892.5389612721</c:v>
                </c:pt>
                <c:pt idx="31">
                  <c:v>-311523.71297896811</c:v>
                </c:pt>
                <c:pt idx="32">
                  <c:v>-306953.69674574444</c:v>
                </c:pt>
                <c:pt idx="33">
                  <c:v>-288694.76218579151</c:v>
                </c:pt>
                <c:pt idx="34">
                  <c:v>-287784.68899149232</c:v>
                </c:pt>
                <c:pt idx="35">
                  <c:v>-227260.9048083158</c:v>
                </c:pt>
                <c:pt idx="36">
                  <c:v>-273301.59623800946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E-4902-9EC0-A87DBAC4A24D}"/>
            </c:ext>
          </c:extLst>
        </c:ser>
        <c:ser>
          <c:idx val="1"/>
          <c:order val="1"/>
          <c:tx>
            <c:strRef>
              <c:f>'ETF PL - 29Aug start'!$EB$12</c:f>
              <c:strCache>
                <c:ptCount val="1"/>
                <c:pt idx="0">
                  <c:v>Cum HYG vs LQD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PL - 29Aug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- 29Aug start'!$EB$13:$EB$49</c:f>
              <c:numCache>
                <c:formatCode>General</c:formatCode>
                <c:ptCount val="37"/>
                <c:pt idx="0">
                  <c:v>0</c:v>
                </c:pt>
                <c:pt idx="1">
                  <c:v>42529.097337427127</c:v>
                </c:pt>
                <c:pt idx="2">
                  <c:v>11998.858535121006</c:v>
                </c:pt>
                <c:pt idx="3">
                  <c:v>-585.94413724478727</c:v>
                </c:pt>
                <c:pt idx="4">
                  <c:v>-64503.414122287257</c:v>
                </c:pt>
                <c:pt idx="5">
                  <c:v>-51498.330514984009</c:v>
                </c:pt>
                <c:pt idx="6">
                  <c:v>-106215.12538581621</c:v>
                </c:pt>
                <c:pt idx="7">
                  <c:v>-133055.25305576247</c:v>
                </c:pt>
                <c:pt idx="8">
                  <c:v>-99148.61072627618</c:v>
                </c:pt>
                <c:pt idx="9">
                  <c:v>-146320.57386869763</c:v>
                </c:pt>
                <c:pt idx="10">
                  <c:v>-152943.92957794177</c:v>
                </c:pt>
                <c:pt idx="11">
                  <c:v>-149103.76205385642</c:v>
                </c:pt>
                <c:pt idx="12">
                  <c:v>-186258.12042617198</c:v>
                </c:pt>
                <c:pt idx="13">
                  <c:v>-163514.12509956706</c:v>
                </c:pt>
                <c:pt idx="14">
                  <c:v>-141085.40864202654</c:v>
                </c:pt>
                <c:pt idx="15">
                  <c:v>-145761.15315943607</c:v>
                </c:pt>
                <c:pt idx="16">
                  <c:v>-129664.10879677573</c:v>
                </c:pt>
                <c:pt idx="17">
                  <c:v>-114650.89763789406</c:v>
                </c:pt>
                <c:pt idx="18">
                  <c:v>-59424.360898411345</c:v>
                </c:pt>
                <c:pt idx="19">
                  <c:v>-66536.713504001571</c:v>
                </c:pt>
                <c:pt idx="20">
                  <c:v>-27821.92766047216</c:v>
                </c:pt>
                <c:pt idx="21">
                  <c:v>-68388.525482601661</c:v>
                </c:pt>
                <c:pt idx="22">
                  <c:v>-66846.514013137436</c:v>
                </c:pt>
                <c:pt idx="23">
                  <c:v>-29275.604026348017</c:v>
                </c:pt>
                <c:pt idx="24">
                  <c:v>-37204.332694037716</c:v>
                </c:pt>
                <c:pt idx="25">
                  <c:v>-136066.66951339901</c:v>
                </c:pt>
                <c:pt idx="26">
                  <c:v>-164460.2414731083</c:v>
                </c:pt>
                <c:pt idx="27">
                  <c:v>-198389.22796912017</c:v>
                </c:pt>
                <c:pt idx="28">
                  <c:v>-174797.86508556202</c:v>
                </c:pt>
                <c:pt idx="29">
                  <c:v>-207057.51398184471</c:v>
                </c:pt>
                <c:pt idx="30">
                  <c:v>-207441.48607457028</c:v>
                </c:pt>
                <c:pt idx="31">
                  <c:v>-241779.90739425857</c:v>
                </c:pt>
                <c:pt idx="32">
                  <c:v>-329593.37974816479</c:v>
                </c:pt>
                <c:pt idx="33">
                  <c:v>-220547.705479892</c:v>
                </c:pt>
                <c:pt idx="34">
                  <c:v>-289999.58373932121</c:v>
                </c:pt>
                <c:pt idx="35">
                  <c:v>-211818.06244132988</c:v>
                </c:pt>
                <c:pt idx="36">
                  <c:v>-326432.08993008884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AE-4902-9EC0-A87DBAC4A24D}"/>
            </c:ext>
          </c:extLst>
        </c:ser>
        <c:ser>
          <c:idx val="2"/>
          <c:order val="2"/>
          <c:tx>
            <c:strRef>
              <c:f>'ETF PL - 29Aug start'!$EC$12</c:f>
              <c:strCache>
                <c:ptCount val="1"/>
                <c:pt idx="0">
                  <c:v>Cum HY vs IG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'ETF PL - 29Aug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- 29Aug start'!$EC$13:$EC$49</c:f>
              <c:numCache>
                <c:formatCode>General</c:formatCode>
                <c:ptCount val="37"/>
                <c:pt idx="0">
                  <c:v>0</c:v>
                </c:pt>
                <c:pt idx="1">
                  <c:v>5122.0352403014404</c:v>
                </c:pt>
                <c:pt idx="2">
                  <c:v>4926.1103950473016</c:v>
                </c:pt>
                <c:pt idx="3">
                  <c:v>4926.110395047308</c:v>
                </c:pt>
                <c:pt idx="4">
                  <c:v>22055.539723294325</c:v>
                </c:pt>
                <c:pt idx="5">
                  <c:v>-50184.749649549063</c:v>
                </c:pt>
                <c:pt idx="6">
                  <c:v>-130206.05430548723</c:v>
                </c:pt>
                <c:pt idx="7">
                  <c:v>-143976.7720007374</c:v>
                </c:pt>
                <c:pt idx="8">
                  <c:v>-192062.32687968027</c:v>
                </c:pt>
                <c:pt idx="9">
                  <c:v>-263267.01349901856</c:v>
                </c:pt>
                <c:pt idx="10">
                  <c:v>-277681.48425726424</c:v>
                </c:pt>
                <c:pt idx="11">
                  <c:v>-240567.72071275121</c:v>
                </c:pt>
                <c:pt idx="12">
                  <c:v>-259208.57027583895</c:v>
                </c:pt>
                <c:pt idx="13">
                  <c:v>-251791.41541964657</c:v>
                </c:pt>
                <c:pt idx="14">
                  <c:v>-183749.51558803281</c:v>
                </c:pt>
                <c:pt idx="15">
                  <c:v>-163121.42830877818</c:v>
                </c:pt>
                <c:pt idx="16">
                  <c:v>-156571.94062443951</c:v>
                </c:pt>
                <c:pt idx="17">
                  <c:v>-150974.08790279782</c:v>
                </c:pt>
                <c:pt idx="18">
                  <c:v>-72212.3001092349</c:v>
                </c:pt>
                <c:pt idx="19">
                  <c:v>-116211.42250138227</c:v>
                </c:pt>
                <c:pt idx="20">
                  <c:v>-66334.554751509335</c:v>
                </c:pt>
                <c:pt idx="21">
                  <c:v>-50828.502712543617</c:v>
                </c:pt>
                <c:pt idx="22">
                  <c:v>-28045.242135441298</c:v>
                </c:pt>
                <c:pt idx="23">
                  <c:v>8004.9293919563825</c:v>
                </c:pt>
                <c:pt idx="24">
                  <c:v>13294.900213907305</c:v>
                </c:pt>
                <c:pt idx="25">
                  <c:v>-14526.42781266462</c:v>
                </c:pt>
                <c:pt idx="26">
                  <c:v>-67062.275605323972</c:v>
                </c:pt>
                <c:pt idx="27">
                  <c:v>-98186.336737673468</c:v>
                </c:pt>
                <c:pt idx="28">
                  <c:v>-66502.490333155569</c:v>
                </c:pt>
                <c:pt idx="29">
                  <c:v>-44558.907664303057</c:v>
                </c:pt>
                <c:pt idx="30">
                  <c:v>-51220.352403066499</c:v>
                </c:pt>
                <c:pt idx="31">
                  <c:v>-136251.73524487411</c:v>
                </c:pt>
                <c:pt idx="32">
                  <c:v>-186884.31311215201</c:v>
                </c:pt>
                <c:pt idx="33">
                  <c:v>-186884.31311215201</c:v>
                </c:pt>
                <c:pt idx="34">
                  <c:v>-217532.55676317602</c:v>
                </c:pt>
                <c:pt idx="35">
                  <c:v>-132053.34570362631</c:v>
                </c:pt>
                <c:pt idx="36">
                  <c:v>-192034.33761607533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AE-4902-9EC0-A87DBAC4A24D}"/>
            </c:ext>
          </c:extLst>
        </c:ser>
        <c:ser>
          <c:idx val="3"/>
          <c:order val="3"/>
          <c:tx>
            <c:strRef>
              <c:f>'ETF PL - 29Aug start'!$ED$12</c:f>
              <c:strCache>
                <c:ptCount val="1"/>
                <c:pt idx="0">
                  <c:v>Cum Main vs Xover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'ETF PL - 29Aug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- 29Aug start'!$ED$13:$ED$49</c:f>
              <c:numCache>
                <c:formatCode>General</c:formatCode>
                <c:ptCount val="37"/>
                <c:pt idx="0">
                  <c:v>0</c:v>
                </c:pt>
                <c:pt idx="1">
                  <c:v>323491.57559862494</c:v>
                </c:pt>
                <c:pt idx="2">
                  <c:v>331902.80356107501</c:v>
                </c:pt>
                <c:pt idx="3">
                  <c:v>332526.55637770257</c:v>
                </c:pt>
                <c:pt idx="4">
                  <c:v>352942.81877508905</c:v>
                </c:pt>
                <c:pt idx="5">
                  <c:v>329608.09260231571</c:v>
                </c:pt>
                <c:pt idx="6">
                  <c:v>269077.23572671018</c:v>
                </c:pt>
                <c:pt idx="7">
                  <c:v>265766.22143461392</c:v>
                </c:pt>
                <c:pt idx="8">
                  <c:v>230714.53317962584</c:v>
                </c:pt>
                <c:pt idx="9">
                  <c:v>183122.00283844527</c:v>
                </c:pt>
                <c:pt idx="10">
                  <c:v>167662.61041666279</c:v>
                </c:pt>
                <c:pt idx="11">
                  <c:v>157957.99991382283</c:v>
                </c:pt>
                <c:pt idx="12">
                  <c:v>152568.50204791565</c:v>
                </c:pt>
                <c:pt idx="13">
                  <c:v>163015.9722055305</c:v>
                </c:pt>
                <c:pt idx="14">
                  <c:v>145816.20035950054</c:v>
                </c:pt>
                <c:pt idx="15">
                  <c:v>159879.37672074776</c:v>
                </c:pt>
                <c:pt idx="16">
                  <c:v>184495.45356581654</c:v>
                </c:pt>
                <c:pt idx="17">
                  <c:v>167010.55241393344</c:v>
                </c:pt>
                <c:pt idx="18">
                  <c:v>220222.74419851505</c:v>
                </c:pt>
                <c:pt idx="19">
                  <c:v>266726.77999777207</c:v>
                </c:pt>
                <c:pt idx="20">
                  <c:v>271848.89339926525</c:v>
                </c:pt>
                <c:pt idx="21">
                  <c:v>306523.95821473864</c:v>
                </c:pt>
                <c:pt idx="22">
                  <c:v>330201.28966758802</c:v>
                </c:pt>
                <c:pt idx="23">
                  <c:v>321875.41006445099</c:v>
                </c:pt>
                <c:pt idx="24">
                  <c:v>398114.69306339638</c:v>
                </c:pt>
                <c:pt idx="25">
                  <c:v>363846.11495717778</c:v>
                </c:pt>
                <c:pt idx="26">
                  <c:v>384298.2132782517</c:v>
                </c:pt>
                <c:pt idx="27">
                  <c:v>372140.40008653328</c:v>
                </c:pt>
                <c:pt idx="28">
                  <c:v>408114.73353614379</c:v>
                </c:pt>
                <c:pt idx="29">
                  <c:v>378384.85306898772</c:v>
                </c:pt>
                <c:pt idx="30">
                  <c:v>315375.86416628666</c:v>
                </c:pt>
                <c:pt idx="31">
                  <c:v>247091.98310531434</c:v>
                </c:pt>
                <c:pt idx="32">
                  <c:v>237022.78103105782</c:v>
                </c:pt>
                <c:pt idx="33">
                  <c:v>257213.72722227103</c:v>
                </c:pt>
                <c:pt idx="34">
                  <c:v>207203.83011589793</c:v>
                </c:pt>
                <c:pt idx="35">
                  <c:v>249790.84364787</c:v>
                </c:pt>
                <c:pt idx="36">
                  <c:v>182919.36540523206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AE-4902-9EC0-A87DBAC4A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39535"/>
        <c:axId val="206338095"/>
      </c:lineChart>
      <c:dateAx>
        <c:axId val="206339535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8095"/>
        <c:crosses val="autoZero"/>
        <c:auto val="1"/>
        <c:lblOffset val="100"/>
        <c:baseTimeUnit val="days"/>
      </c:dateAx>
      <c:valAx>
        <c:axId val="20633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PL - 27Aug start'!$EA$12</c:f>
              <c:strCache>
                <c:ptCount val="1"/>
                <c:pt idx="0">
                  <c:v>Cum IHYG vs IEAC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PL - 27Aug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- 27Aug start'!$EA$13:$EA$49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13512.892348963767</c:v>
                </c:pt>
                <c:pt idx="3">
                  <c:v>11846.831386306672</c:v>
                </c:pt>
                <c:pt idx="4">
                  <c:v>19505.734781523701</c:v>
                </c:pt>
                <c:pt idx="5">
                  <c:v>-3262.1237162781181</c:v>
                </c:pt>
                <c:pt idx="6">
                  <c:v>-18827.760871326318</c:v>
                </c:pt>
                <c:pt idx="7">
                  <c:v>-35207.61742791289</c:v>
                </c:pt>
                <c:pt idx="8">
                  <c:v>-43918.682867956464</c:v>
                </c:pt>
                <c:pt idx="9">
                  <c:v>-66194.857781133614</c:v>
                </c:pt>
                <c:pt idx="10">
                  <c:v>-103004.15075490542</c:v>
                </c:pt>
                <c:pt idx="11">
                  <c:v>-95115.942005489342</c:v>
                </c:pt>
                <c:pt idx="12">
                  <c:v>-67897.318366102088</c:v>
                </c:pt>
                <c:pt idx="13">
                  <c:v>-76018.345995173731</c:v>
                </c:pt>
                <c:pt idx="14">
                  <c:v>-87624.447077335964</c:v>
                </c:pt>
                <c:pt idx="15">
                  <c:v>-70121.853634313884</c:v>
                </c:pt>
                <c:pt idx="16">
                  <c:v>-37146.459697514249</c:v>
                </c:pt>
                <c:pt idx="17">
                  <c:v>-71233.493517534254</c:v>
                </c:pt>
                <c:pt idx="18">
                  <c:v>-64043.437164817034</c:v>
                </c:pt>
                <c:pt idx="19">
                  <c:v>-38319.405663925048</c:v>
                </c:pt>
                <c:pt idx="20">
                  <c:v>-71920.583263528039</c:v>
                </c:pt>
                <c:pt idx="21">
                  <c:v>-71384.273948020942</c:v>
                </c:pt>
                <c:pt idx="22">
                  <c:v>-28691.419410042785</c:v>
                </c:pt>
                <c:pt idx="23">
                  <c:v>-105507.33987450146</c:v>
                </c:pt>
                <c:pt idx="24">
                  <c:v>-108599.07568405918</c:v>
                </c:pt>
                <c:pt idx="25">
                  <c:v>-90096.930599958403</c:v>
                </c:pt>
                <c:pt idx="26">
                  <c:v>-102952.00596314025</c:v>
                </c:pt>
                <c:pt idx="27">
                  <c:v>-134948.59321520242</c:v>
                </c:pt>
                <c:pt idx="28">
                  <c:v>-147496.24347966062</c:v>
                </c:pt>
                <c:pt idx="29">
                  <c:v>-233655.55560354196</c:v>
                </c:pt>
                <c:pt idx="30">
                  <c:v>-257554.10489435156</c:v>
                </c:pt>
                <c:pt idx="31">
                  <c:v>-280185.27891204756</c:v>
                </c:pt>
                <c:pt idx="32">
                  <c:v>-275615.2626788239</c:v>
                </c:pt>
                <c:pt idx="33">
                  <c:v>-257356.32811887097</c:v>
                </c:pt>
                <c:pt idx="34">
                  <c:v>-256446.25492457178</c:v>
                </c:pt>
                <c:pt idx="35">
                  <c:v>-195922.47074139526</c:v>
                </c:pt>
                <c:pt idx="36">
                  <c:v>-241963.16217108892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7-46DE-8FF1-181CF7C22E84}"/>
            </c:ext>
          </c:extLst>
        </c:ser>
        <c:ser>
          <c:idx val="1"/>
          <c:order val="1"/>
          <c:tx>
            <c:strRef>
              <c:f>'ETF PL - 27Aug start'!$EB$12</c:f>
              <c:strCache>
                <c:ptCount val="1"/>
                <c:pt idx="0">
                  <c:v>Cum HYG vs LQD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PL - 27Aug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- 27Aug start'!$EB$13:$EB$49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-30530.238802306121</c:v>
                </c:pt>
                <c:pt idx="3">
                  <c:v>-43115.041474671918</c:v>
                </c:pt>
                <c:pt idx="4">
                  <c:v>-107032.51145971438</c:v>
                </c:pt>
                <c:pt idx="5">
                  <c:v>-94027.427852411143</c:v>
                </c:pt>
                <c:pt idx="6">
                  <c:v>-148744.22272324335</c:v>
                </c:pt>
                <c:pt idx="7">
                  <c:v>-175584.35039318961</c:v>
                </c:pt>
                <c:pt idx="8">
                  <c:v>-141677.70806370332</c:v>
                </c:pt>
                <c:pt idx="9">
                  <c:v>-188849.67120612477</c:v>
                </c:pt>
                <c:pt idx="10">
                  <c:v>-195473.02691536892</c:v>
                </c:pt>
                <c:pt idx="11">
                  <c:v>-191632.85939128356</c:v>
                </c:pt>
                <c:pt idx="12">
                  <c:v>-228787.21776359912</c:v>
                </c:pt>
                <c:pt idx="13">
                  <c:v>-206043.2224369942</c:v>
                </c:pt>
                <c:pt idx="14">
                  <c:v>-183614.50597945368</c:v>
                </c:pt>
                <c:pt idx="15">
                  <c:v>-188290.25049686321</c:v>
                </c:pt>
                <c:pt idx="16">
                  <c:v>-172193.20613420286</c:v>
                </c:pt>
                <c:pt idx="17">
                  <c:v>-157179.9949753212</c:v>
                </c:pt>
                <c:pt idx="18">
                  <c:v>-101953.45823583848</c:v>
                </c:pt>
                <c:pt idx="19">
                  <c:v>-109065.81084142871</c:v>
                </c:pt>
                <c:pt idx="20">
                  <c:v>-70351.024997899309</c:v>
                </c:pt>
                <c:pt idx="21">
                  <c:v>-110917.6228200288</c:v>
                </c:pt>
                <c:pt idx="22">
                  <c:v>-109375.61135056458</c:v>
                </c:pt>
                <c:pt idx="23">
                  <c:v>-71804.701363775152</c:v>
                </c:pt>
                <c:pt idx="24">
                  <c:v>-79733.430031464857</c:v>
                </c:pt>
                <c:pt idx="25">
                  <c:v>-178595.76685082616</c:v>
                </c:pt>
                <c:pt idx="26">
                  <c:v>-206989.33881053544</c:v>
                </c:pt>
                <c:pt idx="27">
                  <c:v>-240918.32530654731</c:v>
                </c:pt>
                <c:pt idx="28">
                  <c:v>-217326.96242298916</c:v>
                </c:pt>
                <c:pt idx="29">
                  <c:v>-249586.61131927185</c:v>
                </c:pt>
                <c:pt idx="30">
                  <c:v>-249970.58341199742</c:v>
                </c:pt>
                <c:pt idx="31">
                  <c:v>-284309.00473168568</c:v>
                </c:pt>
                <c:pt idx="32">
                  <c:v>-372122.47708559188</c:v>
                </c:pt>
                <c:pt idx="33">
                  <c:v>-263076.80281731905</c:v>
                </c:pt>
                <c:pt idx="34">
                  <c:v>-332528.68107674824</c:v>
                </c:pt>
                <c:pt idx="35">
                  <c:v>-254347.1597787569</c:v>
                </c:pt>
                <c:pt idx="36">
                  <c:v>-368961.18726751587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47-46DE-8FF1-181CF7C22E84}"/>
            </c:ext>
          </c:extLst>
        </c:ser>
        <c:ser>
          <c:idx val="2"/>
          <c:order val="2"/>
          <c:tx>
            <c:strRef>
              <c:f>'ETF PL - 27Aug start'!$EC$12</c:f>
              <c:strCache>
                <c:ptCount val="1"/>
                <c:pt idx="0">
                  <c:v>Cum HY vs IG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'ETF PL - 27Aug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- 27Aug start'!$EC$13:$EC$49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-195.92484525413835</c:v>
                </c:pt>
                <c:pt idx="3">
                  <c:v>-195.92484525413198</c:v>
                </c:pt>
                <c:pt idx="4">
                  <c:v>16933.504482992885</c:v>
                </c:pt>
                <c:pt idx="5">
                  <c:v>-55306.784889850504</c:v>
                </c:pt>
                <c:pt idx="6">
                  <c:v>-135328.08954578865</c:v>
                </c:pt>
                <c:pt idx="7">
                  <c:v>-149098.80724103883</c:v>
                </c:pt>
                <c:pt idx="8">
                  <c:v>-197184.3621199817</c:v>
                </c:pt>
                <c:pt idx="9">
                  <c:v>-268389.04873932002</c:v>
                </c:pt>
                <c:pt idx="10">
                  <c:v>-282803.51949756569</c:v>
                </c:pt>
                <c:pt idx="11">
                  <c:v>-245689.75595305266</c:v>
                </c:pt>
                <c:pt idx="12">
                  <c:v>-264330.60551614041</c:v>
                </c:pt>
                <c:pt idx="13">
                  <c:v>-256913.45065994802</c:v>
                </c:pt>
                <c:pt idx="14">
                  <c:v>-188871.55082833426</c:v>
                </c:pt>
                <c:pt idx="15">
                  <c:v>-168243.46354907964</c:v>
                </c:pt>
                <c:pt idx="16">
                  <c:v>-161693.97586474096</c:v>
                </c:pt>
                <c:pt idx="17">
                  <c:v>-156096.12314309928</c:v>
                </c:pt>
                <c:pt idx="18">
                  <c:v>-77334.335349536355</c:v>
                </c:pt>
                <c:pt idx="19">
                  <c:v>-121333.45774168373</c:v>
                </c:pt>
                <c:pt idx="20">
                  <c:v>-71456.58999181079</c:v>
                </c:pt>
                <c:pt idx="21">
                  <c:v>-55950.537952845072</c:v>
                </c:pt>
                <c:pt idx="22">
                  <c:v>-33167.277375742749</c:v>
                </c:pt>
                <c:pt idx="23">
                  <c:v>2882.8941516549312</c:v>
                </c:pt>
                <c:pt idx="24">
                  <c:v>8172.8649736058551</c:v>
                </c:pt>
                <c:pt idx="25">
                  <c:v>-19648.463052966072</c:v>
                </c:pt>
                <c:pt idx="26">
                  <c:v>-72184.310845625412</c:v>
                </c:pt>
                <c:pt idx="27">
                  <c:v>-103308.37197797491</c:v>
                </c:pt>
                <c:pt idx="28">
                  <c:v>-71624.525573457009</c:v>
                </c:pt>
                <c:pt idx="29">
                  <c:v>-49680.942904604497</c:v>
                </c:pt>
                <c:pt idx="30">
                  <c:v>-56342.38764336794</c:v>
                </c:pt>
                <c:pt idx="31">
                  <c:v>-141373.77048517554</c:v>
                </c:pt>
                <c:pt idx="32">
                  <c:v>-192006.34835245344</c:v>
                </c:pt>
                <c:pt idx="33">
                  <c:v>-192006.34835245344</c:v>
                </c:pt>
                <c:pt idx="34">
                  <c:v>-222654.59200347745</c:v>
                </c:pt>
                <c:pt idx="35">
                  <c:v>-137175.38094392774</c:v>
                </c:pt>
                <c:pt idx="36">
                  <c:v>-197156.37285637675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47-46DE-8FF1-181CF7C22E84}"/>
            </c:ext>
          </c:extLst>
        </c:ser>
        <c:ser>
          <c:idx val="3"/>
          <c:order val="3"/>
          <c:tx>
            <c:strRef>
              <c:f>'ETF PL - 27Aug start'!$ED$12</c:f>
              <c:strCache>
                <c:ptCount val="1"/>
                <c:pt idx="0">
                  <c:v>Cum Main vs Xover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'ETF PL - 27Aug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- 27Aug start'!$ED$13:$ED$49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8411.2279624500752</c:v>
                </c:pt>
                <c:pt idx="3">
                  <c:v>9034.9807790776122</c:v>
                </c:pt>
                <c:pt idx="4">
                  <c:v>29451.243176464079</c:v>
                </c:pt>
                <c:pt idx="5">
                  <c:v>6116.5170036907366</c:v>
                </c:pt>
                <c:pt idx="6">
                  <c:v>-54414.339871914795</c:v>
                </c:pt>
                <c:pt idx="7">
                  <c:v>-57725.354164011056</c:v>
                </c:pt>
                <c:pt idx="8">
                  <c:v>-92777.042418999132</c:v>
                </c:pt>
                <c:pt idx="9">
                  <c:v>-140369.5727601797</c:v>
                </c:pt>
                <c:pt idx="10">
                  <c:v>-155828.96518196218</c:v>
                </c:pt>
                <c:pt idx="11">
                  <c:v>-165533.57568480214</c:v>
                </c:pt>
                <c:pt idx="12">
                  <c:v>-170923.07355070932</c:v>
                </c:pt>
                <c:pt idx="13">
                  <c:v>-160475.60339309447</c:v>
                </c:pt>
                <c:pt idx="14">
                  <c:v>-177675.37523912443</c:v>
                </c:pt>
                <c:pt idx="15">
                  <c:v>-163612.19887787721</c:v>
                </c:pt>
                <c:pt idx="16">
                  <c:v>-138996.12203280843</c:v>
                </c:pt>
                <c:pt idx="17">
                  <c:v>-156481.0231846915</c:v>
                </c:pt>
                <c:pt idx="18">
                  <c:v>-103268.83140010989</c:v>
                </c:pt>
                <c:pt idx="19">
                  <c:v>-56764.795600852849</c:v>
                </c:pt>
                <c:pt idx="20">
                  <c:v>-51642.68219935969</c:v>
                </c:pt>
                <c:pt idx="21">
                  <c:v>-16967.617383886267</c:v>
                </c:pt>
                <c:pt idx="22">
                  <c:v>6709.7140689631306</c:v>
                </c:pt>
                <c:pt idx="23">
                  <c:v>-1616.1655341739006</c:v>
                </c:pt>
                <c:pt idx="24">
                  <c:v>74623.117464771523</c:v>
                </c:pt>
                <c:pt idx="25">
                  <c:v>40354.539358552924</c:v>
                </c:pt>
                <c:pt idx="26">
                  <c:v>60806.637679626845</c:v>
                </c:pt>
                <c:pt idx="27">
                  <c:v>48648.824487908445</c:v>
                </c:pt>
                <c:pt idx="28">
                  <c:v>84623.157937518961</c:v>
                </c:pt>
                <c:pt idx="29">
                  <c:v>54893.277470362882</c:v>
                </c:pt>
                <c:pt idx="30">
                  <c:v>-8115.7114323381611</c:v>
                </c:pt>
                <c:pt idx="31">
                  <c:v>-76399.592493310483</c:v>
                </c:pt>
                <c:pt idx="32">
                  <c:v>-86468.794567566991</c:v>
                </c:pt>
                <c:pt idx="33">
                  <c:v>-66277.848376353766</c:v>
                </c:pt>
                <c:pt idx="34">
                  <c:v>-116287.74548272687</c:v>
                </c:pt>
                <c:pt idx="35">
                  <c:v>-73700.731950754795</c:v>
                </c:pt>
                <c:pt idx="36">
                  <c:v>-140572.2101933927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47-46DE-8FF1-181CF7C22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39535"/>
        <c:axId val="206338095"/>
      </c:lineChart>
      <c:dateAx>
        <c:axId val="206339535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8095"/>
        <c:crosses val="autoZero"/>
        <c:auto val="1"/>
        <c:lblOffset val="100"/>
        <c:baseTimeUnit val="days"/>
      </c:dateAx>
      <c:valAx>
        <c:axId val="20633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PL -25M fixed not''l for all'!$EA$12</c:f>
              <c:strCache>
                <c:ptCount val="1"/>
                <c:pt idx="0">
                  <c:v>Cum IHYG vs IEAC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PL -25M fixed not''l for all'!$DZ$13:$DZ$49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-25M fixed not''l for all'!$EA$13:$EA$49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13512.892348963767</c:v>
                </c:pt>
                <c:pt idx="3">
                  <c:v>11846.831386306672</c:v>
                </c:pt>
                <c:pt idx="4">
                  <c:v>19505.734781523701</c:v>
                </c:pt>
                <c:pt idx="5">
                  <c:v>-3262.1237162781181</c:v>
                </c:pt>
                <c:pt idx="6">
                  <c:v>-18827.760871326318</c:v>
                </c:pt>
                <c:pt idx="7">
                  <c:v>-35207.61742791289</c:v>
                </c:pt>
                <c:pt idx="8">
                  <c:v>-43918.682867956464</c:v>
                </c:pt>
                <c:pt idx="9">
                  <c:v>-66194.857781133614</c:v>
                </c:pt>
                <c:pt idx="10">
                  <c:v>-103004.15075490542</c:v>
                </c:pt>
                <c:pt idx="11">
                  <c:v>-95115.942005489342</c:v>
                </c:pt>
                <c:pt idx="12">
                  <c:v>-67897.318366102088</c:v>
                </c:pt>
                <c:pt idx="13">
                  <c:v>-76018.345995173731</c:v>
                </c:pt>
                <c:pt idx="14">
                  <c:v>-87624.447077335964</c:v>
                </c:pt>
                <c:pt idx="15">
                  <c:v>-70121.853634313884</c:v>
                </c:pt>
                <c:pt idx="16">
                  <c:v>-37146.459697514249</c:v>
                </c:pt>
                <c:pt idx="17">
                  <c:v>-71233.493517534254</c:v>
                </c:pt>
                <c:pt idx="18">
                  <c:v>-64043.437164817034</c:v>
                </c:pt>
                <c:pt idx="19">
                  <c:v>-38319.405663925048</c:v>
                </c:pt>
                <c:pt idx="20">
                  <c:v>-71920.583263528039</c:v>
                </c:pt>
                <c:pt idx="21">
                  <c:v>-71384.273948020942</c:v>
                </c:pt>
                <c:pt idx="22">
                  <c:v>-28691.419410042785</c:v>
                </c:pt>
                <c:pt idx="23">
                  <c:v>-105507.33987450146</c:v>
                </c:pt>
                <c:pt idx="24">
                  <c:v>-108599.07568405918</c:v>
                </c:pt>
                <c:pt idx="25">
                  <c:v>-90096.930599958403</c:v>
                </c:pt>
                <c:pt idx="26">
                  <c:v>-102952.00596314025</c:v>
                </c:pt>
                <c:pt idx="27">
                  <c:v>-134948.59321520242</c:v>
                </c:pt>
                <c:pt idx="28">
                  <c:v>-147496.24347966062</c:v>
                </c:pt>
                <c:pt idx="29">
                  <c:v>-233655.55560354196</c:v>
                </c:pt>
                <c:pt idx="30">
                  <c:v>-257554.10489435156</c:v>
                </c:pt>
                <c:pt idx="31">
                  <c:v>-280185.27891204756</c:v>
                </c:pt>
                <c:pt idx="32">
                  <c:v>-275615.2626788239</c:v>
                </c:pt>
                <c:pt idx="33">
                  <c:v>-257356.32811887097</c:v>
                </c:pt>
                <c:pt idx="34">
                  <c:v>-256446.25492457178</c:v>
                </c:pt>
                <c:pt idx="35">
                  <c:v>-195922.47074139526</c:v>
                </c:pt>
                <c:pt idx="36">
                  <c:v>-241963.16217108892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0D-4764-8748-775F5B724A26}"/>
            </c:ext>
          </c:extLst>
        </c:ser>
        <c:ser>
          <c:idx val="1"/>
          <c:order val="1"/>
          <c:tx>
            <c:strRef>
              <c:f>'ETF PL -25M fixed not''l for all'!$EB$12</c:f>
              <c:strCache>
                <c:ptCount val="1"/>
                <c:pt idx="0">
                  <c:v>Cum HYG vs LQD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PL -25M fixed not''l for all'!$DZ$13:$DZ$49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-25M fixed not''l for all'!$EB$13:$EB$49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-23185.52741355899</c:v>
                </c:pt>
                <c:pt idx="3">
                  <c:v>-32742.782738149766</c:v>
                </c:pt>
                <c:pt idx="4">
                  <c:v>-81283.518437590013</c:v>
                </c:pt>
                <c:pt idx="5">
                  <c:v>-71407.089876213024</c:v>
                </c:pt>
                <c:pt idx="6">
                  <c:v>-112960.57249633376</c:v>
                </c:pt>
                <c:pt idx="7">
                  <c:v>-133343.72507842089</c:v>
                </c:pt>
                <c:pt idx="8">
                  <c:v>-107594.0612673189</c:v>
                </c:pt>
                <c:pt idx="9">
                  <c:v>-143417.7851389905</c:v>
                </c:pt>
                <c:pt idx="10">
                  <c:v>-148447.74891886205</c:v>
                </c:pt>
                <c:pt idx="11">
                  <c:v>-145531.41701661673</c:v>
                </c:pt>
                <c:pt idx="12">
                  <c:v>-173747.48830753125</c:v>
                </c:pt>
                <c:pt idx="13">
                  <c:v>-156475.05455575118</c:v>
                </c:pt>
                <c:pt idx="14">
                  <c:v>-139442.05250016396</c:v>
                </c:pt>
                <c:pt idx="15">
                  <c:v>-142992.94521964737</c:v>
                </c:pt>
                <c:pt idx="16">
                  <c:v>-130768.39415195168</c:v>
                </c:pt>
                <c:pt idx="17">
                  <c:v>-119366.93669386239</c:v>
                </c:pt>
                <c:pt idx="18">
                  <c:v>-77426.341671969552</c:v>
                </c:pt>
                <c:pt idx="19">
                  <c:v>-82827.663534520863</c:v>
                </c:pt>
                <c:pt idx="20">
                  <c:v>-53426.559458734475</c:v>
                </c:pt>
                <c:pt idx="21">
                  <c:v>-84233.981961068712</c:v>
                </c:pt>
                <c:pt idx="22">
                  <c:v>-83062.934809135419</c:v>
                </c:pt>
                <c:pt idx="23">
                  <c:v>-54530.522432941856</c:v>
                </c:pt>
                <c:pt idx="24">
                  <c:v>-60551.823382134127</c:v>
                </c:pt>
                <c:pt idx="25">
                  <c:v>-135630.67996548518</c:v>
                </c:pt>
                <c:pt idx="26">
                  <c:v>-157193.56210681243</c:v>
                </c:pt>
                <c:pt idx="27">
                  <c:v>-182960.19471035869</c:v>
                </c:pt>
                <c:pt idx="28">
                  <c:v>-165044.2460536244</c:v>
                </c:pt>
                <c:pt idx="29">
                  <c:v>-189543.13643832901</c:v>
                </c:pt>
                <c:pt idx="30">
                  <c:v>-189834.73571272619</c:v>
                </c:pt>
                <c:pt idx="31">
                  <c:v>-215912.30470920037</c:v>
                </c:pt>
                <c:pt idx="32">
                  <c:v>-282600.34091242542</c:v>
                </c:pt>
                <c:pt idx="33">
                  <c:v>-199787.96966146474</c:v>
                </c:pt>
                <c:pt idx="34">
                  <c:v>-252531.69163934578</c:v>
                </c:pt>
                <c:pt idx="35">
                  <c:v>-193158.43167154634</c:v>
                </c:pt>
                <c:pt idx="36">
                  <c:v>-280199.56795372616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0D-4764-8748-775F5B724A26}"/>
            </c:ext>
          </c:extLst>
        </c:ser>
        <c:ser>
          <c:idx val="2"/>
          <c:order val="2"/>
          <c:tx>
            <c:strRef>
              <c:f>'ETF PL -25M fixed not''l for all'!$EC$12</c:f>
              <c:strCache>
                <c:ptCount val="1"/>
                <c:pt idx="0">
                  <c:v>Cum HY vs IG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'ETF PL -25M fixed not''l for all'!$DZ$13:$DZ$49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-25M fixed not''l for all'!$EC$13:$EC$49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-43.749999999229658</c:v>
                </c:pt>
                <c:pt idx="3">
                  <c:v>-43.749999999229658</c:v>
                </c:pt>
                <c:pt idx="4">
                  <c:v>3781.2500000028258</c:v>
                </c:pt>
                <c:pt idx="5">
                  <c:v>-12349.999999996526</c:v>
                </c:pt>
                <c:pt idx="6">
                  <c:v>-30218.749999997293</c:v>
                </c:pt>
                <c:pt idx="7">
                  <c:v>-33293.749999997322</c:v>
                </c:pt>
                <c:pt idx="8">
                  <c:v>-44031.249999997468</c:v>
                </c:pt>
                <c:pt idx="9">
                  <c:v>-59931.249999996704</c:v>
                </c:pt>
                <c:pt idx="10">
                  <c:v>-63149.999999998123</c:v>
                </c:pt>
                <c:pt idx="11">
                  <c:v>-54862.499999998639</c:v>
                </c:pt>
                <c:pt idx="12">
                  <c:v>-59024.999999999833</c:v>
                </c:pt>
                <c:pt idx="13">
                  <c:v>-57368.749999997402</c:v>
                </c:pt>
                <c:pt idx="14">
                  <c:v>-42174.999999996908</c:v>
                </c:pt>
                <c:pt idx="15">
                  <c:v>-37568.749999999614</c:v>
                </c:pt>
                <c:pt idx="16">
                  <c:v>-36106.249999996806</c:v>
                </c:pt>
                <c:pt idx="17">
                  <c:v>-34856.249999997912</c:v>
                </c:pt>
                <c:pt idx="18">
                  <c:v>-17268.749999998232</c:v>
                </c:pt>
                <c:pt idx="19">
                  <c:v>-27093.749999999731</c:v>
                </c:pt>
                <c:pt idx="20">
                  <c:v>-15956.249999998843</c:v>
                </c:pt>
                <c:pt idx="21">
                  <c:v>-12493.749999997708</c:v>
                </c:pt>
                <c:pt idx="22">
                  <c:v>-7406.2499999973297</c:v>
                </c:pt>
                <c:pt idx="23">
                  <c:v>643.75000000153523</c:v>
                </c:pt>
                <c:pt idx="24">
                  <c:v>1825.0000000004438</c:v>
                </c:pt>
                <c:pt idx="25">
                  <c:v>-4387.4999999971988</c:v>
                </c:pt>
                <c:pt idx="26">
                  <c:v>-16118.749999999003</c:v>
                </c:pt>
                <c:pt idx="27">
                  <c:v>-23068.749999998072</c:v>
                </c:pt>
                <c:pt idx="28">
                  <c:v>-15993.749999998188</c:v>
                </c:pt>
                <c:pt idx="29">
                  <c:v>-11093.749999998421</c:v>
                </c:pt>
                <c:pt idx="30">
                  <c:v>-12581.249999999411</c:v>
                </c:pt>
                <c:pt idx="31">
                  <c:v>-31568.749999999251</c:v>
                </c:pt>
                <c:pt idx="32">
                  <c:v>-42874.999999996267</c:v>
                </c:pt>
                <c:pt idx="33">
                  <c:v>-42874.999999996267</c:v>
                </c:pt>
                <c:pt idx="34">
                  <c:v>-49718.749999998581</c:v>
                </c:pt>
                <c:pt idx="35">
                  <c:v>-30631.249999996384</c:v>
                </c:pt>
                <c:pt idx="36">
                  <c:v>-44024.999999998261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0D-4764-8748-775F5B724A26}"/>
            </c:ext>
          </c:extLst>
        </c:ser>
        <c:ser>
          <c:idx val="3"/>
          <c:order val="3"/>
          <c:tx>
            <c:strRef>
              <c:f>'ETF PL -25M fixed not''l for all'!$ED$12</c:f>
              <c:strCache>
                <c:ptCount val="1"/>
                <c:pt idx="0">
                  <c:v>Cum Main vs Xover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'ETF PL -25M fixed not''l for all'!$DZ$13:$DZ$49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-25M fixed not''l for all'!$ED$13:$ED$49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2699.2222222228302</c:v>
                </c:pt>
                <c:pt idx="3">
                  <c:v>2899.3888888892543</c:v>
                </c:pt>
                <c:pt idx="4">
                  <c:v>9451.111111111124</c:v>
                </c:pt>
                <c:pt idx="5">
                  <c:v>1962.8333333337505</c:v>
                </c:pt>
                <c:pt idx="6">
                  <c:v>-17461.944444444176</c:v>
                </c:pt>
                <c:pt idx="7">
                  <c:v>-18524.47222222187</c:v>
                </c:pt>
                <c:pt idx="8">
                  <c:v>-29772.805555555082</c:v>
                </c:pt>
                <c:pt idx="9">
                  <c:v>-45045.58333333271</c:v>
                </c:pt>
                <c:pt idx="10">
                  <c:v>-50006.61111111076</c:v>
                </c:pt>
                <c:pt idx="11">
                  <c:v>-53120.88888888873</c:v>
                </c:pt>
                <c:pt idx="12">
                  <c:v>-54850.41666666657</c:v>
                </c:pt>
                <c:pt idx="13">
                  <c:v>-51497.749999999534</c:v>
                </c:pt>
                <c:pt idx="14">
                  <c:v>-57017.277777777635</c:v>
                </c:pt>
                <c:pt idx="15">
                  <c:v>-52504.305555555242</c:v>
                </c:pt>
                <c:pt idx="16">
                  <c:v>-44604.833333332819</c:v>
                </c:pt>
                <c:pt idx="17">
                  <c:v>-50215.861111111022</c:v>
                </c:pt>
                <c:pt idx="18">
                  <c:v>-33139.694444444132</c:v>
                </c:pt>
                <c:pt idx="19">
                  <c:v>-18216.222222222103</c:v>
                </c:pt>
                <c:pt idx="20">
                  <c:v>-16572.499999999971</c:v>
                </c:pt>
                <c:pt idx="21">
                  <c:v>-5445.0277777775482</c:v>
                </c:pt>
                <c:pt idx="22">
                  <c:v>2153.1944444448163</c:v>
                </c:pt>
                <c:pt idx="23">
                  <c:v>-518.6388888884976</c:v>
                </c:pt>
                <c:pt idx="24">
                  <c:v>23947.083333333489</c:v>
                </c:pt>
                <c:pt idx="25">
                  <c:v>12950.055555555649</c:v>
                </c:pt>
                <c:pt idx="26">
                  <c:v>19513.277777778014</c:v>
                </c:pt>
                <c:pt idx="27">
                  <c:v>15611.750000000087</c:v>
                </c:pt>
                <c:pt idx="28">
                  <c:v>27156.166666666948</c:v>
                </c:pt>
                <c:pt idx="29">
                  <c:v>17615.638888889167</c:v>
                </c:pt>
                <c:pt idx="30">
                  <c:v>-2604.3888888887013</c:v>
                </c:pt>
                <c:pt idx="31">
                  <c:v>-24517.166666666337</c:v>
                </c:pt>
                <c:pt idx="32">
                  <c:v>-27748.444444443769</c:v>
                </c:pt>
                <c:pt idx="33">
                  <c:v>-21269.027777777548</c:v>
                </c:pt>
                <c:pt idx="34">
                  <c:v>-37317.555555555155</c:v>
                </c:pt>
                <c:pt idx="35">
                  <c:v>-23651.083333332848</c:v>
                </c:pt>
                <c:pt idx="36">
                  <c:v>-45110.611111110775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0D-4764-8748-775F5B724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39535"/>
        <c:axId val="206338095"/>
      </c:lineChart>
      <c:dateAx>
        <c:axId val="206339535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8095"/>
        <c:crosses val="autoZero"/>
        <c:auto val="1"/>
        <c:lblOffset val="100"/>
        <c:baseTimeUnit val="days"/>
      </c:dateAx>
      <c:valAx>
        <c:axId val="20633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Compression P/L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PL - CT fix'!$ED$1:$ED$12</c:f>
              <c:strCache>
                <c:ptCount val="12"/>
                <c:pt idx="11">
                  <c:v> Cum IHYG(EUR 21M) vs IEAC(EUR 36.1M)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PL - CT fix'!$DZ$13:$DZ$140</c:f>
              <c:numCache>
                <c:formatCode>[$-409]d\-mmm\-yy;@</c:formatCode>
                <c:ptCount val="12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</c:numCache>
            </c:numRef>
          </c:cat>
          <c:val>
            <c:numRef>
              <c:f>'ETF PL - CT fix'!$ED$13:$ED$140</c:f>
              <c:numCache>
                <c:formatCode>_("$"* #,##0_);_("$"* \(#,##0\);_("$"* "-"??_);_(@_)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27277.558318473166</c:v>
                </c:pt>
                <c:pt idx="3">
                  <c:v>6073.3778821729356</c:v>
                </c:pt>
                <c:pt idx="4">
                  <c:v>42652.463168485672</c:v>
                </c:pt>
                <c:pt idx="5">
                  <c:v>36916.097927017952</c:v>
                </c:pt>
                <c:pt idx="6">
                  <c:v>33001.09639484447</c:v>
                </c:pt>
                <c:pt idx="7">
                  <c:v>59848.654713314958</c:v>
                </c:pt>
                <c:pt idx="8">
                  <c:v>61267.721338755568</c:v>
                </c:pt>
                <c:pt idx="9">
                  <c:v>82967.464979955112</c:v>
                </c:pt>
                <c:pt idx="10">
                  <c:v>76851.364415355027</c:v>
                </c:pt>
                <c:pt idx="11">
                  <c:v>91033.251986400457</c:v>
                </c:pt>
                <c:pt idx="12">
                  <c:v>101188.17125036253</c:v>
                </c:pt>
                <c:pt idx="13">
                  <c:v>100547.94912063843</c:v>
                </c:pt>
                <c:pt idx="14">
                  <c:v>4111.5491325343028</c:v>
                </c:pt>
                <c:pt idx="15">
                  <c:v>113262.67438807467</c:v>
                </c:pt>
                <c:pt idx="16">
                  <c:v>92238.641613799846</c:v>
                </c:pt>
                <c:pt idx="17">
                  <c:v>58860.801776864566</c:v>
                </c:pt>
                <c:pt idx="18">
                  <c:v>59452.335271826596</c:v>
                </c:pt>
                <c:pt idx="19">
                  <c:v>118752.87597517157</c:v>
                </c:pt>
                <c:pt idx="20">
                  <c:v>61124.219141836045</c:v>
                </c:pt>
                <c:pt idx="21">
                  <c:v>91403.750996113988</c:v>
                </c:pt>
                <c:pt idx="22">
                  <c:v>130856.97827105701</c:v>
                </c:pt>
                <c:pt idx="23">
                  <c:v>99518.544204136473</c:v>
                </c:pt>
                <c:pt idx="24">
                  <c:v>113031.43655310024</c:v>
                </c:pt>
                <c:pt idx="25">
                  <c:v>111365.37559044315</c:v>
                </c:pt>
                <c:pt idx="26">
                  <c:v>119024.27898566017</c:v>
                </c:pt>
                <c:pt idx="27">
                  <c:v>96256.420487858355</c:v>
                </c:pt>
                <c:pt idx="28">
                  <c:v>80690.783332810155</c:v>
                </c:pt>
                <c:pt idx="29">
                  <c:v>64310.926776223583</c:v>
                </c:pt>
                <c:pt idx="30">
                  <c:v>55599.861336180009</c:v>
                </c:pt>
                <c:pt idx="31">
                  <c:v>33323.686423002859</c:v>
                </c:pt>
                <c:pt idx="32">
                  <c:v>-3485.6065507689491</c:v>
                </c:pt>
                <c:pt idx="33">
                  <c:v>4402.6021986471314</c:v>
                </c:pt>
                <c:pt idx="34">
                  <c:v>31621.225838034385</c:v>
                </c:pt>
                <c:pt idx="35">
                  <c:v>23500.198208962742</c:v>
                </c:pt>
                <c:pt idx="36">
                  <c:v>11894.097126800509</c:v>
                </c:pt>
                <c:pt idx="37">
                  <c:v>29396.690569822589</c:v>
                </c:pt>
                <c:pt idx="38">
                  <c:v>62372.084506622225</c:v>
                </c:pt>
                <c:pt idx="39">
                  <c:v>28285.050686602219</c:v>
                </c:pt>
                <c:pt idx="40">
                  <c:v>35475.107039319439</c:v>
                </c:pt>
                <c:pt idx="41">
                  <c:v>61199.138540211425</c:v>
                </c:pt>
                <c:pt idx="42">
                  <c:v>27597.960940608435</c:v>
                </c:pt>
                <c:pt idx="43">
                  <c:v>28134.270256115531</c:v>
                </c:pt>
                <c:pt idx="44">
                  <c:v>70827.124794093688</c:v>
                </c:pt>
                <c:pt idx="45">
                  <c:v>-5988.7956703649834</c:v>
                </c:pt>
                <c:pt idx="46">
                  <c:v>-9080.5314799227053</c:v>
                </c:pt>
                <c:pt idx="47">
                  <c:v>9421.6136041780701</c:v>
                </c:pt>
                <c:pt idx="48">
                  <c:v>-3433.4617590037815</c:v>
                </c:pt>
                <c:pt idx="49">
                  <c:v>-35430.049011065945</c:v>
                </c:pt>
                <c:pt idx="50">
                  <c:v>-47977.699275524152</c:v>
                </c:pt>
                <c:pt idx="51">
                  <c:v>-134137.01139940548</c:v>
                </c:pt>
                <c:pt idx="52">
                  <c:v>-158035.56069021509</c:v>
                </c:pt>
                <c:pt idx="53">
                  <c:v>-180666.73470791109</c:v>
                </c:pt>
                <c:pt idx="54">
                  <c:v>-176096.71847468743</c:v>
                </c:pt>
                <c:pt idx="55">
                  <c:v>-157837.78391473449</c:v>
                </c:pt>
                <c:pt idx="56">
                  <c:v>-156927.71072043531</c:v>
                </c:pt>
                <c:pt idx="57">
                  <c:v>-96403.926537258783</c:v>
                </c:pt>
                <c:pt idx="58">
                  <c:v>-142444.61796695244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D8-4BF2-AF3B-3F5DE51E7B3D}"/>
            </c:ext>
          </c:extLst>
        </c:ser>
        <c:ser>
          <c:idx val="1"/>
          <c:order val="1"/>
          <c:tx>
            <c:strRef>
              <c:f>'ETF PL - CT fix'!$EB$1:$EB$12</c:f>
              <c:strCache>
                <c:ptCount val="12"/>
                <c:pt idx="11">
                  <c:v> Cum HYG($25M) vs LQD($25.7M)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PL - CT fix'!$DZ$13:$DZ$140</c:f>
              <c:numCache>
                <c:formatCode>[$-409]d\-mmm\-yy;@</c:formatCode>
                <c:ptCount val="12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</c:numCache>
            </c:numRef>
          </c:cat>
          <c:val>
            <c:numRef>
              <c:f>'ETF PL - CT fix'!$EB$13:$EB$140</c:f>
              <c:numCache>
                <c:formatCode>_("$"* #,##0_);_("$"* \(#,##0\);_("$"* "-"??_);_(@_)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-12319.799528889584</c:v>
                </c:pt>
                <c:pt idx="3">
                  <c:v>5330.5666168021307</c:v>
                </c:pt>
                <c:pt idx="4">
                  <c:v>-125349.53762423726</c:v>
                </c:pt>
                <c:pt idx="5">
                  <c:v>-61762.562089711471</c:v>
                </c:pt>
                <c:pt idx="6">
                  <c:v>-69391.435378523238</c:v>
                </c:pt>
                <c:pt idx="7">
                  <c:v>-89366.737676977966</c:v>
                </c:pt>
                <c:pt idx="8">
                  <c:v>-102314.7637833706</c:v>
                </c:pt>
                <c:pt idx="9">
                  <c:v>-64317.934977315905</c:v>
                </c:pt>
                <c:pt idx="10">
                  <c:v>-95457.27859064244</c:v>
                </c:pt>
                <c:pt idx="11">
                  <c:v>-105621.76408314507</c:v>
                </c:pt>
                <c:pt idx="12">
                  <c:v>-98466.15527420021</c:v>
                </c:pt>
                <c:pt idx="13">
                  <c:v>-148556.09518536233</c:v>
                </c:pt>
                <c:pt idx="14">
                  <c:v>-157056.10034924228</c:v>
                </c:pt>
                <c:pt idx="15">
                  <c:v>-155575.31139300234</c:v>
                </c:pt>
                <c:pt idx="16">
                  <c:v>-146960.21590141801</c:v>
                </c:pt>
                <c:pt idx="17">
                  <c:v>-150667.17904745607</c:v>
                </c:pt>
                <c:pt idx="18">
                  <c:v>-146539.53736395919</c:v>
                </c:pt>
                <c:pt idx="19">
                  <c:v>-78111.155470986327</c:v>
                </c:pt>
                <c:pt idx="20">
                  <c:v>-82522.44331474998</c:v>
                </c:pt>
                <c:pt idx="21">
                  <c:v>-44776.943656743104</c:v>
                </c:pt>
                <c:pt idx="22">
                  <c:v>-27150.618402696709</c:v>
                </c:pt>
                <c:pt idx="23">
                  <c:v>2313.8393536052718</c:v>
                </c:pt>
                <c:pt idx="24">
                  <c:v>-15925.880178895757</c:v>
                </c:pt>
                <c:pt idx="25">
                  <c:v>-24080.798821938948</c:v>
                </c:pt>
                <c:pt idx="26">
                  <c:v>-72313.668589468041</c:v>
                </c:pt>
                <c:pt idx="27">
                  <c:v>-65038.952426897347</c:v>
                </c:pt>
                <c:pt idx="28">
                  <c:v>-107699.11282378605</c:v>
                </c:pt>
                <c:pt idx="29">
                  <c:v>-132607.84038745394</c:v>
                </c:pt>
                <c:pt idx="30">
                  <c:v>-115021.70330100521</c:v>
                </c:pt>
                <c:pt idx="31">
                  <c:v>-146295.91013176204</c:v>
                </c:pt>
                <c:pt idx="32">
                  <c:v>-152404.02144032135</c:v>
                </c:pt>
                <c:pt idx="33">
                  <c:v>-154483.84937106221</c:v>
                </c:pt>
                <c:pt idx="34">
                  <c:v>-179107.00921722405</c:v>
                </c:pt>
                <c:pt idx="35">
                  <c:v>-163264.50965514057</c:v>
                </c:pt>
                <c:pt idx="36">
                  <c:v>-146050.20867839461</c:v>
                </c:pt>
                <c:pt idx="37">
                  <c:v>-148017.11852455648</c:v>
                </c:pt>
                <c:pt idx="38">
                  <c:v>-132213.39897019864</c:v>
                </c:pt>
                <c:pt idx="39">
                  <c:v>-121315.15630386712</c:v>
                </c:pt>
                <c:pt idx="40">
                  <c:v>-77622.934359002102</c:v>
                </c:pt>
                <c:pt idx="41">
                  <c:v>-84573.395979275199</c:v>
                </c:pt>
                <c:pt idx="42">
                  <c:v>-54980.301413514171</c:v>
                </c:pt>
                <c:pt idx="43">
                  <c:v>-86707.335671462119</c:v>
                </c:pt>
                <c:pt idx="44">
                  <c:v>-85257.923185039515</c:v>
                </c:pt>
                <c:pt idx="45">
                  <c:v>-59365.764185005886</c:v>
                </c:pt>
                <c:pt idx="46">
                  <c:v>-67462.573225558721</c:v>
                </c:pt>
                <c:pt idx="47">
                  <c:v>-141568.25799907392</c:v>
                </c:pt>
                <c:pt idx="48">
                  <c:v>-165656.92280670436</c:v>
                </c:pt>
                <c:pt idx="49">
                  <c:v>-191333.34702523018</c:v>
                </c:pt>
                <c:pt idx="50">
                  <c:v>-171474.87630102879</c:v>
                </c:pt>
                <c:pt idx="51">
                  <c:v>-197528.63260298429</c:v>
                </c:pt>
                <c:pt idx="52">
                  <c:v>-198626.94777530048</c:v>
                </c:pt>
                <c:pt idx="53">
                  <c:v>-224398.10897542906</c:v>
                </c:pt>
                <c:pt idx="54">
                  <c:v>-295971.06931398361</c:v>
                </c:pt>
                <c:pt idx="55">
                  <c:v>-213141.42349315973</c:v>
                </c:pt>
                <c:pt idx="56">
                  <c:v>-265505.01496358984</c:v>
                </c:pt>
                <c:pt idx="57">
                  <c:v>-205582.55791178712</c:v>
                </c:pt>
                <c:pt idx="58">
                  <c:v>-293898.93072370737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D8-4BF2-AF3B-3F5DE51E7B3D}"/>
            </c:ext>
          </c:extLst>
        </c:ser>
        <c:ser>
          <c:idx val="2"/>
          <c:order val="2"/>
          <c:tx>
            <c:strRef>
              <c:f>'ETF PL - CT fix'!$EA$1:$EA$12</c:f>
              <c:strCache>
                <c:ptCount val="12"/>
                <c:pt idx="11">
                  <c:v> Cum HY($25M) vs IG($125M)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'ETF PL - CT fix'!$DZ$13:$DZ$140</c:f>
              <c:numCache>
                <c:formatCode>[$-409]d\-mmm\-yy;@</c:formatCode>
                <c:ptCount val="12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</c:numCache>
            </c:numRef>
          </c:cat>
          <c:val>
            <c:numRef>
              <c:f>'ETF PL - CT fix'!$EA$13:$EA$140</c:f>
              <c:numCache>
                <c:formatCode>_("$"* #,##0_);_("$"* \(#,##0\);_("$"* "-"??_);_(@_)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-18356.249999999673</c:v>
                </c:pt>
                <c:pt idx="3">
                  <c:v>-21362.499999999811</c:v>
                </c:pt>
                <c:pt idx="4">
                  <c:v>-23600.000000000116</c:v>
                </c:pt>
                <c:pt idx="5">
                  <c:v>-19318.749999997926</c:v>
                </c:pt>
                <c:pt idx="6">
                  <c:v>-17593.750000000044</c:v>
                </c:pt>
                <c:pt idx="7">
                  <c:v>-24812.500000000058</c:v>
                </c:pt>
                <c:pt idx="8">
                  <c:v>-37681.250000000306</c:v>
                </c:pt>
                <c:pt idx="9">
                  <c:v>-37268.749999998763</c:v>
                </c:pt>
                <c:pt idx="10">
                  <c:v>-46199.999999999985</c:v>
                </c:pt>
                <c:pt idx="11">
                  <c:v>-50912.499999999374</c:v>
                </c:pt>
                <c:pt idx="12">
                  <c:v>-33781.249999997912</c:v>
                </c:pt>
                <c:pt idx="13">
                  <c:v>-43656.249999999913</c:v>
                </c:pt>
                <c:pt idx="14">
                  <c:v>-53468.749999997468</c:v>
                </c:pt>
                <c:pt idx="15">
                  <c:v>-51818.749999998472</c:v>
                </c:pt>
                <c:pt idx="16">
                  <c:v>-63437.499999997337</c:v>
                </c:pt>
                <c:pt idx="17">
                  <c:v>-69656.249999998021</c:v>
                </c:pt>
                <c:pt idx="18">
                  <c:v>-62643.749999998559</c:v>
                </c:pt>
                <c:pt idx="19">
                  <c:v>-44518.74999999976</c:v>
                </c:pt>
                <c:pt idx="20">
                  <c:v>-50331.250000000102</c:v>
                </c:pt>
                <c:pt idx="21">
                  <c:v>-36712.500000000073</c:v>
                </c:pt>
                <c:pt idx="22">
                  <c:v>-39499.999999999578</c:v>
                </c:pt>
                <c:pt idx="23">
                  <c:v>-38356.250000000684</c:v>
                </c:pt>
                <c:pt idx="24">
                  <c:v>-38399.999999999935</c:v>
                </c:pt>
                <c:pt idx="25">
                  <c:v>-38399.999999999935</c:v>
                </c:pt>
                <c:pt idx="26">
                  <c:v>-34574.999999997897</c:v>
                </c:pt>
                <c:pt idx="27">
                  <c:v>-50706.249999997221</c:v>
                </c:pt>
                <c:pt idx="28">
                  <c:v>-68574.999999997992</c:v>
                </c:pt>
                <c:pt idx="29">
                  <c:v>-71649.99999999805</c:v>
                </c:pt>
                <c:pt idx="30">
                  <c:v>-82387.499999998196</c:v>
                </c:pt>
                <c:pt idx="31">
                  <c:v>-98287.49999999741</c:v>
                </c:pt>
                <c:pt idx="32">
                  <c:v>-101506.24999999885</c:v>
                </c:pt>
                <c:pt idx="33">
                  <c:v>-93218.749999999389</c:v>
                </c:pt>
                <c:pt idx="34">
                  <c:v>-97381.250000000582</c:v>
                </c:pt>
                <c:pt idx="35">
                  <c:v>-95724.999999998137</c:v>
                </c:pt>
                <c:pt idx="36">
                  <c:v>-80531.249999997643</c:v>
                </c:pt>
                <c:pt idx="37">
                  <c:v>-75925.00000000032</c:v>
                </c:pt>
                <c:pt idx="38">
                  <c:v>-74462.499999997555</c:v>
                </c:pt>
                <c:pt idx="39">
                  <c:v>-73212.499999998661</c:v>
                </c:pt>
                <c:pt idx="40">
                  <c:v>-55624.999999998952</c:v>
                </c:pt>
                <c:pt idx="41">
                  <c:v>-65450.000000000466</c:v>
                </c:pt>
                <c:pt idx="42">
                  <c:v>-54312.499999999622</c:v>
                </c:pt>
                <c:pt idx="43">
                  <c:v>-50849.999999998428</c:v>
                </c:pt>
                <c:pt idx="44">
                  <c:v>-45762.49999999805</c:v>
                </c:pt>
                <c:pt idx="45">
                  <c:v>-37712.499999999185</c:v>
                </c:pt>
                <c:pt idx="46">
                  <c:v>-36531.250000000262</c:v>
                </c:pt>
                <c:pt idx="47">
                  <c:v>-42743.749999997905</c:v>
                </c:pt>
                <c:pt idx="48">
                  <c:v>-54474.999999999709</c:v>
                </c:pt>
                <c:pt idx="49">
                  <c:v>-61424.999999998719</c:v>
                </c:pt>
                <c:pt idx="50">
                  <c:v>-54349.999999998952</c:v>
                </c:pt>
                <c:pt idx="51">
                  <c:v>-49449.999999999185</c:v>
                </c:pt>
                <c:pt idx="52">
                  <c:v>-50937.500000000116</c:v>
                </c:pt>
                <c:pt idx="53">
                  <c:v>-69925</c:v>
                </c:pt>
                <c:pt idx="54">
                  <c:v>-81231.249999996973</c:v>
                </c:pt>
                <c:pt idx="55">
                  <c:v>-81231.249999996973</c:v>
                </c:pt>
                <c:pt idx="56">
                  <c:v>-88074.999999999389</c:v>
                </c:pt>
                <c:pt idx="57">
                  <c:v>-68987.499999997206</c:v>
                </c:pt>
                <c:pt idx="58">
                  <c:v>-82381.24999999904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D8-4BF2-AF3B-3F5DE51E7B3D}"/>
            </c:ext>
          </c:extLst>
        </c:ser>
        <c:ser>
          <c:idx val="3"/>
          <c:order val="3"/>
          <c:tx>
            <c:strRef>
              <c:f>'ETF PL - CT fix'!$EC$1:$EC$12</c:f>
              <c:strCache>
                <c:ptCount val="12"/>
                <c:pt idx="11">
                  <c:v> Cum Xover(EUR 21M) vs Main(EUR 94.5M)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'ETF PL - CT fix'!$DZ$13:$DZ$140</c:f>
              <c:numCache>
                <c:formatCode>[$-409]d\-mmm\-yy;@</c:formatCode>
                <c:ptCount val="12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</c:numCache>
            </c:numRef>
          </c:cat>
          <c:val>
            <c:numRef>
              <c:f>'ETF PL - CT fix'!$EC$13:$EC$140</c:f>
              <c:numCache>
                <c:formatCode>_("$"* #,##0_);_("$"* \(#,##0\);_("$"* "-"??_);_(@_)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-5369.2777777778938</c:v>
                </c:pt>
                <c:pt idx="3">
                  <c:v>12338.444444444656</c:v>
                </c:pt>
                <c:pt idx="4">
                  <c:v>20448.416666666861</c:v>
                </c:pt>
                <c:pt idx="5">
                  <c:v>36621.333333333547</c:v>
                </c:pt>
                <c:pt idx="6">
                  <c:v>39836.305555555678</c:v>
                </c:pt>
                <c:pt idx="7">
                  <c:v>22704.527777777839</c:v>
                </c:pt>
                <c:pt idx="8">
                  <c:v>22430.250000000073</c:v>
                </c:pt>
                <c:pt idx="9">
                  <c:v>24390.472222222423</c:v>
                </c:pt>
                <c:pt idx="10">
                  <c:v>25414.638888888774</c:v>
                </c:pt>
                <c:pt idx="11">
                  <c:v>11608.111111111226</c:v>
                </c:pt>
                <c:pt idx="12">
                  <c:v>3124.5833333336632</c:v>
                </c:pt>
                <c:pt idx="13">
                  <c:v>6691.8055555558967</c:v>
                </c:pt>
                <c:pt idx="14">
                  <c:v>8140.0277777782176</c:v>
                </c:pt>
                <c:pt idx="15">
                  <c:v>3036.9444444446417</c:v>
                </c:pt>
                <c:pt idx="16">
                  <c:v>-4216.5833333332994</c:v>
                </c:pt>
                <c:pt idx="17">
                  <c:v>-12178.111111111124</c:v>
                </c:pt>
                <c:pt idx="18">
                  <c:v>-7260.6388888888614</c:v>
                </c:pt>
                <c:pt idx="19">
                  <c:v>-10070.416666666584</c:v>
                </c:pt>
                <c:pt idx="20">
                  <c:v>-9028.7499999999272</c:v>
                </c:pt>
                <c:pt idx="21">
                  <c:v>-4263.0277777776355</c:v>
                </c:pt>
                <c:pt idx="22">
                  <c:v>14793.694444444816</c:v>
                </c:pt>
                <c:pt idx="23">
                  <c:v>118604.41666666654</c:v>
                </c:pt>
                <c:pt idx="24">
                  <c:v>121303.63888888937</c:v>
                </c:pt>
                <c:pt idx="25">
                  <c:v>121503.80555555577</c:v>
                </c:pt>
                <c:pt idx="26">
                  <c:v>128055.52777777766</c:v>
                </c:pt>
                <c:pt idx="27">
                  <c:v>120567.25000000026</c:v>
                </c:pt>
                <c:pt idx="28">
                  <c:v>101142.47222222234</c:v>
                </c:pt>
                <c:pt idx="29">
                  <c:v>100079.94444444464</c:v>
                </c:pt>
                <c:pt idx="30">
                  <c:v>88831.611111111444</c:v>
                </c:pt>
                <c:pt idx="31">
                  <c:v>73558.833333333838</c:v>
                </c:pt>
                <c:pt idx="32">
                  <c:v>68597.805555555737</c:v>
                </c:pt>
                <c:pt idx="33">
                  <c:v>65483.52777777781</c:v>
                </c:pt>
                <c:pt idx="34">
                  <c:v>63753.999999999884</c:v>
                </c:pt>
                <c:pt idx="35">
                  <c:v>67106.666666667064</c:v>
                </c:pt>
                <c:pt idx="36">
                  <c:v>61587.138888888905</c:v>
                </c:pt>
                <c:pt idx="37">
                  <c:v>66100.111111111328</c:v>
                </c:pt>
                <c:pt idx="38">
                  <c:v>73999.58333333378</c:v>
                </c:pt>
                <c:pt idx="39">
                  <c:v>68388.555555555446</c:v>
                </c:pt>
                <c:pt idx="40">
                  <c:v>85464.722222222394</c:v>
                </c:pt>
                <c:pt idx="41">
                  <c:v>100388.19444444429</c:v>
                </c:pt>
                <c:pt idx="42">
                  <c:v>102031.91666666666</c:v>
                </c:pt>
                <c:pt idx="43">
                  <c:v>113159.38888888891</c:v>
                </c:pt>
                <c:pt idx="44">
                  <c:v>120757.61111111127</c:v>
                </c:pt>
                <c:pt idx="45">
                  <c:v>118085.77777777801</c:v>
                </c:pt>
                <c:pt idx="46">
                  <c:v>142551.50000000003</c:v>
                </c:pt>
                <c:pt idx="47">
                  <c:v>131554.47222222234</c:v>
                </c:pt>
                <c:pt idx="48">
                  <c:v>138117.69444444453</c:v>
                </c:pt>
                <c:pt idx="49">
                  <c:v>134216.1666666666</c:v>
                </c:pt>
                <c:pt idx="50">
                  <c:v>145760.58333333352</c:v>
                </c:pt>
                <c:pt idx="51">
                  <c:v>136220.05555555565</c:v>
                </c:pt>
                <c:pt idx="52">
                  <c:v>116000.02777777784</c:v>
                </c:pt>
                <c:pt idx="53">
                  <c:v>94087.250000000146</c:v>
                </c:pt>
                <c:pt idx="54">
                  <c:v>90855.972222222743</c:v>
                </c:pt>
                <c:pt idx="55">
                  <c:v>97335.388888888963</c:v>
                </c:pt>
                <c:pt idx="56">
                  <c:v>81286.861111111386</c:v>
                </c:pt>
                <c:pt idx="57">
                  <c:v>94953.333333333576</c:v>
                </c:pt>
                <c:pt idx="58">
                  <c:v>73493.805555555708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D8-4BF2-AF3B-3F5DE51E7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895407"/>
        <c:axId val="374900207"/>
      </c:lineChart>
      <c:dateAx>
        <c:axId val="374895407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900207"/>
        <c:crosses val="autoZero"/>
        <c:auto val="1"/>
        <c:lblOffset val="100"/>
        <c:baseTimeUnit val="days"/>
      </c:dateAx>
      <c:valAx>
        <c:axId val="37490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9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5</xdr:row>
      <xdr:rowOff>114300</xdr:rowOff>
    </xdr:from>
    <xdr:to>
      <xdr:col>23</xdr:col>
      <xdr:colOff>452438</xdr:colOff>
      <xdr:row>40</xdr:row>
      <xdr:rowOff>114141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241935</xdr:colOff>
      <xdr:row>3</xdr:row>
      <xdr:rowOff>49530</xdr:rowOff>
    </xdr:from>
    <xdr:to>
      <xdr:col>28</xdr:col>
      <xdr:colOff>36195</xdr:colOff>
      <xdr:row>24</xdr:row>
      <xdr:rowOff>38099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676274</xdr:colOff>
      <xdr:row>2</xdr:row>
      <xdr:rowOff>38100</xdr:rowOff>
    </xdr:from>
    <xdr:to>
      <xdr:col>25</xdr:col>
      <xdr:colOff>9525</xdr:colOff>
      <xdr:row>22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2</xdr:row>
      <xdr:rowOff>47625</xdr:rowOff>
    </xdr:from>
    <xdr:to>
      <xdr:col>23</xdr:col>
      <xdr:colOff>533400</xdr:colOff>
      <xdr:row>22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278130</xdr:colOff>
      <xdr:row>1</xdr:row>
      <xdr:rowOff>142875</xdr:rowOff>
    </xdr:from>
    <xdr:to>
      <xdr:col>31</xdr:col>
      <xdr:colOff>318135</xdr:colOff>
      <xdr:row>20</xdr:row>
      <xdr:rowOff>63818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2</xdr:row>
      <xdr:rowOff>138113</xdr:rowOff>
    </xdr:from>
    <xdr:to>
      <xdr:col>24</xdr:col>
      <xdr:colOff>533400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495300</xdr:colOff>
      <xdr:row>3</xdr:row>
      <xdr:rowOff>195263</xdr:rowOff>
    </xdr:from>
    <xdr:to>
      <xdr:col>32</xdr:col>
      <xdr:colOff>310515</xdr:colOff>
      <xdr:row>21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595991</xdr:colOff>
      <xdr:row>7</xdr:row>
      <xdr:rowOff>5441</xdr:rowOff>
    </xdr:from>
    <xdr:to>
      <xdr:col>47</xdr:col>
      <xdr:colOff>299357</xdr:colOff>
      <xdr:row>31</xdr:row>
      <xdr:rowOff>46263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6</xdr:row>
      <xdr:rowOff>104775</xdr:rowOff>
    </xdr:from>
    <xdr:to>
      <xdr:col>27</xdr:col>
      <xdr:colOff>495300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2</xdr:row>
      <xdr:rowOff>157163</xdr:rowOff>
    </xdr:from>
    <xdr:to>
      <xdr:col>23</xdr:col>
      <xdr:colOff>523874</xdr:colOff>
      <xdr:row>38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1B0BA-72F4-4E2F-BBCC-4D1C51AD3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127</xdr:col>
      <xdr:colOff>522515</xdr:colOff>
      <xdr:row>14</xdr:row>
      <xdr:rowOff>21771</xdr:rowOff>
    </xdr:from>
    <xdr:to>
      <xdr:col>148</xdr:col>
      <xdr:colOff>130629</xdr:colOff>
      <xdr:row>49</xdr:row>
      <xdr:rowOff>108857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F218E5-20E4-70A9-AAA4-562950385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123</xdr:col>
      <xdr:colOff>762001</xdr:colOff>
      <xdr:row>1</xdr:row>
      <xdr:rowOff>119743</xdr:rowOff>
    </xdr:from>
    <xdr:to>
      <xdr:col>142</xdr:col>
      <xdr:colOff>43544</xdr:colOff>
      <xdr:row>35</xdr:row>
      <xdr:rowOff>108858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37FD6D-1EBF-497D-8457-26FA5DACA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133</xdr:col>
      <xdr:colOff>522516</xdr:colOff>
      <xdr:row>11</xdr:row>
      <xdr:rowOff>65316</xdr:rowOff>
    </xdr:from>
    <xdr:to>
      <xdr:col>154</xdr:col>
      <xdr:colOff>206830</xdr:colOff>
      <xdr:row>46</xdr:row>
      <xdr:rowOff>130631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D67F1-C49B-40A6-9D2A-6C2748A28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135</xdr:col>
      <xdr:colOff>424541</xdr:colOff>
      <xdr:row>2</xdr:row>
      <xdr:rowOff>130628</xdr:rowOff>
    </xdr:from>
    <xdr:to>
      <xdr:col>161</xdr:col>
      <xdr:colOff>185056</xdr:colOff>
      <xdr:row>36</xdr:row>
      <xdr:rowOff>21772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0D73CE-4C9B-1574-42C5-D2D231CEA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zoomScale="80" zoomScaleNormal="80" workbookViewId="0"/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5" bestFit="1" customWidth="1"/>
    <col min="10" max="10" width="10.6640625" style="3" bestFit="1" customWidth="1"/>
    <col min="11" max="11" width="15.6640625" style="3" hidden="1" customWidth="1"/>
    <col min="12" max="12" width="8" style="3" hidden="1" customWidth="1"/>
    <col min="13" max="13" width="15.6640625" style="3" hidden="1" customWidth="1"/>
    <col min="14" max="14" width="9.109375" style="3" hidden="1" customWidth="1"/>
    <col min="15" max="16384" width="9.109375" style="3"/>
  </cols>
  <sheetData>
    <row r="1" spans="1:14" ht="15" thickBot="1" x14ac:dyDescent="0.35">
      <c r="A1" s="1" t="s">
        <v>102</v>
      </c>
      <c r="B1" s="1"/>
      <c r="C1" s="1"/>
      <c r="D1" s="31"/>
      <c r="E1" s="1"/>
      <c r="F1" s="1"/>
      <c r="G1" s="1"/>
      <c r="H1" s="1"/>
      <c r="I1" s="1"/>
      <c r="J1" s="1"/>
      <c r="K1" s="52"/>
    </row>
    <row r="2" spans="1:14" ht="15" thickBot="1" x14ac:dyDescent="0.35">
      <c r="A2" s="14"/>
      <c r="B2" s="27" t="s">
        <v>0</v>
      </c>
      <c r="C2" s="28" t="s">
        <v>1</v>
      </c>
      <c r="D2" s="31"/>
      <c r="E2" s="127" t="s">
        <v>101</v>
      </c>
      <c r="F2" s="128">
        <v>0.625</v>
      </c>
      <c r="K2" s="27" t="s">
        <v>0</v>
      </c>
      <c r="M2" s="28" t="s">
        <v>1</v>
      </c>
    </row>
    <row r="3" spans="1:14" ht="15" thickBot="1" x14ac:dyDescent="0.35">
      <c r="A3" s="14" t="s">
        <v>32</v>
      </c>
      <c r="B3" s="15" t="s">
        <v>5</v>
      </c>
      <c r="C3" s="5" t="s">
        <v>6</v>
      </c>
      <c r="D3" s="31"/>
      <c r="E3" s="1"/>
      <c r="K3" s="126" cm="1">
        <f t="array" ref="K3:L143">_xll.BDH(B4, "LAST_PRICE", "01/01/2025 15:00:00", "01/01/2035 16:00:00", "BarSize=60", "BarType=T", "RecurDaily=True", "TZ=London")</f>
        <v>45751.625</v>
      </c>
      <c r="L3" s="3">
        <v>134.941</v>
      </c>
      <c r="M3" s="126" cm="1">
        <f t="array" ref="M3:N136">_xll.BDH(C4, "LAST_PRICE", "01/01/2025 15:00:00", "01/01/2035 16:00:00", "BarSize=60", "BarType=T", "RecurDaily=True", "TZ=London")</f>
        <v>45751.625</v>
      </c>
      <c r="N3" s="3">
        <v>95.03</v>
      </c>
    </row>
    <row r="4" spans="1:14" ht="30" customHeight="1" thickBot="1" x14ac:dyDescent="0.35">
      <c r="A4" s="15" t="s">
        <v>33</v>
      </c>
      <c r="B4" s="17" t="s">
        <v>34</v>
      </c>
      <c r="C4" s="6" t="s">
        <v>35</v>
      </c>
      <c r="D4" s="31"/>
      <c r="E4" s="29" t="s">
        <v>2</v>
      </c>
      <c r="F4" s="24">
        <v>45919</v>
      </c>
      <c r="G4" s="25">
        <v>45922</v>
      </c>
      <c r="H4" s="26" t="s">
        <v>3</v>
      </c>
      <c r="I4" s="23" t="s">
        <v>4</v>
      </c>
      <c r="K4" s="126">
        <v>45754.625</v>
      </c>
      <c r="L4" s="3">
        <v>140.40700000000001</v>
      </c>
      <c r="M4" s="126">
        <v>45754.625</v>
      </c>
      <c r="N4" s="3">
        <v>92.346999999999994</v>
      </c>
    </row>
    <row r="5" spans="1:14" x14ac:dyDescent="0.3">
      <c r="A5" s="15" t="s">
        <v>8</v>
      </c>
      <c r="B5" s="18">
        <v>25000000</v>
      </c>
      <c r="C5" s="8">
        <v>7500000</v>
      </c>
      <c r="D5" s="31"/>
      <c r="E5" s="15" t="s">
        <v>7</v>
      </c>
      <c r="F5" s="1">
        <v>90.555000000000007</v>
      </c>
      <c r="G5" s="1">
        <v>91.102000000000004</v>
      </c>
      <c r="H5" s="1">
        <f>G5-F5</f>
        <v>0.54699999999999704</v>
      </c>
      <c r="I5" s="5"/>
      <c r="K5" s="126">
        <v>45755.625</v>
      </c>
      <c r="L5" s="3">
        <v>136.172</v>
      </c>
      <c r="M5" s="126">
        <v>45755.625</v>
      </c>
      <c r="N5" s="3">
        <v>93.262</v>
      </c>
    </row>
    <row r="6" spans="1:14" x14ac:dyDescent="0.3">
      <c r="A6" s="15" t="s">
        <v>10</v>
      </c>
      <c r="B6" s="19">
        <v>0.01</v>
      </c>
      <c r="C6" s="10">
        <v>6.7000000000000004E-2</v>
      </c>
      <c r="D6" s="31"/>
      <c r="E6" s="15" t="s">
        <v>9</v>
      </c>
      <c r="F6" s="1">
        <v>91.418000000000006</v>
      </c>
      <c r="G6" s="1"/>
      <c r="H6" s="1"/>
      <c r="I6" s="5">
        <f>F6+H5</f>
        <v>91.965000000000003</v>
      </c>
      <c r="K6" s="126">
        <v>45756.625</v>
      </c>
      <c r="L6" s="3">
        <v>145.39500000000001</v>
      </c>
      <c r="M6" s="126">
        <v>45756.625</v>
      </c>
      <c r="N6" s="3">
        <v>90.637</v>
      </c>
    </row>
    <row r="7" spans="1:14" ht="15" thickBot="1" x14ac:dyDescent="0.35">
      <c r="A7" s="15" t="s">
        <v>12</v>
      </c>
      <c r="B7" s="19">
        <v>0</v>
      </c>
      <c r="C7" s="10">
        <v>4.1000000000000002E-2</v>
      </c>
      <c r="D7" s="31"/>
      <c r="E7" s="16" t="s">
        <v>11</v>
      </c>
      <c r="F7" s="1"/>
      <c r="G7" s="1">
        <v>103.506</v>
      </c>
      <c r="H7" s="1"/>
      <c r="I7" s="5"/>
      <c r="K7" s="126">
        <v>45757.625</v>
      </c>
      <c r="L7" s="3">
        <v>130.04599999999999</v>
      </c>
      <c r="M7" s="126">
        <v>45757.625</v>
      </c>
      <c r="N7" s="3">
        <v>91.918000000000006</v>
      </c>
    </row>
    <row r="8" spans="1:14" ht="15" thickBot="1" x14ac:dyDescent="0.35">
      <c r="A8" s="15" t="s">
        <v>14</v>
      </c>
      <c r="B8" s="15">
        <v>4.46</v>
      </c>
      <c r="C8" s="5"/>
      <c r="D8" s="31"/>
      <c r="E8" s="30" t="s">
        <v>13</v>
      </c>
      <c r="F8" s="23">
        <f>G7-I6</f>
        <v>11.540999999999997</v>
      </c>
      <c r="G8" s="21"/>
      <c r="H8" s="21"/>
      <c r="I8" s="22"/>
      <c r="J8" s="1"/>
      <c r="K8" s="126">
        <v>45758.625</v>
      </c>
      <c r="L8" s="3">
        <v>138.03700000000001</v>
      </c>
      <c r="M8" s="126">
        <v>45758.625</v>
      </c>
      <c r="N8" s="3">
        <v>90.971000000000004</v>
      </c>
    </row>
    <row r="9" spans="1:14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26">
        <v>45761.625</v>
      </c>
      <c r="L9" s="3">
        <v>133.67500000000001</v>
      </c>
      <c r="M9" s="126">
        <v>45761.625</v>
      </c>
      <c r="N9" s="3">
        <v>91.935000000000002</v>
      </c>
    </row>
    <row r="10" spans="1:14" ht="15" thickBot="1" x14ac:dyDescent="0.35">
      <c r="A10" s="16" t="s">
        <v>28</v>
      </c>
      <c r="B10" s="20" cm="1">
        <f t="array" ref="B10">_xll.BDP(B4,"PX_LAST")</f>
        <v>105.3871</v>
      </c>
      <c r="C10" s="13" cm="1">
        <f t="array" ref="C10">_xll.BDP(C4,"PX_LAST")</f>
        <v>100.803</v>
      </c>
      <c r="D10" s="31"/>
      <c r="E10" s="1"/>
      <c r="F10" s="1"/>
      <c r="G10" s="1"/>
      <c r="H10" s="1"/>
      <c r="I10" s="1"/>
      <c r="J10" s="1"/>
      <c r="K10" s="126">
        <v>45762.625</v>
      </c>
      <c r="L10" s="3">
        <v>128.58500000000001</v>
      </c>
      <c r="M10" s="126">
        <v>45762.625</v>
      </c>
      <c r="N10" s="3">
        <v>92.472999999999999</v>
      </c>
    </row>
    <row r="11" spans="1:14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26">
        <v>45763.625</v>
      </c>
      <c r="L11" s="3">
        <v>128.15299999999999</v>
      </c>
      <c r="M11" s="126">
        <v>45763.625</v>
      </c>
      <c r="N11" s="3">
        <v>92.707999999999998</v>
      </c>
    </row>
    <row r="12" spans="1:14" ht="15" thickBot="1" x14ac:dyDescent="0.35">
      <c r="A12" s="39" t="s">
        <v>22</v>
      </c>
      <c r="B12" s="153" t="s">
        <v>0</v>
      </c>
      <c r="C12" s="154"/>
      <c r="D12" s="154"/>
      <c r="E12" s="155"/>
      <c r="F12" s="156" t="s">
        <v>1</v>
      </c>
      <c r="G12" s="157"/>
      <c r="H12" s="158"/>
      <c r="I12" s="39" t="s">
        <v>16</v>
      </c>
      <c r="J12" s="1"/>
      <c r="K12" s="126">
        <v>45764.625</v>
      </c>
      <c r="L12" s="3">
        <v>126.146</v>
      </c>
      <c r="M12" s="126">
        <v>45764.625</v>
      </c>
      <c r="N12" s="3">
        <v>93.492000000000004</v>
      </c>
    </row>
    <row r="13" spans="1:14" ht="15" thickBot="1" x14ac:dyDescent="0.35">
      <c r="A13" s="16"/>
      <c r="B13" s="11" t="s">
        <v>24</v>
      </c>
      <c r="C13" s="21" t="s">
        <v>18</v>
      </c>
      <c r="D13" s="49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K13" s="126">
        <v>45765.625</v>
      </c>
      <c r="L13" s="3">
        <v>127.19199999999999</v>
      </c>
      <c r="M13" s="126">
        <v>45768.625</v>
      </c>
      <c r="N13" s="3">
        <v>93.224999999999994</v>
      </c>
    </row>
    <row r="14" spans="1:14" x14ac:dyDescent="0.3">
      <c r="A14" s="36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1">
        <v>0</v>
      </c>
      <c r="J14" s="1"/>
      <c r="K14" s="126">
        <v>45768.625</v>
      </c>
      <c r="L14" s="3">
        <v>127.057</v>
      </c>
      <c r="M14" s="126">
        <v>45769.625</v>
      </c>
      <c r="N14" s="3">
        <v>93.620999999999995</v>
      </c>
    </row>
    <row r="15" spans="1:14" x14ac:dyDescent="0.3">
      <c r="A15" s="36">
        <v>45904</v>
      </c>
      <c r="B15" s="4">
        <f t="shared" ref="B15:B46" si="0">VLOOKUP(A15+$F$2,K:L,2)</f>
        <v>102.55200000000001</v>
      </c>
      <c r="C15" s="1">
        <v>101.988</v>
      </c>
      <c r="D15" s="31">
        <f t="shared" ref="D15:D26" si="1">-1*(C15-$C$14)*10^-4*$B$8*$B$5</f>
        <v>50308.800000000003</v>
      </c>
      <c r="E15" s="32">
        <f t="shared" ref="E15:E26" si="2">$B$6*(A15-$A$14)/360*$B$5</f>
        <v>694.44444444444446</v>
      </c>
      <c r="F15" s="4">
        <f t="shared" ref="F15:F46" si="3">VLOOKUP(A15+$F$2,M:N,2)</f>
        <v>99.266999999999996</v>
      </c>
      <c r="G15" s="31">
        <f>(F15-$F$14)/100*$C$5</f>
        <v>29399.999999999694</v>
      </c>
      <c r="H15" s="32">
        <f>$C$6*(A15-$A$14)/360*$C$5-$C$7*(A15-$A$14)/360*$C$5*$F$14/100</f>
        <v>551.27604166666697</v>
      </c>
      <c r="I15" s="82">
        <f>(D15+E15)*$B$9-G15-H15</f>
        <v>29722.51995833364</v>
      </c>
      <c r="J15" s="1"/>
      <c r="K15" s="126">
        <v>45769.625</v>
      </c>
      <c r="L15" s="3">
        <v>128.417</v>
      </c>
      <c r="M15" s="126">
        <v>45770.625</v>
      </c>
      <c r="N15" s="3">
        <v>94.974999999999994</v>
      </c>
    </row>
    <row r="16" spans="1:14" x14ac:dyDescent="0.3">
      <c r="A16" s="36">
        <v>45905</v>
      </c>
      <c r="B16" s="4">
        <f t="shared" si="0"/>
        <v>97.619</v>
      </c>
      <c r="C16" s="1">
        <v>99.507999999999996</v>
      </c>
      <c r="D16" s="31">
        <f t="shared" si="1"/>
        <v>77960.800000000047</v>
      </c>
      <c r="E16" s="32">
        <f t="shared" si="2"/>
        <v>1388.8888888888889</v>
      </c>
      <c r="F16" s="4">
        <f t="shared" si="3"/>
        <v>99.856999999999999</v>
      </c>
      <c r="G16" s="31">
        <f t="shared" ref="G16:G39" si="4">(F16-$F$14)/100*$C$5</f>
        <v>73649.999999999956</v>
      </c>
      <c r="H16" s="32">
        <f t="shared" ref="H16:H34" si="5">$C$6*(A16-$A$14)/360*$C$5-$C$7*(A16-$A$14)/360*$C$5*$F$14/100</f>
        <v>1102.5520833333339</v>
      </c>
      <c r="I16" s="82">
        <f t="shared" ref="I16:I33" si="6">(D16+E16)*$B$9-G16-H16</f>
        <v>18086.583916666765</v>
      </c>
      <c r="J16" s="1"/>
      <c r="K16" s="126">
        <v>45770.625</v>
      </c>
      <c r="L16" s="3">
        <v>120.089</v>
      </c>
      <c r="M16" s="126">
        <v>45771.625</v>
      </c>
      <c r="N16" s="3">
        <v>94.802000000000007</v>
      </c>
    </row>
    <row r="17" spans="1:14" x14ac:dyDescent="0.3">
      <c r="A17" s="36">
        <v>45908</v>
      </c>
      <c r="B17" s="4">
        <f t="shared" si="0"/>
        <v>97.876000000000005</v>
      </c>
      <c r="C17" s="1">
        <v>97.378</v>
      </c>
      <c r="D17" s="31">
        <f t="shared" si="1"/>
        <v>101710.30000000002</v>
      </c>
      <c r="E17" s="32">
        <f t="shared" si="2"/>
        <v>3472.2222222222222</v>
      </c>
      <c r="F17" s="4">
        <f t="shared" si="3"/>
        <v>99.837000000000003</v>
      </c>
      <c r="G17" s="31">
        <f t="shared" si="4"/>
        <v>72150.000000000247</v>
      </c>
      <c r="H17" s="32">
        <f t="shared" si="5"/>
        <v>2756.380208333333</v>
      </c>
      <c r="I17" s="82">
        <f t="shared" si="6"/>
        <v>48157.170791666424</v>
      </c>
      <c r="J17" s="1"/>
      <c r="K17" s="126">
        <v>45771.625</v>
      </c>
      <c r="L17" s="3">
        <v>119.34</v>
      </c>
      <c r="M17" s="126">
        <v>45772.625</v>
      </c>
      <c r="N17" s="3">
        <v>95.19</v>
      </c>
    </row>
    <row r="18" spans="1:14" x14ac:dyDescent="0.3">
      <c r="A18" s="36">
        <v>45909</v>
      </c>
      <c r="B18" s="4">
        <f t="shared" si="0"/>
        <v>96.716999999999999</v>
      </c>
      <c r="C18" s="1">
        <v>96.828000000000003</v>
      </c>
      <c r="D18" s="31">
        <f t="shared" si="1"/>
        <v>107842.79999999997</v>
      </c>
      <c r="E18" s="32">
        <f t="shared" si="2"/>
        <v>4166.666666666667</v>
      </c>
      <c r="F18" s="4">
        <f t="shared" si="3"/>
        <v>99.876000000000005</v>
      </c>
      <c r="G18" s="31">
        <f t="shared" si="4"/>
        <v>75075.000000000364</v>
      </c>
      <c r="H18" s="32">
        <f t="shared" si="5"/>
        <v>3307.65625</v>
      </c>
      <c r="I18" s="82">
        <f t="shared" si="6"/>
        <v>52668.419749999608</v>
      </c>
      <c r="J18" s="1"/>
      <c r="K18" s="126">
        <v>45772.625</v>
      </c>
      <c r="L18" s="3">
        <v>117.146</v>
      </c>
      <c r="M18" s="126">
        <v>45775.625</v>
      </c>
      <c r="N18" s="3">
        <v>95.531999999999996</v>
      </c>
    </row>
    <row r="19" spans="1:14" x14ac:dyDescent="0.3">
      <c r="A19" s="36">
        <v>45910</v>
      </c>
      <c r="B19" s="4">
        <f t="shared" si="0"/>
        <v>95.831999999999994</v>
      </c>
      <c r="C19" s="1">
        <v>95.448999999999998</v>
      </c>
      <c r="D19" s="31">
        <f t="shared" si="1"/>
        <v>123218.65000000002</v>
      </c>
      <c r="E19" s="32">
        <f t="shared" si="2"/>
        <v>4861.1111111111113</v>
      </c>
      <c r="F19" s="4">
        <f t="shared" si="3"/>
        <v>99.942999999999998</v>
      </c>
      <c r="G19" s="31">
        <f t="shared" si="4"/>
        <v>80099.99999999984</v>
      </c>
      <c r="H19" s="32">
        <f t="shared" si="5"/>
        <v>3858.9322916666661</v>
      </c>
      <c r="I19" s="82">
        <f t="shared" si="6"/>
        <v>65894.388208333519</v>
      </c>
      <c r="J19" s="1"/>
      <c r="K19" s="126">
        <v>45775.625</v>
      </c>
      <c r="L19" s="3">
        <v>115.843</v>
      </c>
      <c r="M19" s="126">
        <v>45776.625</v>
      </c>
      <c r="N19" s="3">
        <v>95.388000000000005</v>
      </c>
    </row>
    <row r="20" spans="1:14" x14ac:dyDescent="0.3">
      <c r="A20" s="36">
        <v>45911</v>
      </c>
      <c r="B20" s="4">
        <f t="shared" si="0"/>
        <v>93.906000000000006</v>
      </c>
      <c r="C20" s="1">
        <v>92.872</v>
      </c>
      <c r="D20" s="31">
        <f t="shared" si="1"/>
        <v>151952.20000000001</v>
      </c>
      <c r="E20" s="32">
        <f t="shared" si="2"/>
        <v>5555.5555555555557</v>
      </c>
      <c r="F20" s="4">
        <f t="shared" si="3"/>
        <v>100.11</v>
      </c>
      <c r="G20" s="31">
        <f t="shared" si="4"/>
        <v>92624.999999999956</v>
      </c>
      <c r="H20" s="32">
        <f t="shared" si="5"/>
        <v>4410.2083333333358</v>
      </c>
      <c r="I20" s="82">
        <f t="shared" si="6"/>
        <v>87248.865666666738</v>
      </c>
      <c r="J20" s="1"/>
      <c r="K20" s="126">
        <v>45776.625</v>
      </c>
      <c r="L20" s="3">
        <v>114.739</v>
      </c>
      <c r="M20" s="126">
        <v>45777.625</v>
      </c>
      <c r="N20" s="3">
        <v>94.76</v>
      </c>
    </row>
    <row r="21" spans="1:14" x14ac:dyDescent="0.3">
      <c r="A21" s="36">
        <v>45912</v>
      </c>
      <c r="B21" s="4">
        <f t="shared" si="0"/>
        <v>92.352999999999994</v>
      </c>
      <c r="C21" s="1">
        <v>92.445999999999998</v>
      </c>
      <c r="D21" s="31">
        <f t="shared" si="1"/>
        <v>156702.10000000003</v>
      </c>
      <c r="E21" s="32">
        <f t="shared" si="2"/>
        <v>6250</v>
      </c>
      <c r="F21" s="4">
        <f t="shared" si="3"/>
        <v>100.373</v>
      </c>
      <c r="G21" s="31">
        <f t="shared" si="4"/>
        <v>112350.00000000035</v>
      </c>
      <c r="H21" s="32">
        <f t="shared" si="5"/>
        <v>4961.4843749999973</v>
      </c>
      <c r="I21" s="82">
        <f t="shared" si="6"/>
        <v>73342.472624999675</v>
      </c>
      <c r="J21" s="1"/>
      <c r="K21" s="126">
        <v>45777.625</v>
      </c>
      <c r="L21" s="3">
        <v>118.17</v>
      </c>
      <c r="M21" s="126">
        <v>45778.625</v>
      </c>
      <c r="N21" s="3">
        <v>94.893000000000001</v>
      </c>
    </row>
    <row r="22" spans="1:14" x14ac:dyDescent="0.3">
      <c r="A22" s="36">
        <v>45915</v>
      </c>
      <c r="B22" s="4">
        <f t="shared" si="0"/>
        <v>91.721999999999994</v>
      </c>
      <c r="C22" s="1">
        <v>91.334000000000003</v>
      </c>
      <c r="D22" s="31">
        <f t="shared" si="1"/>
        <v>169100.89999999997</v>
      </c>
      <c r="E22" s="32">
        <f t="shared" si="2"/>
        <v>8333.3333333333339</v>
      </c>
      <c r="F22" s="4">
        <f t="shared" si="3"/>
        <v>100.343</v>
      </c>
      <c r="G22" s="31">
        <f t="shared" si="4"/>
        <v>110100.00000000026</v>
      </c>
      <c r="H22" s="32">
        <f t="shared" si="5"/>
        <v>6615.3125</v>
      </c>
      <c r="I22" s="82">
        <f t="shared" si="6"/>
        <v>90882.740499999694</v>
      </c>
      <c r="J22" s="1"/>
      <c r="K22" s="126">
        <v>45778.625</v>
      </c>
      <c r="L22" s="3">
        <v>116.595</v>
      </c>
      <c r="M22" s="126">
        <v>45779.625</v>
      </c>
      <c r="N22" s="3">
        <v>94.658000000000001</v>
      </c>
    </row>
    <row r="23" spans="1:14" hidden="1" x14ac:dyDescent="0.3">
      <c r="A23" s="36">
        <v>45916</v>
      </c>
      <c r="B23" s="4">
        <f t="shared" si="0"/>
        <v>92.043000000000006</v>
      </c>
      <c r="C23" s="1">
        <v>91.960999999999999</v>
      </c>
      <c r="D23" s="31">
        <f t="shared" si="1"/>
        <v>162109.85000000003</v>
      </c>
      <c r="E23" s="32">
        <f t="shared" si="2"/>
        <v>9027.7777777777792</v>
      </c>
      <c r="F23" s="4">
        <f t="shared" si="3"/>
        <v>100.643</v>
      </c>
      <c r="G23" s="31">
        <f t="shared" si="4"/>
        <v>132600.00000000006</v>
      </c>
      <c r="H23" s="32">
        <f t="shared" si="5"/>
        <v>7166.5885416666679</v>
      </c>
      <c r="I23" s="82">
        <f t="shared" si="6"/>
        <v>60464.435958333299</v>
      </c>
      <c r="J23" s="1"/>
      <c r="K23" s="126">
        <v>45779.625</v>
      </c>
      <c r="L23" s="3">
        <v>114.43300000000001</v>
      </c>
      <c r="M23" s="126">
        <v>45782.625</v>
      </c>
      <c r="N23" s="3">
        <v>95.11</v>
      </c>
    </row>
    <row r="24" spans="1:14" hidden="1" x14ac:dyDescent="0.3">
      <c r="A24" s="36">
        <v>45917</v>
      </c>
      <c r="B24" s="4">
        <f t="shared" si="0"/>
        <v>92.41</v>
      </c>
      <c r="C24" s="1">
        <v>92.38</v>
      </c>
      <c r="D24" s="31">
        <f t="shared" si="1"/>
        <v>157438.00000000006</v>
      </c>
      <c r="E24" s="32">
        <f t="shared" si="2"/>
        <v>9722.2222222222226</v>
      </c>
      <c r="F24" s="4">
        <f t="shared" si="3"/>
        <v>100.554</v>
      </c>
      <c r="G24" s="31">
        <f t="shared" si="4"/>
        <v>125925.00000000015</v>
      </c>
      <c r="H24" s="32">
        <f t="shared" si="5"/>
        <v>7717.8645833333321</v>
      </c>
      <c r="I24" s="82">
        <f t="shared" si="6"/>
        <v>61934.595416666576</v>
      </c>
      <c r="J24" s="1"/>
      <c r="K24" s="126">
        <v>45782.625</v>
      </c>
      <c r="L24" s="3">
        <v>114.46</v>
      </c>
      <c r="M24" s="126">
        <v>45783.625</v>
      </c>
      <c r="N24" s="3">
        <v>94.977999999999994</v>
      </c>
    </row>
    <row r="25" spans="1:14" hidden="1" x14ac:dyDescent="0.3">
      <c r="A25" s="36">
        <v>45918</v>
      </c>
      <c r="B25" s="4">
        <f t="shared" si="0"/>
        <v>91.355999999999995</v>
      </c>
      <c r="C25" s="1">
        <v>91.418000000000006</v>
      </c>
      <c r="D25" s="31">
        <f t="shared" si="1"/>
        <v>168164.29999999993</v>
      </c>
      <c r="E25" s="32">
        <f t="shared" si="2"/>
        <v>10416.666666666666</v>
      </c>
      <c r="F25" s="4">
        <f t="shared" si="3"/>
        <v>101.01600000000001</v>
      </c>
      <c r="G25" s="31">
        <f t="shared" si="4"/>
        <v>160575.00000000041</v>
      </c>
      <c r="H25" s="32">
        <f t="shared" si="5"/>
        <v>8269.1406250000036</v>
      </c>
      <c r="I25" s="82">
        <f t="shared" si="6"/>
        <v>40095.590374999476</v>
      </c>
      <c r="J25" s="1"/>
      <c r="K25" s="126">
        <v>45783.625</v>
      </c>
      <c r="L25" s="3">
        <v>114.01900000000001</v>
      </c>
      <c r="M25" s="126">
        <v>45784.625</v>
      </c>
      <c r="N25" s="3">
        <v>95.123000000000005</v>
      </c>
    </row>
    <row r="26" spans="1:14" hidden="1" x14ac:dyDescent="0.3">
      <c r="A26" s="36">
        <v>45919</v>
      </c>
      <c r="B26" s="4">
        <f t="shared" si="0"/>
        <v>91.385999999999996</v>
      </c>
      <c r="C26" s="1">
        <v>91.418000000000006</v>
      </c>
      <c r="D26" s="31">
        <f t="shared" si="1"/>
        <v>168164.29999999993</v>
      </c>
      <c r="E26" s="32">
        <f t="shared" si="2"/>
        <v>11111.111111111111</v>
      </c>
      <c r="F26" s="4">
        <f t="shared" si="3"/>
        <v>101.05800000000001</v>
      </c>
      <c r="G26" s="31">
        <f t="shared" si="4"/>
        <v>163725.00000000052</v>
      </c>
      <c r="H26" s="32">
        <f t="shared" si="5"/>
        <v>8820.4166666666715</v>
      </c>
      <c r="I26" s="82">
        <f t="shared" si="6"/>
        <v>37206.814333332717</v>
      </c>
      <c r="J26" s="1"/>
      <c r="K26" s="126">
        <v>45784.625</v>
      </c>
      <c r="L26" s="3">
        <v>113.444</v>
      </c>
      <c r="M26" s="126">
        <v>45785.625</v>
      </c>
      <c r="N26" s="3">
        <v>95.341999999999999</v>
      </c>
    </row>
    <row r="27" spans="1:14" hidden="1" x14ac:dyDescent="0.3">
      <c r="A27" s="37"/>
      <c r="B27" s="4" t="e">
        <f t="shared" si="0"/>
        <v>#N/A</v>
      </c>
      <c r="C27" s="1"/>
      <c r="D27" s="31"/>
      <c r="E27" s="32"/>
      <c r="F27" s="4" t="e">
        <f t="shared" si="3"/>
        <v>#N/A</v>
      </c>
      <c r="G27" s="31"/>
      <c r="H27" s="32"/>
      <c r="I27" s="82"/>
      <c r="J27" s="1"/>
      <c r="K27" s="126">
        <v>45785.625</v>
      </c>
      <c r="L27" s="3">
        <v>111.55800000000001</v>
      </c>
      <c r="M27" s="126">
        <v>45786.625</v>
      </c>
      <c r="N27" s="3">
        <v>95.43</v>
      </c>
    </row>
    <row r="28" spans="1:14" hidden="1" x14ac:dyDescent="0.3">
      <c r="A28" s="36">
        <v>45922</v>
      </c>
      <c r="B28" s="4">
        <f t="shared" si="0"/>
        <v>103.479</v>
      </c>
      <c r="C28" s="1">
        <f t="shared" ref="C28:C47" si="7">B28-$F$8</f>
        <v>91.938000000000002</v>
      </c>
      <c r="D28" s="31">
        <f t="shared" ref="D28:D34" si="8">-1*(C28-$C$14)*10^-4*$B$8*$B$5</f>
        <v>162366.29999999996</v>
      </c>
      <c r="E28" s="32">
        <f>$B$6*(A28-$A$14)/360*$B$5</f>
        <v>13194.444444444445</v>
      </c>
      <c r="F28" s="4">
        <f t="shared" si="3"/>
        <v>101.03100000000001</v>
      </c>
      <c r="G28" s="31">
        <f t="shared" si="4"/>
        <v>161700.00000000044</v>
      </c>
      <c r="H28" s="32">
        <f t="shared" si="5"/>
        <v>10474.244791666672</v>
      </c>
      <c r="I28" s="82">
        <f t="shared" si="6"/>
        <v>33231.82620833283</v>
      </c>
      <c r="J28" s="1"/>
      <c r="K28" s="126">
        <v>45786.625</v>
      </c>
      <c r="L28" s="3">
        <v>109.861</v>
      </c>
      <c r="M28" s="126">
        <v>45789.625</v>
      </c>
      <c r="N28" s="3">
        <v>96.028999999999996</v>
      </c>
    </row>
    <row r="29" spans="1:14" hidden="1" x14ac:dyDescent="0.3">
      <c r="A29" s="36">
        <v>45923</v>
      </c>
      <c r="B29" s="4">
        <f t="shared" si="0"/>
        <v>103.004</v>
      </c>
      <c r="C29" s="1">
        <f t="shared" si="7"/>
        <v>91.463000000000008</v>
      </c>
      <c r="D29" s="31">
        <f t="shared" si="8"/>
        <v>167662.54999999993</v>
      </c>
      <c r="E29" s="32">
        <f>$B$6*(A29-$A$14)/360*$B$5</f>
        <v>13888.888888888889</v>
      </c>
      <c r="F29" s="4">
        <f t="shared" si="3"/>
        <v>101.027</v>
      </c>
      <c r="G29" s="31">
        <f t="shared" si="4"/>
        <v>161400.00000000009</v>
      </c>
      <c r="H29" s="32">
        <f t="shared" si="5"/>
        <v>11025.520833333332</v>
      </c>
      <c r="I29" s="82">
        <f t="shared" si="6"/>
        <v>39989.662666666482</v>
      </c>
      <c r="J29" s="1"/>
      <c r="K29" s="126">
        <v>45789.625</v>
      </c>
      <c r="L29" s="3">
        <v>105.154</v>
      </c>
      <c r="M29" s="126">
        <v>45790.625</v>
      </c>
      <c r="N29" s="3">
        <v>96.102000000000004</v>
      </c>
    </row>
    <row r="30" spans="1:14" hidden="1" x14ac:dyDescent="0.3">
      <c r="A30" s="36">
        <v>45924</v>
      </c>
      <c r="B30" s="4">
        <f t="shared" si="0"/>
        <v>102.914</v>
      </c>
      <c r="C30" s="1">
        <f t="shared" si="7"/>
        <v>91.373000000000005</v>
      </c>
      <c r="D30" s="31">
        <f t="shared" si="8"/>
        <v>168666.04999999996</v>
      </c>
      <c r="E30" s="32">
        <f>$B$6*(A30-$A$14)/360*$B$5</f>
        <v>14583.333333333332</v>
      </c>
      <c r="F30" s="4">
        <f t="shared" si="3"/>
        <v>101.15</v>
      </c>
      <c r="G30" s="31">
        <f t="shared" si="4"/>
        <v>170625.00000000044</v>
      </c>
      <c r="H30" s="32">
        <f t="shared" si="5"/>
        <v>11576.796875</v>
      </c>
      <c r="I30" s="82">
        <f t="shared" si="6"/>
        <v>32199.98162499952</v>
      </c>
      <c r="J30" s="1"/>
      <c r="K30" s="126">
        <v>45790.625</v>
      </c>
      <c r="L30" s="3">
        <v>99.885999999999996</v>
      </c>
      <c r="M30" s="126">
        <v>45791.625</v>
      </c>
      <c r="N30" s="3">
        <v>95.909000000000006</v>
      </c>
    </row>
    <row r="31" spans="1:14" hidden="1" x14ac:dyDescent="0.3">
      <c r="A31" s="36">
        <v>45925</v>
      </c>
      <c r="B31" s="4">
        <f t="shared" si="0"/>
        <v>105.236</v>
      </c>
      <c r="C31" s="1">
        <f t="shared" si="7"/>
        <v>93.695000000000007</v>
      </c>
      <c r="D31" s="31">
        <f t="shared" si="8"/>
        <v>142775.74999999994</v>
      </c>
      <c r="E31" s="32">
        <f t="shared" ref="E31:E39" si="9">$B$6*(A31-$A$14)/360*$B$5</f>
        <v>15277.777777777777</v>
      </c>
      <c r="F31" s="4">
        <f t="shared" si="3"/>
        <v>100.76300000000001</v>
      </c>
      <c r="G31" s="31">
        <f t="shared" si="4"/>
        <v>141600.00000000041</v>
      </c>
      <c r="H31" s="32">
        <f t="shared" si="5"/>
        <v>12128.072916666668</v>
      </c>
      <c r="I31" s="82">
        <f t="shared" si="6"/>
        <v>31194.55458333284</v>
      </c>
      <c r="J31" s="1"/>
      <c r="K31" s="126">
        <v>45791.625</v>
      </c>
      <c r="L31" s="3">
        <v>99.960999999999999</v>
      </c>
      <c r="M31" s="126">
        <v>45792.625</v>
      </c>
      <c r="N31" s="3">
        <v>95.572000000000003</v>
      </c>
    </row>
    <row r="32" spans="1:14" hidden="1" x14ac:dyDescent="0.3">
      <c r="A32" s="36">
        <v>45926</v>
      </c>
      <c r="B32" s="4">
        <f t="shared" si="0"/>
        <v>105.75</v>
      </c>
      <c r="C32" s="1">
        <f t="shared" si="7"/>
        <v>94.209000000000003</v>
      </c>
      <c r="D32" s="31">
        <f t="shared" si="8"/>
        <v>137044.64999999997</v>
      </c>
      <c r="E32" s="32">
        <f t="shared" si="9"/>
        <v>15972.222222222223</v>
      </c>
      <c r="F32" s="4">
        <f t="shared" si="3"/>
        <v>100.681</v>
      </c>
      <c r="G32" s="1">
        <f t="shared" si="4"/>
        <v>135449.99999999983</v>
      </c>
      <c r="H32" s="32">
        <f t="shared" si="5"/>
        <v>12679.348958333332</v>
      </c>
      <c r="I32" s="82">
        <f t="shared" si="6"/>
        <v>30900.391541666799</v>
      </c>
      <c r="J32" s="1"/>
      <c r="K32" s="126">
        <v>45792.625</v>
      </c>
      <c r="L32" s="3">
        <v>102.67700000000001</v>
      </c>
      <c r="M32" s="126">
        <v>45793.625</v>
      </c>
      <c r="N32" s="3">
        <v>95.935000000000002</v>
      </c>
    </row>
    <row r="33" spans="1:14" hidden="1" x14ac:dyDescent="0.3">
      <c r="A33" s="36">
        <v>45929</v>
      </c>
      <c r="B33" s="4">
        <f t="shared" si="0"/>
        <v>105.6</v>
      </c>
      <c r="C33" s="1">
        <f t="shared" si="7"/>
        <v>94.058999999999997</v>
      </c>
      <c r="D33" s="31">
        <f t="shared" si="8"/>
        <v>138717.15000000002</v>
      </c>
      <c r="E33" s="32">
        <f t="shared" si="9"/>
        <v>18055.555555555558</v>
      </c>
      <c r="F33" s="4">
        <f t="shared" si="3"/>
        <v>101.003</v>
      </c>
      <c r="G33" s="1">
        <f t="shared" si="4"/>
        <v>159600</v>
      </c>
      <c r="H33" s="32">
        <f t="shared" si="5"/>
        <v>14333.177083333336</v>
      </c>
      <c r="I33" s="82">
        <f t="shared" si="6"/>
        <v>9490.8884166666903</v>
      </c>
      <c r="J33" s="1"/>
      <c r="K33" s="126">
        <v>45793.625</v>
      </c>
      <c r="L33" s="3">
        <v>101.176</v>
      </c>
      <c r="M33" s="126">
        <v>45796.625</v>
      </c>
      <c r="N33" s="3">
        <v>95.763000000000005</v>
      </c>
    </row>
    <row r="34" spans="1:14" hidden="1" x14ac:dyDescent="0.3">
      <c r="A34" s="36">
        <v>45930</v>
      </c>
      <c r="B34" s="4">
        <f t="shared" si="0"/>
        <v>105.544</v>
      </c>
      <c r="C34" s="1">
        <f t="shared" si="7"/>
        <v>94.003</v>
      </c>
      <c r="D34" s="31">
        <f t="shared" si="8"/>
        <v>139341.54999999999</v>
      </c>
      <c r="E34" s="32">
        <f t="shared" si="9"/>
        <v>18750</v>
      </c>
      <c r="F34" s="4">
        <f t="shared" si="3"/>
        <v>100.789</v>
      </c>
      <c r="G34" s="1">
        <f t="shared" si="4"/>
        <v>143550.00000000012</v>
      </c>
      <c r="H34" s="32">
        <f t="shared" si="5"/>
        <v>14884.453125000007</v>
      </c>
      <c r="I34" s="82">
        <f t="shared" ref="I34:I39" si="10">(D34+E34)*$B$9-G34-H34</f>
        <v>26532.660374999854</v>
      </c>
      <c r="J34" s="1"/>
      <c r="K34" s="126">
        <v>45796.625</v>
      </c>
      <c r="L34" s="3">
        <v>101.77</v>
      </c>
      <c r="M34" s="126">
        <v>45797.625</v>
      </c>
      <c r="N34" s="3">
        <v>95.956000000000003</v>
      </c>
    </row>
    <row r="35" spans="1:14" hidden="1" x14ac:dyDescent="0.3">
      <c r="A35" s="36">
        <v>45931</v>
      </c>
      <c r="B35" s="4">
        <f t="shared" si="0"/>
        <v>104.553</v>
      </c>
      <c r="C35" s="1">
        <f t="shared" si="7"/>
        <v>93.012</v>
      </c>
      <c r="D35" s="31">
        <f t="shared" ref="D35:D40" si="11">-1*(C35-$C$14)*10^-4*$B$8*$B$5</f>
        <v>150391.20000000001</v>
      </c>
      <c r="E35" s="32">
        <f t="shared" si="9"/>
        <v>19444.444444444445</v>
      </c>
      <c r="F35" s="4">
        <f t="shared" si="3"/>
        <v>100.709</v>
      </c>
      <c r="G35" s="1">
        <f t="shared" si="4"/>
        <v>137550.00000000026</v>
      </c>
      <c r="H35" s="32">
        <f t="shared" ref="H35" si="12">$C$6*(A35-$A$14)/360*$C$5-$C$7*(A35-$A$14)/360*$C$5*$F$14/100</f>
        <v>15435.729166666664</v>
      </c>
      <c r="I35" s="82">
        <f t="shared" si="10"/>
        <v>45721.974833333072</v>
      </c>
      <c r="J35" s="1"/>
      <c r="K35" s="126">
        <v>45797.625</v>
      </c>
      <c r="L35" s="3">
        <v>100.45099999999999</v>
      </c>
      <c r="M35" s="126">
        <v>45798.625</v>
      </c>
      <c r="N35" s="3">
        <v>95.772999999999996</v>
      </c>
    </row>
    <row r="36" spans="1:14" hidden="1" x14ac:dyDescent="0.3">
      <c r="A36" s="36">
        <v>45932</v>
      </c>
      <c r="B36" s="4">
        <f t="shared" si="0"/>
        <v>102.07</v>
      </c>
      <c r="C36" s="1">
        <f t="shared" si="7"/>
        <v>90.528999999999996</v>
      </c>
      <c r="D36" s="31">
        <f t="shared" si="11"/>
        <v>178076.65000000005</v>
      </c>
      <c r="E36" s="32">
        <f t="shared" si="9"/>
        <v>20138.888888888887</v>
      </c>
      <c r="F36" s="4">
        <f t="shared" si="3"/>
        <v>101.09399999999999</v>
      </c>
      <c r="G36" s="1">
        <f t="shared" si="4"/>
        <v>166424.99999999956</v>
      </c>
      <c r="H36" s="32">
        <f t="shared" ref="H36:H41" si="13">$C$6*(A36-$A$14)/360*$C$5-$C$7*(A36-$A$14)/360*$C$5*$F$14/100</f>
        <v>15987.005208333343</v>
      </c>
      <c r="I36" s="82">
        <f t="shared" si="10"/>
        <v>49500.175291667139</v>
      </c>
      <c r="J36" s="1"/>
      <c r="K36" s="126">
        <v>45798.625</v>
      </c>
      <c r="L36" s="3">
        <v>101.446</v>
      </c>
      <c r="M36" s="126">
        <v>45799.625</v>
      </c>
      <c r="N36" s="3">
        <v>95.494</v>
      </c>
    </row>
    <row r="37" spans="1:14" x14ac:dyDescent="0.3">
      <c r="A37" s="36">
        <v>45933</v>
      </c>
      <c r="B37" s="4">
        <f t="shared" si="0"/>
        <v>101.73699999999999</v>
      </c>
      <c r="C37" s="1">
        <f t="shared" si="7"/>
        <v>90.195999999999998</v>
      </c>
      <c r="D37" s="31">
        <f t="shared" si="11"/>
        <v>181789.60000000003</v>
      </c>
      <c r="E37" s="32">
        <f t="shared" si="9"/>
        <v>20833.333333333332</v>
      </c>
      <c r="F37" s="4">
        <f t="shared" si="3"/>
        <v>101.012</v>
      </c>
      <c r="G37" s="1">
        <f t="shared" si="4"/>
        <v>160275.00000000003</v>
      </c>
      <c r="H37" s="32">
        <f t="shared" si="13"/>
        <v>16538.281250000007</v>
      </c>
      <c r="I37" s="82">
        <f t="shared" si="10"/>
        <v>60255.550749999988</v>
      </c>
      <c r="J37" s="1"/>
      <c r="K37" s="126">
        <v>45799.625</v>
      </c>
      <c r="L37" s="3">
        <v>104.67400000000001</v>
      </c>
      <c r="M37" s="126">
        <v>45800.625</v>
      </c>
      <c r="N37" s="3">
        <v>95.557000000000002</v>
      </c>
    </row>
    <row r="38" spans="1:14" x14ac:dyDescent="0.3">
      <c r="A38" s="36">
        <v>45936</v>
      </c>
      <c r="B38" s="4">
        <f t="shared" si="0"/>
        <v>106.923</v>
      </c>
      <c r="C38" s="1">
        <f t="shared" si="7"/>
        <v>95.382000000000005</v>
      </c>
      <c r="D38" s="31">
        <f t="shared" si="11"/>
        <v>123965.69999999995</v>
      </c>
      <c r="E38" s="32">
        <f t="shared" si="9"/>
        <v>22916.666666666668</v>
      </c>
      <c r="F38" s="4">
        <f t="shared" si="3"/>
        <v>100.5</v>
      </c>
      <c r="G38" s="1">
        <f t="shared" si="4"/>
        <v>121875</v>
      </c>
      <c r="H38" s="32">
        <f t="shared" si="13"/>
        <v>18192.109375000007</v>
      </c>
      <c r="I38" s="82">
        <f t="shared" si="10"/>
        <v>31785.259624999911</v>
      </c>
      <c r="J38" s="1"/>
      <c r="K38" s="126">
        <v>45800.625</v>
      </c>
      <c r="L38" s="3">
        <v>104.48</v>
      </c>
      <c r="M38" s="126">
        <v>45804.625</v>
      </c>
      <c r="N38" s="3">
        <v>95.932000000000002</v>
      </c>
    </row>
    <row r="39" spans="1:14" x14ac:dyDescent="0.3">
      <c r="A39" s="36">
        <v>45937</v>
      </c>
      <c r="B39" s="4">
        <f t="shared" si="0"/>
        <v>106.367</v>
      </c>
      <c r="C39" s="1">
        <f t="shared" si="7"/>
        <v>94.826000000000008</v>
      </c>
      <c r="D39" s="31">
        <f t="shared" si="11"/>
        <v>130165.09999999992</v>
      </c>
      <c r="E39" s="32">
        <f t="shared" si="9"/>
        <v>23611.111111111113</v>
      </c>
      <c r="F39" s="4">
        <f t="shared" si="3"/>
        <v>100.55500000000001</v>
      </c>
      <c r="G39" s="1">
        <f t="shared" si="4"/>
        <v>126000.00000000051</v>
      </c>
      <c r="H39" s="32">
        <f t="shared" si="13"/>
        <v>18743.385416666664</v>
      </c>
      <c r="I39" s="82">
        <f t="shared" si="10"/>
        <v>35174.781583332726</v>
      </c>
      <c r="J39" s="1"/>
      <c r="K39" s="126">
        <v>45803.625</v>
      </c>
      <c r="L39" s="3">
        <v>104.973</v>
      </c>
      <c r="M39" s="126">
        <v>45805.625</v>
      </c>
      <c r="N39" s="3">
        <v>96.037000000000006</v>
      </c>
    </row>
    <row r="40" spans="1:14" x14ac:dyDescent="0.3">
      <c r="A40" s="36">
        <v>45938</v>
      </c>
      <c r="B40" s="4">
        <f t="shared" si="0"/>
        <v>104.837</v>
      </c>
      <c r="C40" s="1">
        <f t="shared" si="7"/>
        <v>93.296000000000006</v>
      </c>
      <c r="D40" s="31">
        <f t="shared" si="11"/>
        <v>147224.59999999992</v>
      </c>
      <c r="E40" s="32">
        <f t="shared" ref="E40" si="14">$B$6*(A40-$A$14)/360*$B$5</f>
        <v>24305.555555555558</v>
      </c>
      <c r="F40" s="4">
        <f t="shared" si="3"/>
        <v>100.562</v>
      </c>
      <c r="G40" s="1">
        <f t="shared" ref="G40" si="15">(F40-$F$14)/100*$C$5</f>
        <v>126524.99999999981</v>
      </c>
      <c r="H40" s="32">
        <f t="shared" si="13"/>
        <v>19294.661458333336</v>
      </c>
      <c r="I40" s="82">
        <f t="shared" ref="I40" si="16">(D40+E40)*$B$9-G40-H40</f>
        <v>54870.620541666744</v>
      </c>
      <c r="J40" s="1"/>
      <c r="K40" s="126">
        <v>45804.625</v>
      </c>
      <c r="L40" s="3">
        <v>100.896</v>
      </c>
      <c r="M40" s="126">
        <v>45806.625</v>
      </c>
      <c r="N40" s="3">
        <v>96.45</v>
      </c>
    </row>
    <row r="41" spans="1:14" x14ac:dyDescent="0.3">
      <c r="A41" s="36">
        <v>45939</v>
      </c>
      <c r="B41" s="4">
        <f t="shared" si="0"/>
        <v>104.482</v>
      </c>
      <c r="C41" s="1">
        <f t="shared" si="7"/>
        <v>92.941000000000003</v>
      </c>
      <c r="D41" s="31">
        <f t="shared" ref="D41" si="17">-1*(C41-$C$14)*10^-4*$B$8*$B$5</f>
        <v>151182.84999999998</v>
      </c>
      <c r="E41" s="32">
        <f t="shared" ref="E41" si="18">$B$6*(A41-$A$14)/360*$B$5</f>
        <v>25000</v>
      </c>
      <c r="F41" s="4">
        <f t="shared" si="3"/>
        <v>100.498</v>
      </c>
      <c r="G41" s="1">
        <f t="shared" ref="G41" si="19">(F41-$F$14)/100*$C$5</f>
        <v>121725.00000000035</v>
      </c>
      <c r="H41" s="32">
        <f t="shared" si="13"/>
        <v>19845.937499999989</v>
      </c>
      <c r="I41" s="82">
        <f t="shared" ref="I41" si="20">(D41+E41)*$B$9-G41-H41</f>
        <v>64562.996999999639</v>
      </c>
      <c r="J41" s="1"/>
      <c r="K41" s="126">
        <v>45805.625</v>
      </c>
      <c r="L41" s="3">
        <v>101.648</v>
      </c>
      <c r="M41" s="126">
        <v>45807.625</v>
      </c>
      <c r="N41" s="3">
        <v>96.408000000000001</v>
      </c>
    </row>
    <row r="42" spans="1:14" x14ac:dyDescent="0.3">
      <c r="A42" s="36">
        <v>45940</v>
      </c>
      <c r="B42" s="4">
        <f t="shared" si="0"/>
        <v>104.67</v>
      </c>
      <c r="C42" s="1">
        <f t="shared" si="7"/>
        <v>93.129000000000005</v>
      </c>
      <c r="D42" s="31">
        <f t="shared" ref="D42" si="21">-1*(C42-$C$14)*10^-4*$B$8*$B$5</f>
        <v>149086.64999999994</v>
      </c>
      <c r="E42" s="32">
        <f t="shared" ref="E42" si="22">$B$6*(A42-$A$14)/360*$B$5</f>
        <v>25694.444444444445</v>
      </c>
      <c r="F42" s="4">
        <f t="shared" si="3"/>
        <v>100.498</v>
      </c>
      <c r="G42" s="1">
        <f t="shared" ref="G42" si="23">(F42-$F$14)/100*$C$5</f>
        <v>121725.00000000035</v>
      </c>
      <c r="H42" s="32">
        <f t="shared" ref="H42" si="24">$C$6*(A42-$A$14)/360*$C$5-$C$7*(A42-$A$14)/360*$C$5*$F$14/100</f>
        <v>20397.213541666664</v>
      </c>
      <c r="I42" s="82">
        <f t="shared" ref="I42" si="25">(D42+E42)*$B$9-G42-H42</f>
        <v>62371.666958332899</v>
      </c>
      <c r="J42" s="1"/>
      <c r="K42" s="126">
        <v>45806.625</v>
      </c>
      <c r="L42" s="3">
        <v>99.975999999999999</v>
      </c>
      <c r="M42" s="126">
        <v>45810.625</v>
      </c>
      <c r="N42" s="3">
        <v>96.438999999999993</v>
      </c>
    </row>
    <row r="43" spans="1:14" x14ac:dyDescent="0.3">
      <c r="A43" s="36">
        <v>45943</v>
      </c>
      <c r="B43" s="4">
        <f t="shared" si="0"/>
        <v>108.026</v>
      </c>
      <c r="C43" s="1">
        <f t="shared" si="7"/>
        <v>96.484999999999999</v>
      </c>
      <c r="D43" s="31">
        <f t="shared" ref="D43" si="26">-1*(C43-$C$14)*10^-4*$B$8*$B$5</f>
        <v>111667.25</v>
      </c>
      <c r="E43" s="32">
        <f t="shared" ref="E43" si="27">$B$6*(A43-$A$14)/360*$B$5</f>
        <v>27777.777777777777</v>
      </c>
      <c r="F43" s="4">
        <f t="shared" si="3"/>
        <v>100.498</v>
      </c>
      <c r="G43" s="1">
        <f t="shared" ref="G43" si="28">(F43-$F$14)/100*$C$5</f>
        <v>121725.00000000035</v>
      </c>
      <c r="H43" s="32">
        <f t="shared" ref="H43" si="29">$C$6*(A43-$A$14)/360*$C$5-$C$7*(A43-$A$14)/360*$C$5*$F$14/100</f>
        <v>22051.041666666664</v>
      </c>
      <c r="I43" s="82">
        <f t="shared" ref="I43" si="30">(D43+E43)*$B$9-G43-H43</f>
        <v>19374.640833332982</v>
      </c>
      <c r="J43" s="1"/>
      <c r="K43" s="126">
        <v>45807.625</v>
      </c>
      <c r="L43" s="3">
        <v>100.161</v>
      </c>
      <c r="M43" s="126">
        <v>45811.625</v>
      </c>
      <c r="N43" s="3">
        <v>96.614999999999995</v>
      </c>
    </row>
    <row r="44" spans="1:14" x14ac:dyDescent="0.3">
      <c r="A44" s="36">
        <v>45944</v>
      </c>
      <c r="B44" s="4">
        <f t="shared" si="0"/>
        <v>108.004</v>
      </c>
      <c r="C44" s="1">
        <f t="shared" si="7"/>
        <v>96.463000000000008</v>
      </c>
      <c r="D44" s="31">
        <f t="shared" ref="D44" si="31">-1*(C44-$C$14)*10^-4*$B$8*$B$5</f>
        <v>111912.54999999992</v>
      </c>
      <c r="E44" s="32">
        <f t="shared" ref="E44" si="32">$B$6*(A44-$A$14)/360*$B$5</f>
        <v>28472.222222222223</v>
      </c>
      <c r="F44" s="4">
        <f t="shared" si="3"/>
        <v>99.984999999999999</v>
      </c>
      <c r="G44" s="1">
        <f t="shared" ref="G44" si="33">(F44-$F$14)/100*$C$5</f>
        <v>83249.999999999956</v>
      </c>
      <c r="H44" s="32">
        <f t="shared" ref="H44" si="34">$C$6*(A44-$A$14)/360*$C$5-$C$7*(A44-$A$14)/360*$C$5*$F$14/100</f>
        <v>22602.317708333336</v>
      </c>
      <c r="I44" s="82">
        <f t="shared" ref="I44" si="35">(D44+E44)*$B$9-G44-H44</f>
        <v>58397.865791666605</v>
      </c>
      <c r="J44" s="1"/>
      <c r="K44" s="126">
        <v>45810.625</v>
      </c>
      <c r="L44" s="3">
        <v>100.687</v>
      </c>
      <c r="M44" s="126">
        <v>45812.625</v>
      </c>
      <c r="N44" s="3">
        <v>96.897000000000006</v>
      </c>
    </row>
    <row r="45" spans="1:14" x14ac:dyDescent="0.3">
      <c r="A45" s="36">
        <v>45945</v>
      </c>
      <c r="B45" s="4">
        <f t="shared" si="0"/>
        <v>101.48</v>
      </c>
      <c r="C45" s="1">
        <f t="shared" si="7"/>
        <v>89.939000000000007</v>
      </c>
      <c r="D45" s="31">
        <f t="shared" ref="D45" si="36">-1*(C45-$C$14)*10^-4*$B$8*$B$5</f>
        <v>184655.14999999991</v>
      </c>
      <c r="E45" s="32">
        <f t="shared" ref="E45" si="37">$B$6*(A45-$A$14)/360*$B$5</f>
        <v>29166.666666666664</v>
      </c>
      <c r="F45" s="4">
        <f t="shared" si="3"/>
        <v>100.788</v>
      </c>
      <c r="G45" s="1">
        <f t="shared" ref="G45" si="38">(F45-$F$14)/100*$C$5</f>
        <v>143474.99999999974</v>
      </c>
      <c r="H45" s="32">
        <f t="shared" ref="H45" si="39">$C$6*(A45-$A$14)/360*$C$5-$C$7*(A45-$A$14)/360*$C$5*$F$14/100</f>
        <v>23153.59375</v>
      </c>
      <c r="I45" s="82">
        <f t="shared" ref="I45" si="40">(D45+E45)*$B$9-G45-H45</f>
        <v>83542.931750000134</v>
      </c>
      <c r="J45" s="1"/>
      <c r="K45" s="126">
        <v>45811.625</v>
      </c>
      <c r="L45" s="3">
        <v>100.36</v>
      </c>
      <c r="M45" s="126">
        <v>45813.625</v>
      </c>
      <c r="N45" s="3">
        <v>96.96</v>
      </c>
    </row>
    <row r="46" spans="1:14" x14ac:dyDescent="0.3">
      <c r="A46" s="36">
        <v>45946</v>
      </c>
      <c r="B46" s="4">
        <f t="shared" si="0"/>
        <v>100.968</v>
      </c>
      <c r="C46" s="1">
        <f t="shared" si="7"/>
        <v>89.427000000000007</v>
      </c>
      <c r="D46" s="31">
        <f t="shared" ref="D46" si="41">-1*(C46-$C$14)*10^-4*$B$8*$B$5</f>
        <v>190363.94999999995</v>
      </c>
      <c r="E46" s="32">
        <f t="shared" ref="E46" si="42">$B$6*(A46-$A$14)/360*$B$5</f>
        <v>29861.111111111109</v>
      </c>
      <c r="F46" s="4">
        <f t="shared" si="3"/>
        <v>100.84099999999999</v>
      </c>
      <c r="G46" s="1">
        <f t="shared" ref="G46" si="43">(F46-$F$14)/100*$C$5</f>
        <v>147449.99999999956</v>
      </c>
      <c r="H46" s="32">
        <f t="shared" ref="H46" si="44">$C$6*(A46-$A$14)/360*$C$5-$C$7*(A46-$A$14)/360*$C$5*$F$14/100</f>
        <v>23704.869791666672</v>
      </c>
      <c r="I46" s="82">
        <f t="shared" ref="I46" si="45">(D46+E46)*$B$9-G46-H46</f>
        <v>86508.451708333698</v>
      </c>
      <c r="J46" s="1"/>
      <c r="K46" s="126">
        <v>45812.625</v>
      </c>
      <c r="L46" s="3">
        <v>99.268000000000001</v>
      </c>
      <c r="M46" s="126">
        <v>45814.625</v>
      </c>
      <c r="N46" s="3">
        <v>97.397999999999996</v>
      </c>
    </row>
    <row r="47" spans="1:14" x14ac:dyDescent="0.3">
      <c r="A47" s="36">
        <v>45947</v>
      </c>
      <c r="B47" s="4">
        <f>$B$10</f>
        <v>105.3871</v>
      </c>
      <c r="C47" s="1">
        <f t="shared" si="7"/>
        <v>93.846100000000007</v>
      </c>
      <c r="D47" s="31">
        <f t="shared" ref="D47" si="46">-1*(C47-$C$14)*10^-4*$B$8*$B$5</f>
        <v>141090.9849999999</v>
      </c>
      <c r="E47" s="32">
        <f t="shared" ref="E47" si="47">$B$6*(A47-$A$14)/360*$B$5</f>
        <v>30555.555555555555</v>
      </c>
      <c r="F47" s="4">
        <f>$C$10</f>
        <v>100.803</v>
      </c>
      <c r="G47" s="1">
        <f t="shared" ref="G47" si="48">(F47-$F$14)/100*$C$5</f>
        <v>144599.9999999998</v>
      </c>
      <c r="H47" s="32">
        <f t="shared" ref="H47" si="49">$C$6*(A47-$A$14)/360*$C$5-$C$7*(A47-$A$14)/360*$C$5*$F$14/100</f>
        <v>24256.145833333336</v>
      </c>
      <c r="I47" s="82">
        <f t="shared" ref="I47" si="50">(D47+E47)*$B$9-G47-H47</f>
        <v>31970.306616666734</v>
      </c>
      <c r="J47" s="1"/>
      <c r="K47" s="126">
        <v>45813.625</v>
      </c>
      <c r="L47" s="3">
        <v>99.311999999999998</v>
      </c>
      <c r="M47" s="126">
        <v>45817.625</v>
      </c>
      <c r="N47" s="3">
        <v>97.316999999999993</v>
      </c>
    </row>
    <row r="48" spans="1:14" x14ac:dyDescent="0.3">
      <c r="A48" s="36">
        <v>45950</v>
      </c>
      <c r="B48" s="4"/>
      <c r="C48" s="1"/>
      <c r="D48" s="31"/>
      <c r="E48" s="32"/>
      <c r="F48" s="4"/>
      <c r="G48" s="1"/>
      <c r="H48" s="32"/>
      <c r="I48" s="82"/>
      <c r="J48" s="1"/>
      <c r="K48" s="126">
        <v>45814.625</v>
      </c>
      <c r="L48" s="3">
        <v>99.111999999999995</v>
      </c>
      <c r="M48" s="126">
        <v>45818.625</v>
      </c>
      <c r="N48" s="3">
        <v>97.459000000000003</v>
      </c>
    </row>
    <row r="49" spans="1:14" x14ac:dyDescent="0.3">
      <c r="A49" s="36">
        <v>45951</v>
      </c>
      <c r="B49" s="4"/>
      <c r="C49" s="1"/>
      <c r="D49" s="31"/>
      <c r="E49" s="32"/>
      <c r="F49" s="4"/>
      <c r="G49" s="1"/>
      <c r="H49" s="32"/>
      <c r="I49" s="82"/>
      <c r="J49" s="1"/>
      <c r="K49" s="126">
        <v>45817.625</v>
      </c>
      <c r="L49" s="3">
        <v>97.832999999999998</v>
      </c>
      <c r="M49" s="126">
        <v>45819.625</v>
      </c>
      <c r="N49" s="3">
        <v>97.754000000000005</v>
      </c>
    </row>
    <row r="50" spans="1:14" x14ac:dyDescent="0.3">
      <c r="A50" s="36">
        <v>45952</v>
      </c>
      <c r="B50" s="4"/>
      <c r="C50" s="1"/>
      <c r="D50" s="31"/>
      <c r="E50" s="32"/>
      <c r="F50" s="4"/>
      <c r="G50" s="1"/>
      <c r="H50" s="32"/>
      <c r="I50" s="82"/>
      <c r="J50" s="1"/>
      <c r="K50" s="126">
        <v>45818.625</v>
      </c>
      <c r="L50" s="3">
        <v>97.355999999999995</v>
      </c>
      <c r="M50" s="126">
        <v>45820.625</v>
      </c>
      <c r="N50" s="3">
        <v>97.39</v>
      </c>
    </row>
    <row r="51" spans="1:14" x14ac:dyDescent="0.3">
      <c r="A51" s="36">
        <v>45953</v>
      </c>
      <c r="B51" s="4"/>
      <c r="C51" s="1"/>
      <c r="D51" s="31"/>
      <c r="E51" s="32"/>
      <c r="F51" s="4"/>
      <c r="G51" s="1"/>
      <c r="H51" s="32"/>
      <c r="I51" s="82"/>
      <c r="J51" s="1"/>
      <c r="K51" s="126">
        <v>45819.625</v>
      </c>
      <c r="L51" s="3">
        <v>96.275000000000006</v>
      </c>
      <c r="M51" s="126">
        <v>45821.625</v>
      </c>
      <c r="N51" s="3">
        <v>97.503</v>
      </c>
    </row>
    <row r="52" spans="1:14" x14ac:dyDescent="0.3">
      <c r="A52" s="36">
        <v>45954</v>
      </c>
      <c r="B52" s="4"/>
      <c r="C52" s="1"/>
      <c r="D52" s="31"/>
      <c r="E52" s="32"/>
      <c r="F52" s="4"/>
      <c r="G52" s="1"/>
      <c r="H52" s="32"/>
      <c r="I52" s="82"/>
      <c r="J52" s="1"/>
      <c r="K52" s="126">
        <v>45820.625</v>
      </c>
      <c r="L52" s="3">
        <v>97.052999999999997</v>
      </c>
      <c r="M52" s="126">
        <v>45824.625</v>
      </c>
      <c r="N52" s="3">
        <v>97.588999999999999</v>
      </c>
    </row>
    <row r="53" spans="1:14" x14ac:dyDescent="0.3">
      <c r="A53" s="36">
        <v>45955</v>
      </c>
      <c r="B53" s="4"/>
      <c r="C53" s="1"/>
      <c r="D53" s="31"/>
      <c r="E53" s="32"/>
      <c r="F53" s="4"/>
      <c r="G53" s="1"/>
      <c r="H53" s="32"/>
      <c r="I53" s="82"/>
      <c r="J53" s="1"/>
      <c r="K53" s="126">
        <v>45821.625</v>
      </c>
      <c r="L53" s="3">
        <v>100.646</v>
      </c>
      <c r="M53" s="126">
        <v>45825.625</v>
      </c>
      <c r="N53" s="3">
        <v>97.742000000000004</v>
      </c>
    </row>
    <row r="54" spans="1:14" x14ac:dyDescent="0.3">
      <c r="A54" s="36">
        <v>45956</v>
      </c>
      <c r="B54" s="4"/>
      <c r="C54" s="1"/>
      <c r="D54" s="31"/>
      <c r="E54" s="5"/>
      <c r="F54" s="4"/>
      <c r="G54" s="1"/>
      <c r="H54" s="5"/>
      <c r="I54" s="81"/>
      <c r="J54" s="1"/>
      <c r="K54" s="126">
        <v>45824.625</v>
      </c>
      <c r="L54" s="3">
        <v>98.992000000000004</v>
      </c>
      <c r="M54" s="126">
        <v>45826.625</v>
      </c>
      <c r="N54" s="3">
        <v>97.769000000000005</v>
      </c>
    </row>
    <row r="55" spans="1:14" x14ac:dyDescent="0.3">
      <c r="B55" s="4"/>
      <c r="C55" s="1"/>
      <c r="D55" s="31"/>
      <c r="E55" s="5"/>
      <c r="F55" s="4"/>
      <c r="G55" s="1"/>
      <c r="H55" s="5"/>
      <c r="I55" s="81"/>
      <c r="J55" s="1"/>
      <c r="K55" s="126">
        <v>45825.625</v>
      </c>
      <c r="L55" s="3">
        <v>99.960999999999999</v>
      </c>
      <c r="M55" s="126">
        <v>45828.625</v>
      </c>
      <c r="N55" s="3">
        <v>97.44</v>
      </c>
    </row>
    <row r="56" spans="1:14" x14ac:dyDescent="0.3">
      <c r="B56" s="4"/>
      <c r="C56" s="1"/>
      <c r="D56" s="31"/>
      <c r="E56" s="5"/>
      <c r="F56" s="4"/>
      <c r="G56" s="1"/>
      <c r="H56" s="5"/>
      <c r="I56" s="81"/>
      <c r="J56" s="1"/>
      <c r="K56" s="126">
        <v>45826.625</v>
      </c>
      <c r="L56" s="3">
        <v>101.992</v>
      </c>
      <c r="M56" s="126">
        <v>45831.625</v>
      </c>
      <c r="N56" s="3">
        <v>97.382000000000005</v>
      </c>
    </row>
    <row r="57" spans="1:14" x14ac:dyDescent="0.3">
      <c r="B57" s="4"/>
      <c r="C57" s="1"/>
      <c r="D57" s="31"/>
      <c r="E57" s="5"/>
      <c r="F57" s="4"/>
      <c r="G57" s="1"/>
      <c r="H57" s="5"/>
      <c r="I57" s="81"/>
      <c r="J57" s="1"/>
      <c r="K57" s="126">
        <v>45827.625</v>
      </c>
      <c r="L57" s="3">
        <v>105.15300000000001</v>
      </c>
      <c r="M57" s="126">
        <v>45832.625</v>
      </c>
      <c r="N57" s="3">
        <v>97.813000000000002</v>
      </c>
    </row>
    <row r="58" spans="1:14" x14ac:dyDescent="0.3">
      <c r="B58" s="33"/>
      <c r="E58" s="34"/>
      <c r="F58" s="33"/>
      <c r="H58" s="34"/>
      <c r="I58" s="83"/>
      <c r="K58" s="126">
        <v>45828.625</v>
      </c>
      <c r="L58" s="3">
        <v>104.91800000000001</v>
      </c>
      <c r="M58" s="126">
        <v>45833.625</v>
      </c>
      <c r="N58" s="3">
        <v>97.658000000000001</v>
      </c>
    </row>
    <row r="59" spans="1:14" ht="15" thickBot="1" x14ac:dyDescent="0.35">
      <c r="B59" s="35"/>
      <c r="C59" s="12"/>
      <c r="D59" s="70"/>
      <c r="E59" s="13"/>
      <c r="F59" s="35"/>
      <c r="G59" s="12"/>
      <c r="H59" s="13"/>
      <c r="I59" s="84"/>
      <c r="K59" s="126">
        <v>45831.625</v>
      </c>
      <c r="L59" s="3">
        <v>105.04900000000001</v>
      </c>
      <c r="M59" s="126">
        <v>45834.625</v>
      </c>
      <c r="N59" s="3">
        <v>97.56</v>
      </c>
    </row>
    <row r="60" spans="1:14" x14ac:dyDescent="0.3">
      <c r="K60" s="126">
        <v>45832.625</v>
      </c>
      <c r="L60" s="3">
        <v>98.676000000000002</v>
      </c>
      <c r="M60" s="126">
        <v>45835.625</v>
      </c>
      <c r="N60" s="3">
        <v>97.772000000000006</v>
      </c>
    </row>
    <row r="61" spans="1:14" x14ac:dyDescent="0.3">
      <c r="K61" s="126">
        <v>45833.625</v>
      </c>
      <c r="L61" s="3">
        <v>99.372</v>
      </c>
      <c r="M61" s="126">
        <v>45838.625</v>
      </c>
      <c r="N61" s="3">
        <v>97.974999999999994</v>
      </c>
    </row>
    <row r="62" spans="1:14" x14ac:dyDescent="0.3">
      <c r="K62" s="126">
        <v>45834.625</v>
      </c>
      <c r="L62" s="3">
        <v>99.778000000000006</v>
      </c>
      <c r="M62" s="126">
        <v>45839.625</v>
      </c>
      <c r="N62" s="3">
        <v>98.146000000000001</v>
      </c>
    </row>
    <row r="63" spans="1:14" x14ac:dyDescent="0.3">
      <c r="K63" s="126">
        <v>45835.625</v>
      </c>
      <c r="L63" s="3">
        <v>98.491</v>
      </c>
      <c r="M63" s="126">
        <v>45840.625</v>
      </c>
      <c r="N63" s="3">
        <v>98.274000000000001</v>
      </c>
    </row>
    <row r="64" spans="1:14" x14ac:dyDescent="0.3">
      <c r="K64" s="126">
        <v>45838.625</v>
      </c>
      <c r="L64" s="3">
        <v>97.775999999999996</v>
      </c>
      <c r="M64" s="126">
        <v>45841.625</v>
      </c>
      <c r="N64" s="3">
        <v>98.831000000000003</v>
      </c>
    </row>
    <row r="65" spans="11:14" x14ac:dyDescent="0.3">
      <c r="K65" s="126">
        <v>45839.625</v>
      </c>
      <c r="L65" s="3">
        <v>97.828000000000003</v>
      </c>
      <c r="M65" s="126">
        <v>45845.625</v>
      </c>
      <c r="N65" s="3">
        <v>98.700999999999993</v>
      </c>
    </row>
    <row r="66" spans="11:14" x14ac:dyDescent="0.3">
      <c r="K66" s="126">
        <v>45840.625</v>
      </c>
      <c r="L66" s="3">
        <v>96.846999999999994</v>
      </c>
      <c r="M66" s="126">
        <v>45846.625</v>
      </c>
      <c r="N66" s="3">
        <v>98.694999999999993</v>
      </c>
    </row>
    <row r="67" spans="11:14" x14ac:dyDescent="0.3">
      <c r="K67" s="126">
        <v>45841.625</v>
      </c>
      <c r="L67" s="3">
        <v>96.338999999999999</v>
      </c>
      <c r="M67" s="126">
        <v>45847.625</v>
      </c>
      <c r="N67" s="3">
        <v>99.075000000000003</v>
      </c>
    </row>
    <row r="68" spans="11:14" x14ac:dyDescent="0.3">
      <c r="K68" s="126">
        <v>45842.625</v>
      </c>
      <c r="L68" s="3">
        <v>97.531999999999996</v>
      </c>
      <c r="M68" s="126">
        <v>45848.625</v>
      </c>
      <c r="N68" s="3">
        <v>98.983000000000004</v>
      </c>
    </row>
    <row r="69" spans="11:14" x14ac:dyDescent="0.3">
      <c r="K69" s="126">
        <v>45845.625</v>
      </c>
      <c r="L69" s="3">
        <v>97.003</v>
      </c>
      <c r="M69" s="126">
        <v>45849.625</v>
      </c>
      <c r="N69" s="3">
        <v>98.903999999999996</v>
      </c>
    </row>
    <row r="70" spans="11:14" x14ac:dyDescent="0.3">
      <c r="K70" s="126">
        <v>45846.625</v>
      </c>
      <c r="L70" s="3">
        <v>96.25</v>
      </c>
      <c r="M70" s="126">
        <v>45852.625</v>
      </c>
      <c r="N70" s="3">
        <v>98.831999999999994</v>
      </c>
    </row>
    <row r="71" spans="11:14" x14ac:dyDescent="0.3">
      <c r="K71" s="126">
        <v>45847.625</v>
      </c>
      <c r="L71" s="3">
        <v>96.17</v>
      </c>
      <c r="M71" s="126">
        <v>45853.625</v>
      </c>
      <c r="N71" s="3">
        <v>98.623999999999995</v>
      </c>
    </row>
    <row r="72" spans="11:14" x14ac:dyDescent="0.3">
      <c r="K72" s="126">
        <v>45848.625</v>
      </c>
      <c r="L72" s="3">
        <v>94.885999999999996</v>
      </c>
      <c r="M72" s="126">
        <v>45854.625</v>
      </c>
      <c r="N72" s="3">
        <v>98.533000000000001</v>
      </c>
    </row>
    <row r="73" spans="11:14" x14ac:dyDescent="0.3">
      <c r="K73" s="126">
        <v>45849.625</v>
      </c>
      <c r="L73" s="3">
        <v>96.510999999999996</v>
      </c>
      <c r="M73" s="126">
        <v>45855.625</v>
      </c>
      <c r="N73" s="3">
        <v>98.546000000000006</v>
      </c>
    </row>
    <row r="74" spans="11:14" x14ac:dyDescent="0.3">
      <c r="K74" s="126">
        <v>45852.625</v>
      </c>
      <c r="L74" s="3">
        <v>97.629000000000005</v>
      </c>
      <c r="M74" s="126">
        <v>45856.625</v>
      </c>
      <c r="N74" s="3">
        <v>98.555999999999997</v>
      </c>
    </row>
    <row r="75" spans="11:14" x14ac:dyDescent="0.3">
      <c r="K75" s="126">
        <v>45853.625</v>
      </c>
      <c r="L75" s="3">
        <v>97.247</v>
      </c>
      <c r="M75" s="126">
        <v>45859.625</v>
      </c>
      <c r="N75" s="3">
        <v>98.796999999999997</v>
      </c>
    </row>
    <row r="76" spans="11:14" x14ac:dyDescent="0.3">
      <c r="K76" s="126">
        <v>45854.625</v>
      </c>
      <c r="L76" s="3">
        <v>98.581000000000003</v>
      </c>
      <c r="M76" s="126">
        <v>45860.625</v>
      </c>
      <c r="N76" s="3">
        <v>98.896000000000001</v>
      </c>
    </row>
    <row r="77" spans="11:14" x14ac:dyDescent="0.3">
      <c r="K77" s="126">
        <v>45855.625</v>
      </c>
      <c r="L77" s="3">
        <v>97.709000000000003</v>
      </c>
      <c r="M77" s="126">
        <v>45861.625</v>
      </c>
      <c r="N77" s="3">
        <v>98.986999999999995</v>
      </c>
    </row>
    <row r="78" spans="11:14" x14ac:dyDescent="0.3">
      <c r="K78" s="126">
        <v>45856.625</v>
      </c>
      <c r="L78" s="3">
        <v>97.168999999999997</v>
      </c>
      <c r="M78" s="126">
        <v>45862.625</v>
      </c>
      <c r="N78" s="3">
        <v>99.215000000000003</v>
      </c>
    </row>
    <row r="79" spans="11:14" x14ac:dyDescent="0.3">
      <c r="K79" s="126">
        <v>45859.625</v>
      </c>
      <c r="L79" s="3">
        <v>97.474000000000004</v>
      </c>
      <c r="M79" s="126">
        <v>45863.625</v>
      </c>
      <c r="N79" s="3">
        <v>99.356999999999999</v>
      </c>
    </row>
    <row r="80" spans="11:14" x14ac:dyDescent="0.3">
      <c r="K80" s="126">
        <v>45860.625</v>
      </c>
      <c r="L80" s="3">
        <v>98.94</v>
      </c>
      <c r="M80" s="126">
        <v>45866.625</v>
      </c>
      <c r="N80" s="3">
        <v>99.575000000000003</v>
      </c>
    </row>
    <row r="81" spans="11:14" x14ac:dyDescent="0.3">
      <c r="K81" s="126">
        <v>45861.625</v>
      </c>
      <c r="L81" s="3">
        <v>97.263999999999996</v>
      </c>
      <c r="M81" s="126">
        <v>45867.625</v>
      </c>
      <c r="N81" s="3">
        <v>99.679000000000002</v>
      </c>
    </row>
    <row r="82" spans="11:14" x14ac:dyDescent="0.3">
      <c r="K82" s="126">
        <v>45862.625</v>
      </c>
      <c r="L82" s="3">
        <v>96.298000000000002</v>
      </c>
      <c r="M82" s="126">
        <v>45868.625</v>
      </c>
      <c r="N82" s="3">
        <v>99.745999999999995</v>
      </c>
    </row>
    <row r="83" spans="11:14" x14ac:dyDescent="0.3">
      <c r="K83" s="126">
        <v>45863.625</v>
      </c>
      <c r="L83" s="3">
        <v>96.741</v>
      </c>
      <c r="M83" s="126">
        <v>45869.625</v>
      </c>
      <c r="N83" s="3">
        <v>99.888000000000005</v>
      </c>
    </row>
    <row r="84" spans="11:14" x14ac:dyDescent="0.3">
      <c r="K84" s="126">
        <v>45866.625</v>
      </c>
      <c r="L84" s="3">
        <v>94.462000000000003</v>
      </c>
      <c r="M84" s="126">
        <v>45870.625</v>
      </c>
      <c r="N84" s="3">
        <v>99.468999999999994</v>
      </c>
    </row>
    <row r="85" spans="11:14" x14ac:dyDescent="0.3">
      <c r="K85" s="126">
        <v>45867.625</v>
      </c>
      <c r="L85" s="3">
        <v>94.534000000000006</v>
      </c>
      <c r="M85" s="126">
        <v>45873.625</v>
      </c>
      <c r="N85" s="3">
        <v>99.652000000000001</v>
      </c>
    </row>
    <row r="86" spans="11:14" x14ac:dyDescent="0.3">
      <c r="K86" s="126">
        <v>45868.625</v>
      </c>
      <c r="L86" s="3">
        <v>94.784000000000006</v>
      </c>
      <c r="M86" s="126">
        <v>45874.625</v>
      </c>
      <c r="N86" s="3">
        <v>99.858000000000004</v>
      </c>
    </row>
    <row r="87" spans="11:14" x14ac:dyDescent="0.3">
      <c r="K87" s="126">
        <v>45869.625</v>
      </c>
      <c r="L87" s="3">
        <v>94.63</v>
      </c>
      <c r="M87" s="126">
        <v>45875.625</v>
      </c>
      <c r="N87" s="3">
        <v>100.123</v>
      </c>
    </row>
    <row r="88" spans="11:14" x14ac:dyDescent="0.3">
      <c r="K88" s="126">
        <v>45870.625</v>
      </c>
      <c r="L88" s="3">
        <v>98.915000000000006</v>
      </c>
      <c r="M88" s="126">
        <v>45876.625</v>
      </c>
      <c r="N88" s="3">
        <v>100.367</v>
      </c>
    </row>
    <row r="89" spans="11:14" x14ac:dyDescent="0.3">
      <c r="K89" s="126">
        <v>45873.625</v>
      </c>
      <c r="L89" s="3">
        <v>98.665000000000006</v>
      </c>
      <c r="M89" s="126">
        <v>45877.625</v>
      </c>
      <c r="N89" s="3">
        <v>100.40600000000001</v>
      </c>
    </row>
    <row r="90" spans="11:14" x14ac:dyDescent="0.3">
      <c r="K90" s="126">
        <v>45874.625</v>
      </c>
      <c r="L90" s="3">
        <v>97.302999999999997</v>
      </c>
      <c r="M90" s="126">
        <v>45880.625</v>
      </c>
      <c r="N90" s="3">
        <v>100.592</v>
      </c>
    </row>
    <row r="91" spans="11:14" x14ac:dyDescent="0.3">
      <c r="K91" s="126">
        <v>45875.625</v>
      </c>
      <c r="L91" s="3">
        <v>97.346999999999994</v>
      </c>
      <c r="M91" s="126">
        <v>45881.625</v>
      </c>
      <c r="N91" s="3">
        <v>100.723</v>
      </c>
    </row>
    <row r="92" spans="11:14" x14ac:dyDescent="0.3">
      <c r="K92" s="126">
        <v>45876.625</v>
      </c>
      <c r="L92" s="3">
        <v>95.873999999999995</v>
      </c>
      <c r="M92" s="126">
        <v>45882.625</v>
      </c>
      <c r="N92" s="3">
        <v>100.87</v>
      </c>
    </row>
    <row r="93" spans="11:14" x14ac:dyDescent="0.3">
      <c r="K93" s="126">
        <v>45877.625</v>
      </c>
      <c r="L93" s="3">
        <v>95.239000000000004</v>
      </c>
      <c r="M93" s="126">
        <v>45883.625</v>
      </c>
      <c r="N93" s="3">
        <v>100.889</v>
      </c>
    </row>
    <row r="94" spans="11:14" x14ac:dyDescent="0.3">
      <c r="K94" s="126">
        <v>45880.625</v>
      </c>
      <c r="L94" s="3">
        <v>94.683000000000007</v>
      </c>
      <c r="M94" s="126">
        <v>45884.625</v>
      </c>
      <c r="N94" s="3">
        <v>101.062</v>
      </c>
    </row>
    <row r="95" spans="11:14" x14ac:dyDescent="0.3">
      <c r="K95" s="126">
        <v>45881.625</v>
      </c>
      <c r="L95" s="3">
        <v>94.650999999999996</v>
      </c>
      <c r="M95" s="126">
        <v>45887.625</v>
      </c>
      <c r="N95" s="3">
        <v>100.98699999999999</v>
      </c>
    </row>
    <row r="96" spans="11:14" x14ac:dyDescent="0.3">
      <c r="K96" s="126">
        <v>45882.625</v>
      </c>
      <c r="L96" s="3">
        <v>92.992999999999995</v>
      </c>
      <c r="M96" s="126">
        <v>45888.625</v>
      </c>
      <c r="N96" s="3">
        <v>101.111</v>
      </c>
    </row>
    <row r="97" spans="11:14" x14ac:dyDescent="0.3">
      <c r="K97" s="126">
        <v>45883.625</v>
      </c>
      <c r="L97" s="3">
        <v>92.293999999999997</v>
      </c>
      <c r="M97" s="126">
        <v>45889.625</v>
      </c>
      <c r="N97" s="3">
        <v>100.663</v>
      </c>
    </row>
    <row r="98" spans="11:14" x14ac:dyDescent="0.3">
      <c r="K98" s="126">
        <v>45884.625</v>
      </c>
      <c r="L98" s="3">
        <v>91.725999999999999</v>
      </c>
      <c r="M98" s="126">
        <v>45890.625</v>
      </c>
      <c r="N98" s="3">
        <v>100.253</v>
      </c>
    </row>
    <row r="99" spans="11:14" x14ac:dyDescent="0.3">
      <c r="K99" s="126">
        <v>45887.625</v>
      </c>
      <c r="L99" s="3">
        <v>92.222999999999999</v>
      </c>
      <c r="M99" s="126">
        <v>45891.625</v>
      </c>
      <c r="N99" s="3">
        <v>100.52800000000001</v>
      </c>
    </row>
    <row r="100" spans="11:14" x14ac:dyDescent="0.3">
      <c r="K100" s="126">
        <v>45888.625</v>
      </c>
      <c r="L100" s="3">
        <v>92.4</v>
      </c>
      <c r="M100" s="126">
        <v>45894.625</v>
      </c>
      <c r="N100" s="3">
        <v>100.44</v>
      </c>
    </row>
    <row r="101" spans="11:14" x14ac:dyDescent="0.3">
      <c r="K101" s="126">
        <v>45889.625</v>
      </c>
      <c r="L101" s="3">
        <v>93.158000000000001</v>
      </c>
      <c r="M101" s="126">
        <v>45895.625</v>
      </c>
      <c r="N101" s="3">
        <v>100.071</v>
      </c>
    </row>
    <row r="102" spans="11:14" x14ac:dyDescent="0.3">
      <c r="K102" s="126">
        <v>45890.625</v>
      </c>
      <c r="L102" s="3">
        <v>94.564999999999998</v>
      </c>
      <c r="M102" s="126">
        <v>45896.625</v>
      </c>
      <c r="N102" s="3">
        <v>100.041</v>
      </c>
    </row>
    <row r="103" spans="11:14" x14ac:dyDescent="0.3">
      <c r="K103" s="126">
        <v>45891.625</v>
      </c>
      <c r="L103" s="3">
        <v>95.510999999999996</v>
      </c>
      <c r="M103" s="126">
        <v>45897.625</v>
      </c>
      <c r="N103" s="3">
        <v>100.211</v>
      </c>
    </row>
    <row r="104" spans="11:14" x14ac:dyDescent="0.3">
      <c r="K104" s="126">
        <v>45894.625</v>
      </c>
      <c r="L104" s="3">
        <v>94.742999999999995</v>
      </c>
      <c r="M104" s="126">
        <v>45898.625</v>
      </c>
      <c r="N104" s="3">
        <v>100.113</v>
      </c>
    </row>
    <row r="105" spans="11:14" x14ac:dyDescent="0.3">
      <c r="K105" s="126">
        <v>45895.625</v>
      </c>
      <c r="L105" s="3">
        <v>100.36199999999999</v>
      </c>
      <c r="M105" s="126">
        <v>45902.625</v>
      </c>
      <c r="N105" s="3">
        <v>99.4</v>
      </c>
    </row>
    <row r="106" spans="11:14" x14ac:dyDescent="0.3">
      <c r="K106" s="126">
        <v>45896.625</v>
      </c>
      <c r="L106" s="3">
        <v>100.863</v>
      </c>
      <c r="M106" s="126">
        <v>45903.625</v>
      </c>
      <c r="N106" s="3">
        <v>99.346999999999994</v>
      </c>
    </row>
    <row r="107" spans="11:14" x14ac:dyDescent="0.3">
      <c r="K107" s="126">
        <v>45897.625</v>
      </c>
      <c r="L107" s="3">
        <v>104.051</v>
      </c>
      <c r="M107" s="126">
        <v>45904.625</v>
      </c>
      <c r="N107" s="3">
        <v>99.266999999999996</v>
      </c>
    </row>
    <row r="108" spans="11:14" x14ac:dyDescent="0.3">
      <c r="K108" s="126">
        <v>45898.625</v>
      </c>
      <c r="L108" s="3">
        <v>105.312</v>
      </c>
      <c r="M108" s="126">
        <v>45905.625</v>
      </c>
      <c r="N108" s="3">
        <v>99.856999999999999</v>
      </c>
    </row>
    <row r="109" spans="11:14" x14ac:dyDescent="0.3">
      <c r="K109" s="126">
        <v>45901.625</v>
      </c>
      <c r="L109" s="3">
        <v>105.065</v>
      </c>
      <c r="M109" s="126">
        <v>45908.625</v>
      </c>
      <c r="N109" s="3">
        <v>99.837000000000003</v>
      </c>
    </row>
    <row r="110" spans="11:14" x14ac:dyDescent="0.3">
      <c r="K110" s="126">
        <v>45902.625</v>
      </c>
      <c r="L110" s="3">
        <v>107.70399999999999</v>
      </c>
      <c r="M110" s="126">
        <v>45909.625</v>
      </c>
      <c r="N110" s="3">
        <v>99.876000000000005</v>
      </c>
    </row>
    <row r="111" spans="11:14" x14ac:dyDescent="0.3">
      <c r="K111" s="126">
        <v>45903.625</v>
      </c>
      <c r="L111" s="3">
        <v>106.65900000000001</v>
      </c>
      <c r="M111" s="126">
        <v>45910.625</v>
      </c>
      <c r="N111" s="3">
        <v>99.942999999999998</v>
      </c>
    </row>
    <row r="112" spans="11:14" x14ac:dyDescent="0.3">
      <c r="K112" s="126">
        <v>45904.625</v>
      </c>
      <c r="L112" s="3">
        <v>102.55200000000001</v>
      </c>
      <c r="M112" s="126">
        <v>45911.625</v>
      </c>
      <c r="N112" s="3">
        <v>100.11</v>
      </c>
    </row>
    <row r="113" spans="11:14" x14ac:dyDescent="0.3">
      <c r="K113" s="126">
        <v>45905.625</v>
      </c>
      <c r="L113" s="3">
        <v>97.619</v>
      </c>
      <c r="M113" s="126">
        <v>45912.625</v>
      </c>
      <c r="N113" s="3">
        <v>100.373</v>
      </c>
    </row>
    <row r="114" spans="11:14" x14ac:dyDescent="0.3">
      <c r="K114" s="126">
        <v>45908.625</v>
      </c>
      <c r="L114" s="3">
        <v>97.876000000000005</v>
      </c>
      <c r="M114" s="126">
        <v>45915.625</v>
      </c>
      <c r="N114" s="3">
        <v>100.343</v>
      </c>
    </row>
    <row r="115" spans="11:14" x14ac:dyDescent="0.3">
      <c r="K115" s="126">
        <v>45909.625</v>
      </c>
      <c r="L115" s="3">
        <v>96.716999999999999</v>
      </c>
      <c r="M115" s="126">
        <v>45916.625</v>
      </c>
      <c r="N115" s="3">
        <v>100.643</v>
      </c>
    </row>
    <row r="116" spans="11:14" x14ac:dyDescent="0.3">
      <c r="K116" s="126">
        <v>45910.625</v>
      </c>
      <c r="L116" s="3">
        <v>95.831999999999994</v>
      </c>
      <c r="M116" s="126">
        <v>45917.625</v>
      </c>
      <c r="N116" s="3">
        <v>100.554</v>
      </c>
    </row>
    <row r="117" spans="11:14" x14ac:dyDescent="0.3">
      <c r="K117" s="126">
        <v>45911.625</v>
      </c>
      <c r="L117" s="3">
        <v>93.906000000000006</v>
      </c>
      <c r="M117" s="126">
        <v>45918.625</v>
      </c>
      <c r="N117" s="3">
        <v>101.01600000000001</v>
      </c>
    </row>
    <row r="118" spans="11:14" x14ac:dyDescent="0.3">
      <c r="K118" s="126">
        <v>45912.625</v>
      </c>
      <c r="L118" s="3">
        <v>92.352999999999994</v>
      </c>
      <c r="M118" s="126">
        <v>45919.625</v>
      </c>
      <c r="N118" s="3">
        <v>101.05800000000001</v>
      </c>
    </row>
    <row r="119" spans="11:14" x14ac:dyDescent="0.3">
      <c r="K119" s="126">
        <v>45915.625</v>
      </c>
      <c r="L119" s="3">
        <v>91.721999999999994</v>
      </c>
      <c r="M119" s="126">
        <v>45922.625</v>
      </c>
      <c r="N119" s="3">
        <v>101.03100000000001</v>
      </c>
    </row>
    <row r="120" spans="11:14" x14ac:dyDescent="0.3">
      <c r="K120" s="126">
        <v>45916.625</v>
      </c>
      <c r="L120" s="3">
        <v>92.043000000000006</v>
      </c>
      <c r="M120" s="126">
        <v>45923.625</v>
      </c>
      <c r="N120" s="3">
        <v>101.027</v>
      </c>
    </row>
    <row r="121" spans="11:14" x14ac:dyDescent="0.3">
      <c r="K121" s="126">
        <v>45917.625</v>
      </c>
      <c r="L121" s="3">
        <v>92.41</v>
      </c>
      <c r="M121" s="126">
        <v>45924.625</v>
      </c>
      <c r="N121" s="3">
        <v>101.15</v>
      </c>
    </row>
    <row r="122" spans="11:14" x14ac:dyDescent="0.3">
      <c r="K122" s="126">
        <v>45918.625</v>
      </c>
      <c r="L122" s="3">
        <v>91.355999999999995</v>
      </c>
      <c r="M122" s="126">
        <v>45925.625</v>
      </c>
      <c r="N122" s="3">
        <v>100.76300000000001</v>
      </c>
    </row>
    <row r="123" spans="11:14" x14ac:dyDescent="0.3">
      <c r="K123" s="126">
        <v>45919.625</v>
      </c>
      <c r="L123" s="3">
        <v>91.385999999999996</v>
      </c>
      <c r="M123" s="126">
        <v>45926.625</v>
      </c>
      <c r="N123" s="3">
        <v>100.681</v>
      </c>
    </row>
    <row r="124" spans="11:14" x14ac:dyDescent="0.3">
      <c r="K124" s="126">
        <v>45922.625</v>
      </c>
      <c r="L124" s="3">
        <v>103.479</v>
      </c>
      <c r="M124" s="126">
        <v>45929.625</v>
      </c>
      <c r="N124" s="3">
        <v>101.003</v>
      </c>
    </row>
    <row r="125" spans="11:14" x14ac:dyDescent="0.3">
      <c r="K125" s="126">
        <v>45923.625</v>
      </c>
      <c r="L125" s="3">
        <v>103.004</v>
      </c>
      <c r="M125" s="126">
        <v>45930.625</v>
      </c>
      <c r="N125" s="3">
        <v>100.789</v>
      </c>
    </row>
    <row r="126" spans="11:14" x14ac:dyDescent="0.3">
      <c r="K126" s="126">
        <v>45924.625</v>
      </c>
      <c r="L126" s="3">
        <v>102.914</v>
      </c>
      <c r="M126" s="126">
        <v>45931.625</v>
      </c>
      <c r="N126" s="3">
        <v>100.709</v>
      </c>
    </row>
    <row r="127" spans="11:14" x14ac:dyDescent="0.3">
      <c r="K127" s="126">
        <v>45925.625</v>
      </c>
      <c r="L127" s="3">
        <v>105.236</v>
      </c>
      <c r="M127" s="126">
        <v>45932.625</v>
      </c>
      <c r="N127" s="3">
        <v>101.09399999999999</v>
      </c>
    </row>
    <row r="128" spans="11:14" x14ac:dyDescent="0.3">
      <c r="K128" s="126">
        <v>45926.625</v>
      </c>
      <c r="L128" s="3">
        <v>105.75</v>
      </c>
      <c r="M128" s="126">
        <v>45933.625</v>
      </c>
      <c r="N128" s="3">
        <v>101.012</v>
      </c>
    </row>
    <row r="129" spans="11:14" x14ac:dyDescent="0.3">
      <c r="K129" s="126">
        <v>45929.625</v>
      </c>
      <c r="L129" s="3">
        <v>105.6</v>
      </c>
      <c r="M129" s="126">
        <v>45936.625</v>
      </c>
      <c r="N129" s="3">
        <v>100.5</v>
      </c>
    </row>
    <row r="130" spans="11:14" x14ac:dyDescent="0.3">
      <c r="K130" s="126">
        <v>45930.625</v>
      </c>
      <c r="L130" s="3">
        <v>105.544</v>
      </c>
      <c r="M130" s="126">
        <v>45937.625</v>
      </c>
      <c r="N130" s="3">
        <v>100.55500000000001</v>
      </c>
    </row>
    <row r="131" spans="11:14" x14ac:dyDescent="0.3">
      <c r="K131" s="126">
        <v>45931.625</v>
      </c>
      <c r="L131" s="3">
        <v>104.553</v>
      </c>
      <c r="M131" s="126">
        <v>45938.625</v>
      </c>
      <c r="N131" s="3">
        <v>100.562</v>
      </c>
    </row>
    <row r="132" spans="11:14" x14ac:dyDescent="0.3">
      <c r="K132" s="126">
        <v>45932.625</v>
      </c>
      <c r="L132" s="3">
        <v>102.07</v>
      </c>
      <c r="M132" s="126">
        <v>45939.625</v>
      </c>
      <c r="N132" s="3">
        <v>100.498</v>
      </c>
    </row>
    <row r="133" spans="11:14" x14ac:dyDescent="0.3">
      <c r="K133" s="126">
        <v>45933.625</v>
      </c>
      <c r="L133" s="3">
        <v>101.73699999999999</v>
      </c>
      <c r="M133" s="126">
        <v>45944.625</v>
      </c>
      <c r="N133" s="3">
        <v>99.984999999999999</v>
      </c>
    </row>
    <row r="134" spans="11:14" x14ac:dyDescent="0.3">
      <c r="K134" s="126">
        <v>45936.625</v>
      </c>
      <c r="L134" s="3">
        <v>106.923</v>
      </c>
      <c r="M134" s="126">
        <v>45945.625</v>
      </c>
      <c r="N134" s="3">
        <v>100.788</v>
      </c>
    </row>
    <row r="135" spans="11:14" x14ac:dyDescent="0.3">
      <c r="K135" s="126">
        <v>45937.625</v>
      </c>
      <c r="L135" s="3">
        <v>106.367</v>
      </c>
      <c r="M135" s="126">
        <v>45946.625</v>
      </c>
      <c r="N135" s="3">
        <v>100.84099999999999</v>
      </c>
    </row>
    <row r="136" spans="11:14" x14ac:dyDescent="0.3">
      <c r="K136" s="126">
        <v>45938.625</v>
      </c>
      <c r="L136" s="3">
        <v>104.837</v>
      </c>
      <c r="M136" s="126">
        <v>45947.625</v>
      </c>
      <c r="N136" s="3">
        <v>100.818</v>
      </c>
    </row>
    <row r="137" spans="11:14" x14ac:dyDescent="0.3">
      <c r="K137" s="126">
        <v>45939.625</v>
      </c>
      <c r="L137" s="3">
        <v>104.482</v>
      </c>
      <c r="M137" s="126"/>
    </row>
    <row r="138" spans="11:14" x14ac:dyDescent="0.3">
      <c r="K138" s="126">
        <v>45940.625</v>
      </c>
      <c r="L138" s="3">
        <v>104.67</v>
      </c>
      <c r="M138" s="126"/>
    </row>
    <row r="139" spans="11:14" x14ac:dyDescent="0.3">
      <c r="K139" s="126">
        <v>45943.625</v>
      </c>
      <c r="L139" s="3">
        <v>108.026</v>
      </c>
      <c r="M139" s="126"/>
    </row>
    <row r="140" spans="11:14" x14ac:dyDescent="0.3">
      <c r="K140" s="126">
        <v>45944.625</v>
      </c>
      <c r="L140" s="3">
        <v>108.004</v>
      </c>
    </row>
    <row r="141" spans="11:14" x14ac:dyDescent="0.3">
      <c r="K141" s="126">
        <v>45945.625</v>
      </c>
      <c r="L141" s="3">
        <v>101.48</v>
      </c>
    </row>
    <row r="142" spans="11:14" x14ac:dyDescent="0.3">
      <c r="K142" s="126">
        <v>45946.625</v>
      </c>
      <c r="L142" s="3">
        <v>100.968</v>
      </c>
    </row>
    <row r="143" spans="11:14" x14ac:dyDescent="0.3">
      <c r="K143" s="126">
        <v>45947.625</v>
      </c>
      <c r="L143" s="3">
        <v>105.54600000000001</v>
      </c>
    </row>
    <row r="144" spans="11:14" x14ac:dyDescent="0.3">
      <c r="K144" s="126"/>
    </row>
    <row r="145" spans="11:11" x14ac:dyDescent="0.3">
      <c r="K145" s="126"/>
    </row>
    <row r="146" spans="11:11" x14ac:dyDescent="0.3">
      <c r="K146" s="126"/>
    </row>
  </sheetData>
  <mergeCells count="2">
    <mergeCell ref="B12:E12"/>
    <mergeCell ref="F12:H12"/>
  </mergeCells>
  <conditionalFormatting sqref="I1 H4:H8 I9:I1048576">
    <cfRule type="cellIs" dxfId="26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43"/>
  <sheetViews>
    <sheetView zoomScale="80" zoomScaleNormal="80" workbookViewId="0">
      <selection activeCell="B30" sqref="B30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0.44140625" style="54" bestFit="1" customWidth="1"/>
    <col min="8" max="8" width="14" style="54" customWidth="1"/>
    <col min="9" max="9" width="8.5546875" style="54" bestFit="1" customWidth="1"/>
    <col min="10" max="10" width="10.5546875" style="54" bestFit="1" customWidth="1"/>
    <col min="11" max="11" width="11.88671875" style="54" bestFit="1" customWidth="1"/>
    <col min="12" max="12" width="10.6640625" style="54" bestFit="1" customWidth="1"/>
    <col min="13" max="13" width="15.6640625" style="54" hidden="1" customWidth="1"/>
    <col min="14" max="14" width="8.88671875" style="54" hidden="1" customWidth="1"/>
    <col min="15" max="15" width="15.6640625" style="54" hidden="1" customWidth="1"/>
    <col min="16" max="16" width="8.88671875" style="54" hidden="1" customWidth="1"/>
    <col min="17" max="17" width="15.6640625" style="54" hidden="1" customWidth="1"/>
    <col min="18" max="18" width="8.88671875" style="54" hidden="1" customWidth="1"/>
    <col min="19" max="16384" width="8.88671875" style="54"/>
  </cols>
  <sheetData>
    <row r="1" spans="1:18" ht="15" thickBot="1" x14ac:dyDescent="0.35">
      <c r="A1" s="1"/>
      <c r="B1" s="1"/>
      <c r="C1" s="1"/>
      <c r="D1" s="1"/>
      <c r="E1" s="1"/>
      <c r="L1" s="1"/>
      <c r="M1" s="53"/>
      <c r="N1" s="1"/>
      <c r="O1" s="1"/>
      <c r="P1" s="1"/>
      <c r="Q1" s="1"/>
      <c r="R1" s="1"/>
    </row>
    <row r="2" spans="1:18" ht="15" thickBot="1" x14ac:dyDescent="0.35">
      <c r="A2" s="30"/>
      <c r="B2" s="40" t="s">
        <v>0</v>
      </c>
      <c r="C2" s="44" t="s">
        <v>0</v>
      </c>
      <c r="D2" s="28" t="s">
        <v>1</v>
      </c>
      <c r="F2" s="127" t="s">
        <v>101</v>
      </c>
      <c r="G2" s="128">
        <v>0.625</v>
      </c>
      <c r="L2" s="1"/>
      <c r="M2" s="27" t="s">
        <v>0</v>
      </c>
      <c r="N2" s="1"/>
      <c r="O2" s="44" t="s">
        <v>0</v>
      </c>
      <c r="P2" s="2"/>
      <c r="Q2" s="28" t="s">
        <v>1</v>
      </c>
      <c r="R2" s="1"/>
    </row>
    <row r="3" spans="1:18" x14ac:dyDescent="0.3">
      <c r="A3" s="15" t="s">
        <v>32</v>
      </c>
      <c r="B3" s="1" t="s">
        <v>29</v>
      </c>
      <c r="C3" s="1" t="s">
        <v>30</v>
      </c>
      <c r="D3" s="5" t="s">
        <v>31</v>
      </c>
      <c r="L3" s="1"/>
      <c r="M3" s="126" cm="1">
        <f t="array" ref="M3:N143">_xll.BDH(B4, "LAST_PRICE", "01/01/2025 15:00:00", "01/01/2035 16:00:00", "BarSize=60", "BarType=T", "RecurDaily=True", "TZ=London")</f>
        <v>45751.625</v>
      </c>
      <c r="N3" s="1">
        <v>66.953999999999994</v>
      </c>
      <c r="O3" s="126" cm="1">
        <f t="array" ref="O3:P88">_xll.BDH(C4, "LAST_PRICE", "01/01/2025 15:00:00", "01/01/2035 16:00:00", "BarSize=60", "BarType=T", "RecurDaily=True", "TZ=London")</f>
        <v>45756.625</v>
      </c>
      <c r="P3" s="46">
        <v>51.57</v>
      </c>
      <c r="Q3" s="126" cm="1">
        <f t="array" ref="Q3:R143">_xll.BDH(D4, "LAST_PRICE", "01/01/2025 15:00:00", "01/01/2035 16:00:00", "BarSize=60", "BarType=T", "RecurDaily=True", "TZ=London")</f>
        <v>45751.625</v>
      </c>
      <c r="R3" s="1">
        <v>74.941000000000003</v>
      </c>
    </row>
    <row r="4" spans="1:18" ht="32.25" customHeight="1" x14ac:dyDescent="0.3">
      <c r="A4" s="15" t="s">
        <v>33</v>
      </c>
      <c r="B4" s="41" t="s">
        <v>25</v>
      </c>
      <c r="C4" s="41" t="s">
        <v>26</v>
      </c>
      <c r="D4" s="42" t="s">
        <v>27</v>
      </c>
      <c r="L4" s="1"/>
      <c r="M4" s="129">
        <v>45754.625</v>
      </c>
      <c r="N4" s="1">
        <v>69.620999999999995</v>
      </c>
      <c r="O4" s="130">
        <v>45757.625</v>
      </c>
      <c r="P4" s="1">
        <v>45.164000000000001</v>
      </c>
      <c r="Q4" s="130">
        <v>45754.625</v>
      </c>
      <c r="R4" s="1">
        <v>79.341999999999999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129">
        <v>45755.625</v>
      </c>
      <c r="N5" s="1">
        <v>63.493000000000002</v>
      </c>
      <c r="O5" s="130">
        <v>45763.625</v>
      </c>
      <c r="P5" s="1">
        <v>43.790999999999997</v>
      </c>
      <c r="Q5" s="130">
        <v>45755.625</v>
      </c>
      <c r="R5" s="1">
        <v>75.159000000000006</v>
      </c>
    </row>
    <row r="6" spans="1:18" x14ac:dyDescent="0.3">
      <c r="A6" s="15" t="s">
        <v>10</v>
      </c>
      <c r="B6" s="9">
        <v>0.05</v>
      </c>
      <c r="C6" s="9">
        <v>0.01</v>
      </c>
      <c r="D6" s="43">
        <v>0.01</v>
      </c>
      <c r="L6" s="1"/>
      <c r="M6" s="129">
        <v>45756.625</v>
      </c>
      <c r="N6" s="1">
        <v>68.83</v>
      </c>
      <c r="O6" s="130">
        <v>45769.625</v>
      </c>
      <c r="P6" s="1">
        <v>43.771000000000001</v>
      </c>
      <c r="Q6" s="130">
        <v>45756.625</v>
      </c>
      <c r="R6" s="1">
        <v>85.757999999999996</v>
      </c>
    </row>
    <row r="7" spans="1:18" x14ac:dyDescent="0.3">
      <c r="A7" s="15" t="s">
        <v>12</v>
      </c>
      <c r="B7" s="9">
        <v>0</v>
      </c>
      <c r="C7" s="9">
        <v>0</v>
      </c>
      <c r="D7" s="43">
        <v>0</v>
      </c>
      <c r="L7" s="1"/>
      <c r="M7" s="129">
        <v>45757.625</v>
      </c>
      <c r="N7" s="1">
        <v>59.311</v>
      </c>
      <c r="O7" s="130">
        <v>45770.625</v>
      </c>
      <c r="P7" s="1">
        <v>40.460999999999999</v>
      </c>
      <c r="Q7" s="130">
        <v>45757.625</v>
      </c>
      <c r="R7" s="1">
        <v>79.25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129">
        <v>45758.625</v>
      </c>
      <c r="N8" s="54">
        <v>64.399000000000001</v>
      </c>
      <c r="O8" s="129">
        <v>45771.625</v>
      </c>
      <c r="P8" s="54">
        <v>39.860999999999997</v>
      </c>
      <c r="Q8" s="129">
        <v>45758.625</v>
      </c>
      <c r="R8" s="54">
        <v>83.528999999999996</v>
      </c>
    </row>
    <row r="9" spans="1:18" x14ac:dyDescent="0.3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129">
        <v>45761.625</v>
      </c>
      <c r="N9" s="54">
        <v>61.972000000000001</v>
      </c>
      <c r="O9" s="129">
        <v>45772.625</v>
      </c>
      <c r="P9" s="54">
        <v>39.548999999999999</v>
      </c>
      <c r="Q9" s="129">
        <v>45761.625</v>
      </c>
      <c r="R9" s="54">
        <v>81.986000000000004</v>
      </c>
    </row>
    <row r="10" spans="1:18" ht="15" thickBot="1" x14ac:dyDescent="0.35">
      <c r="A10" s="16" t="s">
        <v>28</v>
      </c>
      <c r="B10" s="121" cm="1">
        <f t="array" ref="B10">_xll.BDP(B4,"px_last")</f>
        <v>48.576169999999998</v>
      </c>
      <c r="C10" s="121" cm="1">
        <f t="array" ref="C10">_xll.BDP(C4,"px_last")</f>
        <v>35.799810000000001</v>
      </c>
      <c r="D10" s="92" cm="1">
        <f t="array" ref="D10">_xll.BDP(D4,"px_last")</f>
        <v>51.177019999999999</v>
      </c>
      <c r="E10" s="1"/>
      <c r="F10" s="1"/>
      <c r="G10" s="1"/>
      <c r="H10" s="1"/>
      <c r="I10" s="1"/>
      <c r="J10" s="1"/>
      <c r="K10" s="1"/>
      <c r="L10" s="1"/>
      <c r="M10" s="129">
        <v>45762.625</v>
      </c>
      <c r="N10" s="54">
        <v>59.048999999999999</v>
      </c>
      <c r="O10" s="129">
        <v>45775.625</v>
      </c>
      <c r="P10" s="54">
        <v>39.125</v>
      </c>
      <c r="Q10" s="129">
        <v>45762.625</v>
      </c>
      <c r="R10" s="54">
        <v>79.822000000000003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29">
        <v>45763.625</v>
      </c>
      <c r="N11" s="54">
        <v>58.631</v>
      </c>
      <c r="O11" s="129">
        <v>45776.625</v>
      </c>
      <c r="P11" s="54">
        <v>40.456000000000003</v>
      </c>
      <c r="Q11" s="129">
        <v>45763.625</v>
      </c>
      <c r="R11" s="54">
        <v>79.712999999999994</v>
      </c>
    </row>
    <row r="12" spans="1:18" ht="15" thickBot="1" x14ac:dyDescent="0.35">
      <c r="A12" s="39" t="s">
        <v>22</v>
      </c>
      <c r="B12" s="153" t="s">
        <v>0</v>
      </c>
      <c r="C12" s="154"/>
      <c r="D12" s="155"/>
      <c r="E12" s="159" t="s">
        <v>0</v>
      </c>
      <c r="F12" s="160"/>
      <c r="G12" s="161"/>
      <c r="H12" s="156" t="s">
        <v>1</v>
      </c>
      <c r="I12" s="157"/>
      <c r="J12" s="158"/>
      <c r="K12" s="39" t="s">
        <v>16</v>
      </c>
      <c r="L12" s="1"/>
      <c r="M12" s="129">
        <v>45764.625</v>
      </c>
      <c r="N12" s="54">
        <v>57.338000000000001</v>
      </c>
      <c r="O12" s="129">
        <v>45783.625</v>
      </c>
      <c r="P12" s="54">
        <v>39.526000000000003</v>
      </c>
      <c r="Q12" s="129">
        <v>45764.625</v>
      </c>
      <c r="R12" s="54">
        <v>78.915000000000006</v>
      </c>
    </row>
    <row r="13" spans="1:18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129">
        <v>45765.625</v>
      </c>
      <c r="N13" s="54">
        <v>57.805</v>
      </c>
      <c r="O13" s="129">
        <v>45784.625</v>
      </c>
      <c r="P13" s="54">
        <v>39.43</v>
      </c>
      <c r="Q13" s="129">
        <v>45765.625</v>
      </c>
      <c r="R13" s="54">
        <v>79.394999999999996</v>
      </c>
    </row>
    <row r="14" spans="1:18" x14ac:dyDescent="0.3">
      <c r="A14" s="131">
        <v>45924</v>
      </c>
      <c r="B14" s="45">
        <v>44.5</v>
      </c>
      <c r="C14" s="46"/>
      <c r="D14" s="47"/>
      <c r="E14" s="4">
        <v>34</v>
      </c>
      <c r="F14" s="1"/>
      <c r="G14" s="5"/>
      <c r="H14" s="4">
        <v>51</v>
      </c>
      <c r="I14" s="1"/>
      <c r="J14" s="5"/>
      <c r="K14" s="81">
        <v>0</v>
      </c>
      <c r="L14" s="1"/>
      <c r="M14" s="129">
        <v>45768.625</v>
      </c>
      <c r="N14" s="54">
        <v>57.771999999999998</v>
      </c>
      <c r="O14" s="129">
        <v>45789.625</v>
      </c>
      <c r="P14" s="54">
        <v>34.728999999999999</v>
      </c>
      <c r="Q14" s="129">
        <v>45768.625</v>
      </c>
      <c r="R14" s="54">
        <v>79.674000000000007</v>
      </c>
    </row>
    <row r="15" spans="1:18" x14ac:dyDescent="0.3">
      <c r="A15" s="131">
        <v>45925</v>
      </c>
      <c r="B15" s="1">
        <f>VLOOKUP(A15+$G$2,M:N,2)</f>
        <v>46.070999999999998</v>
      </c>
      <c r="C15" s="31">
        <f>-1*(B15-$B$14)*10^-4*$B$8*$B$5</f>
        <v>-12888.483999999986</v>
      </c>
      <c r="D15" s="32">
        <f>$B$6*(A15-$A$14)/360*$B$5</f>
        <v>1944.4444444444443</v>
      </c>
      <c r="E15" s="4">
        <f>VLOOKUP(A15+$G$2,O:P,2)</f>
        <v>35.453000000000003</v>
      </c>
      <c r="F15" s="31">
        <f>-1*(E15-$E$14)*10^-4*$C$8*$C$5</f>
        <v>-11763.488000000023</v>
      </c>
      <c r="G15" s="32">
        <f>$C$6*(A15-$A$14)/360*$C$5</f>
        <v>444.44444444444446</v>
      </c>
      <c r="H15" s="4">
        <f>VLOOKUP(A15+$G$2,Q:R,2)</f>
        <v>49.83</v>
      </c>
      <c r="I15" s="31">
        <f>-1*(H15-$H$14)*10^-4*$D$8*$D$5</f>
        <v>14625.000000000022</v>
      </c>
      <c r="J15" s="32">
        <f>$D$6*(A15-$A$14)/360*$D$5</f>
        <v>694.44444444444446</v>
      </c>
      <c r="K15" s="98">
        <f>C15+D15+F15+G15-I15-J15</f>
        <v>-37582.527555555585</v>
      </c>
      <c r="L15" s="1"/>
      <c r="M15" s="129">
        <v>45769.625</v>
      </c>
      <c r="N15" s="54">
        <v>58.155000000000001</v>
      </c>
      <c r="O15" s="129">
        <v>45790.625</v>
      </c>
      <c r="P15" s="54">
        <v>33.344999999999999</v>
      </c>
      <c r="Q15" s="129">
        <v>45769.625</v>
      </c>
      <c r="R15" s="54">
        <v>80.539000000000001</v>
      </c>
    </row>
    <row r="16" spans="1:18" x14ac:dyDescent="0.3">
      <c r="A16" s="131">
        <v>45926</v>
      </c>
      <c r="B16" s="1">
        <f t="shared" ref="B16:B29" si="0">VLOOKUP(A16+$G$2,M:N,2)</f>
        <v>45.92</v>
      </c>
      <c r="C16" s="31">
        <f t="shared" ref="C16:C17" si="1">-1*(B16-$B$14)*10^-4*$B$8*$B$5</f>
        <v>-11649.680000000015</v>
      </c>
      <c r="D16" s="32">
        <f t="shared" ref="D16:D17" si="2">$B$6*(A16-$A$14)/360*$B$5</f>
        <v>3888.8888888888887</v>
      </c>
      <c r="E16" s="4">
        <f t="shared" ref="E16:E29" si="3">VLOOKUP(A16+$G$2,O:P,2)</f>
        <v>35.406999999999996</v>
      </c>
      <c r="F16" s="31">
        <f t="shared" ref="F16:F17" si="4">-1*(E16-$E$14)*10^-4*$C$8*$C$5</f>
        <v>-11391.071999999971</v>
      </c>
      <c r="G16" s="32">
        <f t="shared" ref="G16:G17" si="5">$C$6*(A16-$A$14)/360*$C$5</f>
        <v>888.88888888888891</v>
      </c>
      <c r="H16" s="4">
        <f t="shared" ref="H16:H29" si="6">VLOOKUP(A16+$G$2,Q:R,2)</f>
        <v>49.52</v>
      </c>
      <c r="I16" s="31">
        <f t="shared" ref="I16:I17" si="7">-1*(H16-$H$14)*10^-4*$D$8*$D$5</f>
        <v>18499.99999999996</v>
      </c>
      <c r="J16" s="32">
        <f t="shared" ref="J16:J17" si="8">$D$6*(A16-$A$14)/360*$D$5</f>
        <v>1388.8888888888889</v>
      </c>
      <c r="K16" s="98">
        <f t="shared" ref="K16:K17" si="9">C16+D16+F16+G16-I16-J16</f>
        <v>-38151.863111111059</v>
      </c>
      <c r="L16" s="1"/>
      <c r="M16" s="129">
        <v>45770.625</v>
      </c>
      <c r="N16" s="54">
        <v>55.276000000000003</v>
      </c>
      <c r="O16" s="129">
        <v>45791.625</v>
      </c>
      <c r="P16" s="54">
        <v>33.110999999999997</v>
      </c>
      <c r="Q16" s="129">
        <v>45770.625</v>
      </c>
      <c r="R16" s="54">
        <v>75.888000000000005</v>
      </c>
    </row>
    <row r="17" spans="1:18" x14ac:dyDescent="0.3">
      <c r="A17" s="131">
        <v>45929</v>
      </c>
      <c r="B17" s="1">
        <f t="shared" si="0"/>
        <v>45.886000000000003</v>
      </c>
      <c r="C17" s="31">
        <f t="shared" si="1"/>
        <v>-11370.744000000024</v>
      </c>
      <c r="D17" s="32">
        <f t="shared" si="2"/>
        <v>9722.2222222222226</v>
      </c>
      <c r="E17" s="4">
        <f t="shared" si="3"/>
        <v>35.353000000000002</v>
      </c>
      <c r="F17" s="31">
        <f t="shared" si="4"/>
        <v>-10953.888000000012</v>
      </c>
      <c r="G17" s="32">
        <f t="shared" si="5"/>
        <v>2222.2222222222222</v>
      </c>
      <c r="H17" s="4">
        <f t="shared" si="6"/>
        <v>48.94</v>
      </c>
      <c r="I17" s="31">
        <f t="shared" si="7"/>
        <v>25750.000000000029</v>
      </c>
      <c r="J17" s="32">
        <f t="shared" si="8"/>
        <v>3472.2222222222222</v>
      </c>
      <c r="K17" s="98">
        <f t="shared" si="9"/>
        <v>-39602.409777777837</v>
      </c>
      <c r="L17" s="1"/>
      <c r="M17" s="129">
        <v>45771.625</v>
      </c>
      <c r="N17" s="54">
        <v>53.866999999999997</v>
      </c>
      <c r="O17" s="129">
        <v>45792.625</v>
      </c>
      <c r="P17" s="54">
        <v>33.978000000000002</v>
      </c>
      <c r="Q17" s="129">
        <v>45771.625</v>
      </c>
      <c r="R17" s="54">
        <v>75.040000000000006</v>
      </c>
    </row>
    <row r="18" spans="1:18" x14ac:dyDescent="0.3">
      <c r="A18" s="131">
        <v>45930</v>
      </c>
      <c r="B18" s="1">
        <f t="shared" si="0"/>
        <v>46.996000000000002</v>
      </c>
      <c r="C18" s="31">
        <f t="shared" ref="C18:C23" si="10">-1*(B18-$B$14)*10^-4*$B$8*$B$5</f>
        <v>-20477.184000000019</v>
      </c>
      <c r="D18" s="32">
        <f t="shared" ref="D18:D23" si="11">$B$6*(A18-$A$14)/360*$B$5</f>
        <v>11666.66666666667</v>
      </c>
      <c r="E18" s="4">
        <f t="shared" si="3"/>
        <v>35.423000000000002</v>
      </c>
      <c r="F18" s="31">
        <f t="shared" ref="F18:F23" si="12">-1*(E18-$E$14)*10^-4*$C$8*$C$5</f>
        <v>-11520.608000000013</v>
      </c>
      <c r="G18" s="32">
        <f t="shared" ref="G18:G23" si="13">$C$6*(A18-$A$14)/360*$C$5</f>
        <v>2666.6666666666665</v>
      </c>
      <c r="H18" s="4">
        <f t="shared" si="6"/>
        <v>49.445</v>
      </c>
      <c r="I18" s="31">
        <f t="shared" ref="I18:I23" si="14">-1*(H18-$H$14)*10^-4*$D$8*$D$5</f>
        <v>19437.5</v>
      </c>
      <c r="J18" s="32">
        <f t="shared" ref="J18" si="15">$D$6*(A18-$A$14)/360*$D$5</f>
        <v>4166.666666666667</v>
      </c>
      <c r="K18" s="98">
        <f>C18+D18+F18+G18-I18-J18</f>
        <v>-41268.625333333359</v>
      </c>
      <c r="L18" s="1"/>
      <c r="M18" s="129">
        <v>45772.625</v>
      </c>
      <c r="N18" s="54">
        <v>52.73</v>
      </c>
      <c r="O18" s="129">
        <v>45793.625</v>
      </c>
      <c r="P18" s="54">
        <v>33.003999999999998</v>
      </c>
      <c r="Q18" s="129">
        <v>45772.625</v>
      </c>
      <c r="R18" s="54">
        <v>73.882999999999996</v>
      </c>
    </row>
    <row r="19" spans="1:18" x14ac:dyDescent="0.3">
      <c r="A19" s="131">
        <v>45931</v>
      </c>
      <c r="B19" s="1">
        <f t="shared" si="0"/>
        <v>46.935000000000002</v>
      </c>
      <c r="C19" s="31">
        <f t="shared" si="10"/>
        <v>-19976.74000000002</v>
      </c>
      <c r="D19" s="32">
        <f t="shared" si="11"/>
        <v>13611.111111111113</v>
      </c>
      <c r="E19" s="4">
        <f t="shared" si="3"/>
        <v>34.911999999999999</v>
      </c>
      <c r="F19" s="31">
        <f t="shared" si="12"/>
        <v>-7383.5519999999924</v>
      </c>
      <c r="G19" s="32">
        <f t="shared" si="13"/>
        <v>3111.1111111111113</v>
      </c>
      <c r="H19" s="4">
        <f t="shared" si="6"/>
        <v>49.313000000000002</v>
      </c>
      <c r="I19" s="31">
        <f t="shared" si="14"/>
        <v>21087.499999999971</v>
      </c>
      <c r="J19" s="32">
        <f t="shared" ref="J19" si="16">$D$6*(A19-$A$14)/360*$D$5</f>
        <v>4861.1111111111113</v>
      </c>
      <c r="K19" s="98">
        <f t="shared" ref="K19" si="17">C19+D19+F19+G19-I19-J19</f>
        <v>-36586.68088888887</v>
      </c>
      <c r="L19" s="1"/>
      <c r="M19" s="129">
        <v>45775.625</v>
      </c>
      <c r="N19" s="54">
        <v>52.848999999999997</v>
      </c>
      <c r="O19" s="129">
        <v>45796.625</v>
      </c>
      <c r="P19" s="54">
        <v>32.823999999999998</v>
      </c>
      <c r="Q19" s="129">
        <v>45775.625</v>
      </c>
      <c r="R19" s="54">
        <v>73.203000000000003</v>
      </c>
    </row>
    <row r="20" spans="1:18" x14ac:dyDescent="0.3">
      <c r="A20" s="131">
        <v>45932</v>
      </c>
      <c r="B20" s="1">
        <f t="shared" si="0"/>
        <v>46.104999999999997</v>
      </c>
      <c r="C20" s="31">
        <f t="shared" si="10"/>
        <v>-13167.419999999976</v>
      </c>
      <c r="D20" s="32">
        <f t="shared" si="11"/>
        <v>15555.555555555555</v>
      </c>
      <c r="E20" s="4">
        <f t="shared" si="3"/>
        <v>33.39</v>
      </c>
      <c r="F20" s="31">
        <f t="shared" si="12"/>
        <v>4938.5599999999959</v>
      </c>
      <c r="G20" s="32">
        <f t="shared" si="13"/>
        <v>3555.5555555555557</v>
      </c>
      <c r="H20" s="4">
        <f t="shared" si="6"/>
        <v>49.113999999999997</v>
      </c>
      <c r="I20" s="31">
        <f t="shared" si="14"/>
        <v>23575.000000000033</v>
      </c>
      <c r="J20" s="32">
        <f t="shared" ref="J20" si="18">$D$6*(A20-$A$14)/360*$D$5</f>
        <v>5555.5555555555557</v>
      </c>
      <c r="K20" s="98">
        <f t="shared" ref="K20" si="19">C20+D20+F20+G20-I20-J20</f>
        <v>-18248.304444444457</v>
      </c>
      <c r="L20" s="1"/>
      <c r="M20" s="129">
        <v>45776.625</v>
      </c>
      <c r="N20" s="54">
        <v>53.277999999999999</v>
      </c>
      <c r="O20" s="129">
        <v>45797.625</v>
      </c>
      <c r="P20" s="54">
        <v>32.951000000000001</v>
      </c>
      <c r="Q20" s="129">
        <v>45776.625</v>
      </c>
      <c r="R20" s="54">
        <v>73.915000000000006</v>
      </c>
    </row>
    <row r="21" spans="1:18" x14ac:dyDescent="0.3">
      <c r="A21" s="131">
        <v>45933</v>
      </c>
      <c r="B21" s="1">
        <f t="shared" si="0"/>
        <v>46.1</v>
      </c>
      <c r="C21" s="31">
        <f t="shared" si="10"/>
        <v>-13126.400000000012</v>
      </c>
      <c r="D21" s="32">
        <f t="shared" si="11"/>
        <v>17500</v>
      </c>
      <c r="E21" s="4">
        <f t="shared" si="3"/>
        <v>33.387</v>
      </c>
      <c r="F21" s="31">
        <f t="shared" si="12"/>
        <v>4962.8479999999963</v>
      </c>
      <c r="G21" s="32">
        <f t="shared" si="13"/>
        <v>4000</v>
      </c>
      <c r="H21" s="4">
        <f t="shared" si="6"/>
        <v>47.597000000000001</v>
      </c>
      <c r="I21" s="31">
        <f t="shared" si="14"/>
        <v>42537.499999999985</v>
      </c>
      <c r="J21" s="32">
        <f t="shared" ref="J21" si="20">$D$6*(A21-$A$14)/360*$D$5</f>
        <v>6250</v>
      </c>
      <c r="K21" s="98">
        <f t="shared" ref="K21" si="21">C21+D21+F21+G21-I21-J21</f>
        <v>-35451.052000000003</v>
      </c>
      <c r="L21" s="1"/>
      <c r="M21" s="129">
        <v>45777.625</v>
      </c>
      <c r="N21" s="54">
        <v>54.14</v>
      </c>
      <c r="O21" s="129">
        <v>45798.625</v>
      </c>
      <c r="P21" s="54">
        <v>32.616</v>
      </c>
      <c r="Q21" s="129">
        <v>45777.625</v>
      </c>
      <c r="R21" s="54">
        <v>76.536000000000001</v>
      </c>
    </row>
    <row r="22" spans="1:18" x14ac:dyDescent="0.3">
      <c r="A22" s="131">
        <v>45936</v>
      </c>
      <c r="B22" s="1">
        <f t="shared" si="0"/>
        <v>46.697000000000003</v>
      </c>
      <c r="C22" s="31">
        <f t="shared" si="10"/>
        <v>-18024.188000000024</v>
      </c>
      <c r="D22" s="32">
        <f t="shared" si="11"/>
        <v>23333.333333333339</v>
      </c>
      <c r="E22" s="4">
        <f t="shared" si="3"/>
        <v>34.415999999999997</v>
      </c>
      <c r="F22" s="31">
        <f t="shared" si="12"/>
        <v>-3367.9359999999742</v>
      </c>
      <c r="G22" s="32">
        <f t="shared" si="13"/>
        <v>5333.333333333333</v>
      </c>
      <c r="H22" s="4">
        <f t="shared" si="6"/>
        <v>49.274000000000001</v>
      </c>
      <c r="I22" s="31">
        <f t="shared" si="14"/>
        <v>21574.999999999989</v>
      </c>
      <c r="J22" s="32">
        <f t="shared" ref="J22" si="22">$D$6*(A22-$A$14)/360*$D$5</f>
        <v>8333.3333333333339</v>
      </c>
      <c r="K22" s="98">
        <f t="shared" ref="K22" si="23">C22+D22+F22+G22-I22-J22</f>
        <v>-22633.790666666646</v>
      </c>
      <c r="L22" s="1"/>
      <c r="M22" s="129">
        <v>45778.625</v>
      </c>
      <c r="N22" s="54">
        <v>53.204000000000001</v>
      </c>
      <c r="O22" s="129">
        <v>45799.625</v>
      </c>
      <c r="P22" s="54">
        <v>33.527999999999999</v>
      </c>
      <c r="Q22" s="129">
        <v>45778.625</v>
      </c>
      <c r="R22" s="54">
        <v>76.347999999999999</v>
      </c>
    </row>
    <row r="23" spans="1:18" x14ac:dyDescent="0.3">
      <c r="A23" s="131">
        <v>45937</v>
      </c>
      <c r="B23" s="1">
        <f t="shared" si="0"/>
        <v>46.832000000000001</v>
      </c>
      <c r="C23" s="31">
        <f t="shared" si="10"/>
        <v>-19131.728000000006</v>
      </c>
      <c r="D23" s="32">
        <f t="shared" si="11"/>
        <v>25277.777777777781</v>
      </c>
      <c r="E23" s="4">
        <f t="shared" si="3"/>
        <v>34.781999999999996</v>
      </c>
      <c r="F23" s="31">
        <f t="shared" si="12"/>
        <v>-6331.071999999971</v>
      </c>
      <c r="G23" s="32">
        <f t="shared" si="13"/>
        <v>5777.7777777777783</v>
      </c>
      <c r="H23" s="4">
        <f t="shared" si="6"/>
        <v>49.777999999999999</v>
      </c>
      <c r="I23" s="31">
        <f t="shared" si="14"/>
        <v>15275.000000000016</v>
      </c>
      <c r="J23" s="32">
        <f t="shared" ref="J23" si="24">$D$6*(A23-$A$14)/360*$D$5</f>
        <v>9027.7777777777792</v>
      </c>
      <c r="K23" s="98">
        <f t="shared" ref="K23" si="25">C23+D23+F23+G23-I23-J23</f>
        <v>-18710.022222222215</v>
      </c>
      <c r="L23" s="1"/>
      <c r="M23" s="129">
        <v>45779.625</v>
      </c>
      <c r="N23" s="54">
        <v>53.01</v>
      </c>
      <c r="O23" s="129">
        <v>45804.625</v>
      </c>
      <c r="P23" s="54">
        <v>32.281999999999996</v>
      </c>
      <c r="Q23" s="129">
        <v>45779.625</v>
      </c>
      <c r="R23" s="54">
        <v>74.768000000000001</v>
      </c>
    </row>
    <row r="24" spans="1:18" x14ac:dyDescent="0.3">
      <c r="A24" s="131">
        <v>45938</v>
      </c>
      <c r="B24" s="1">
        <f t="shared" si="0"/>
        <v>47.168999999999997</v>
      </c>
      <c r="C24" s="31">
        <f t="shared" ref="C24" si="26">-1*(B24-$B$14)*10^-4*$B$8*$B$5</f>
        <v>-21896.475999999977</v>
      </c>
      <c r="D24" s="32">
        <f t="shared" ref="D24" si="27">$B$6*(A24-$A$14)/360*$B$5</f>
        <v>27222.222222222226</v>
      </c>
      <c r="E24" s="4">
        <f t="shared" si="3"/>
        <v>35.098999999999997</v>
      </c>
      <c r="F24" s="31">
        <f t="shared" ref="F24" si="28">-1*(E24-$E$14)*10^-4*$C$8*$C$5</f>
        <v>-8897.5039999999735</v>
      </c>
      <c r="G24" s="32">
        <f t="shared" ref="G24" si="29">$C$6*(A24-$A$14)/360*$C$5</f>
        <v>6222.2222222222226</v>
      </c>
      <c r="H24" s="4">
        <f t="shared" si="6"/>
        <v>49.825000000000003</v>
      </c>
      <c r="I24" s="31">
        <f t="shared" ref="I24" si="30">-1*(H24-$H$14)*10^-4*$D$8*$D$5</f>
        <v>14687.499999999965</v>
      </c>
      <c r="J24" s="32">
        <f t="shared" ref="J24" si="31">$D$6*(A24-$A$14)/360*$D$5</f>
        <v>9722.2222222222226</v>
      </c>
      <c r="K24" s="98">
        <f t="shared" ref="K24" si="32">C24+D24+F24+G24-I24-J24</f>
        <v>-21759.25777777769</v>
      </c>
      <c r="L24" s="1"/>
      <c r="M24" s="129">
        <v>45782.625</v>
      </c>
      <c r="N24" s="54">
        <v>52.942</v>
      </c>
      <c r="O24" s="129">
        <v>45805.625</v>
      </c>
      <c r="P24" s="54">
        <v>31.815000000000001</v>
      </c>
      <c r="Q24" s="129">
        <v>45782.625</v>
      </c>
      <c r="R24" s="54">
        <v>74.805000000000007</v>
      </c>
    </row>
    <row r="25" spans="1:18" x14ac:dyDescent="0.3">
      <c r="A25" s="131">
        <v>45939</v>
      </c>
      <c r="B25" s="1">
        <f t="shared" si="0"/>
        <v>46.902000000000001</v>
      </c>
      <c r="C25" s="31">
        <f t="shared" ref="C25" si="33">-1*(B25-$B$14)*10^-4*$B$8*$B$5</f>
        <v>-19706.008000000013</v>
      </c>
      <c r="D25" s="32">
        <f t="shared" ref="D25" si="34">$B$6*(A25-$A$14)/360*$B$5</f>
        <v>29166.666666666668</v>
      </c>
      <c r="E25" s="4">
        <f t="shared" si="3"/>
        <v>34.442</v>
      </c>
      <c r="F25" s="31">
        <f t="shared" ref="F25" si="35">-1*(E25-$E$14)*10^-4*$C$8*$C$5</f>
        <v>-3578.4320000000012</v>
      </c>
      <c r="G25" s="32">
        <f t="shared" ref="G25" si="36">$C$6*(A25-$A$14)/360*$C$5</f>
        <v>6666.6666666666661</v>
      </c>
      <c r="H25" s="4">
        <f t="shared" si="6"/>
        <v>50.210999999999999</v>
      </c>
      <c r="I25" s="31">
        <f t="shared" ref="I25" si="37">-1*(H25-$H$14)*10^-4*$D$8*$D$5</f>
        <v>9862.5000000000182</v>
      </c>
      <c r="J25" s="32">
        <f t="shared" ref="J25" si="38">$D$6*(A25-$A$14)/360*$D$5</f>
        <v>10416.666666666666</v>
      </c>
      <c r="K25" s="98">
        <f t="shared" ref="K25" si="39">C25+D25+F25+G25-I25-J25</f>
        <v>-7730.2733333333636</v>
      </c>
      <c r="L25" s="1"/>
      <c r="M25" s="129">
        <v>45783.625</v>
      </c>
      <c r="N25" s="54">
        <v>52.347000000000001</v>
      </c>
      <c r="O25" s="129">
        <v>45806.625</v>
      </c>
      <c r="P25" s="54">
        <v>33.478999999999999</v>
      </c>
      <c r="Q25" s="129">
        <v>45783.625</v>
      </c>
      <c r="R25" s="54">
        <v>74.284999999999997</v>
      </c>
    </row>
    <row r="26" spans="1:18" x14ac:dyDescent="0.3">
      <c r="A26" s="131">
        <v>45940</v>
      </c>
      <c r="B26" s="1">
        <f t="shared" si="0"/>
        <v>48.610999999999997</v>
      </c>
      <c r="C26" s="31">
        <f t="shared" ref="C26" si="40">-1*(B26-$B$14)*10^-4*$B$8*$B$5</f>
        <v>-33726.643999999978</v>
      </c>
      <c r="D26" s="32">
        <f t="shared" ref="D26" si="41">$B$6*(A26-$A$14)/360*$B$5</f>
        <v>31111.111111111109</v>
      </c>
      <c r="E26" s="4">
        <f t="shared" si="3"/>
        <v>34.442</v>
      </c>
      <c r="F26" s="31">
        <f t="shared" ref="F26" si="42">-1*(E26-$E$14)*10^-4*$C$8*$C$5</f>
        <v>-3578.4320000000012</v>
      </c>
      <c r="G26" s="32">
        <f t="shared" ref="G26" si="43">$C$6*(A26-$A$14)/360*$C$5</f>
        <v>7111.1111111111113</v>
      </c>
      <c r="H26" s="4">
        <f t="shared" si="6"/>
        <v>50.311</v>
      </c>
      <c r="I26" s="31">
        <f t="shared" ref="I26" si="44">-1*(H26-$H$14)*10^-4*$D$8*$D$5</f>
        <v>8612.5</v>
      </c>
      <c r="J26" s="32">
        <f t="shared" ref="J26" si="45">$D$6*(A26-$A$14)/360*$D$5</f>
        <v>11111.111111111111</v>
      </c>
      <c r="K26" s="98">
        <f t="shared" ref="K26" si="46">C26+D26+F26+G26-I26-J26</f>
        <v>-18806.46488888887</v>
      </c>
      <c r="L26" s="1"/>
      <c r="M26" s="129">
        <v>45784.625</v>
      </c>
      <c r="N26" s="54">
        <v>50.865000000000002</v>
      </c>
      <c r="O26" s="129">
        <v>45810.625</v>
      </c>
      <c r="P26" s="54">
        <v>32.982999999999997</v>
      </c>
      <c r="Q26" s="129">
        <v>45784.625</v>
      </c>
      <c r="R26" s="54">
        <v>73.141000000000005</v>
      </c>
    </row>
    <row r="27" spans="1:18" x14ac:dyDescent="0.3">
      <c r="A27" s="131">
        <v>45943</v>
      </c>
      <c r="B27" s="1">
        <f t="shared" si="0"/>
        <v>50.231000000000002</v>
      </c>
      <c r="C27" s="31">
        <f t="shared" ref="C27" si="47">-1*(B27-$B$14)*10^-4*$B$8*$B$5</f>
        <v>-47017.124000000018</v>
      </c>
      <c r="D27" s="32">
        <f t="shared" ref="D27" si="48">$B$6*(A27-$A$14)/360*$B$5</f>
        <v>36944.444444444445</v>
      </c>
      <c r="E27" s="4">
        <f t="shared" si="3"/>
        <v>36.572000000000003</v>
      </c>
      <c r="F27" s="31">
        <f t="shared" ref="F27" si="49">-1*(E27-$E$14)*10^-4*$C$8*$C$5</f>
        <v>-20822.912000000022</v>
      </c>
      <c r="G27" s="32">
        <f t="shared" ref="G27" si="50">$C$6*(A27-$A$14)/360*$C$5</f>
        <v>8444.4444444444453</v>
      </c>
      <c r="H27" s="4">
        <f t="shared" si="6"/>
        <v>51.667000000000002</v>
      </c>
      <c r="I27" s="31">
        <f t="shared" ref="I27" si="51">-1*(H27-$H$14)*10^-4*$D$8*$D$5</f>
        <v>-8337.50000000002</v>
      </c>
      <c r="J27" s="32">
        <f t="shared" ref="J27" si="52">$D$6*(A27-$A$14)/360*$D$5</f>
        <v>13194.444444444445</v>
      </c>
      <c r="K27" s="98">
        <f t="shared" ref="K27" si="53">C27+D27+F27+G27-I27-J27</f>
        <v>-27308.091555555577</v>
      </c>
      <c r="L27" s="1"/>
      <c r="M27" s="129">
        <v>45785.625</v>
      </c>
      <c r="N27" s="54">
        <v>49.094999999999999</v>
      </c>
      <c r="O27" s="129">
        <v>45811.625</v>
      </c>
      <c r="P27" s="54">
        <v>31.821000000000002</v>
      </c>
      <c r="Q27" s="129">
        <v>45785.625</v>
      </c>
      <c r="R27" s="54">
        <v>71.284999999999997</v>
      </c>
    </row>
    <row r="28" spans="1:18" x14ac:dyDescent="0.3">
      <c r="A28" s="131">
        <v>45944</v>
      </c>
      <c r="B28" s="1">
        <f t="shared" si="0"/>
        <v>50.671999999999997</v>
      </c>
      <c r="C28" s="31">
        <f t="shared" ref="C28" si="54">-1*(B28-$B$14)*10^-4*$B$8*$B$5</f>
        <v>-50635.087999999982</v>
      </c>
      <c r="D28" s="32">
        <f t="shared" ref="D28" si="55">$B$6*(A28-$A$14)/360*$B$5</f>
        <v>38888.888888888891</v>
      </c>
      <c r="E28" s="4">
        <f t="shared" si="3"/>
        <v>37.72</v>
      </c>
      <c r="F28" s="31">
        <f t="shared" ref="F28" si="56">-1*(E28-$E$14)*10^-4*$C$8*$C$5</f>
        <v>-30117.119999999988</v>
      </c>
      <c r="G28" s="32">
        <f t="shared" ref="G28" si="57">$C$6*(A28-$A$14)/360*$C$5</f>
        <v>8888.8888888888887</v>
      </c>
      <c r="H28" s="4">
        <f t="shared" si="6"/>
        <v>53.13</v>
      </c>
      <c r="I28" s="31">
        <f t="shared" ref="I28" si="58">-1*(H28-$H$14)*10^-4*$D$8*$D$5</f>
        <v>-26625.000000000033</v>
      </c>
      <c r="J28" s="32">
        <f t="shared" ref="J28" si="59">$D$6*(A28-$A$14)/360*$D$5</f>
        <v>13888.888888888889</v>
      </c>
      <c r="K28" s="98">
        <f t="shared" ref="K28" si="60">C28+D28+F28+G28-I28-J28</f>
        <v>-20238.319111111043</v>
      </c>
      <c r="L28" s="1"/>
      <c r="M28" s="129">
        <v>45786.625</v>
      </c>
      <c r="N28" s="54">
        <v>48.186</v>
      </c>
      <c r="O28" s="129">
        <v>45812.625</v>
      </c>
      <c r="P28" s="54">
        <v>31.257000000000001</v>
      </c>
      <c r="Q28" s="129">
        <v>45786.625</v>
      </c>
      <c r="R28" s="54">
        <v>68.600999999999999</v>
      </c>
    </row>
    <row r="29" spans="1:18" x14ac:dyDescent="0.3">
      <c r="A29" s="131">
        <v>45945</v>
      </c>
      <c r="B29" s="1">
        <f t="shared" si="0"/>
        <v>47.665999999999997</v>
      </c>
      <c r="C29" s="31">
        <f t="shared" ref="C29" si="61">-1*(B29-$B$14)*10^-4*$B$8*$B$5</f>
        <v>-25973.863999999976</v>
      </c>
      <c r="D29" s="32">
        <f t="shared" ref="D29" si="62">$B$6*(A29-$A$14)/360*$B$5</f>
        <v>40833.333333333336</v>
      </c>
      <c r="E29" s="4">
        <f t="shared" si="3"/>
        <v>35.18</v>
      </c>
      <c r="F29" s="31">
        <f t="shared" ref="F29" si="63">-1*(E29-$E$14)*10^-4*$C$8*$C$5</f>
        <v>-9553.279999999997</v>
      </c>
      <c r="G29" s="32">
        <f t="shared" ref="G29" si="64">$C$6*(A29-$A$14)/360*$C$5</f>
        <v>9333.3333333333321</v>
      </c>
      <c r="H29" s="4">
        <f t="shared" si="6"/>
        <v>50.527999999999999</v>
      </c>
      <c r="I29" s="31">
        <f t="shared" ref="I29" si="65">-1*(H29-$H$14)*10^-4*$D$8*$D$5</f>
        <v>5900.0000000000164</v>
      </c>
      <c r="J29" s="32">
        <f t="shared" ref="J29" si="66">$D$6*(A29-$A$14)/360*$D$5</f>
        <v>14583.333333333332</v>
      </c>
      <c r="K29" s="98">
        <f t="shared" ref="K29" si="67">C29+D29+F29+G29-I29-J29</f>
        <v>-5843.8106666666536</v>
      </c>
      <c r="L29" s="1"/>
      <c r="M29" s="129">
        <v>45789.625</v>
      </c>
      <c r="N29" s="54">
        <v>46.173999999999999</v>
      </c>
      <c r="O29" s="129">
        <v>45817.625</v>
      </c>
      <c r="P29" s="54">
        <v>32.470999999999997</v>
      </c>
      <c r="Q29" s="129">
        <v>45789.625</v>
      </c>
      <c r="R29" s="54">
        <v>64.926000000000002</v>
      </c>
    </row>
    <row r="30" spans="1:18" x14ac:dyDescent="0.3">
      <c r="A30" s="131">
        <v>45946</v>
      </c>
      <c r="B30" s="1">
        <f t="shared" ref="B30" si="68">VLOOKUP(A30+$G$2,M:N,2)</f>
        <v>47.408999999999999</v>
      </c>
      <c r="C30" s="31">
        <f t="shared" ref="C30" si="69">-1*(B30-$B$14)*10^-4*$B$8*$B$5</f>
        <v>-23865.435999999994</v>
      </c>
      <c r="D30" s="32">
        <f t="shared" ref="D30" si="70">$B$6*(A30-$A$14)/360*$B$5</f>
        <v>42777.777777777781</v>
      </c>
      <c r="E30" s="4">
        <f t="shared" ref="E30" si="71">VLOOKUP(A30+$G$2,O:P,2)</f>
        <v>35.090000000000003</v>
      </c>
      <c r="F30" s="31">
        <f t="shared" ref="F30" si="72">-1*(E30-$E$14)*10^-4*$C$8*$C$5</f>
        <v>-8824.6400000000285</v>
      </c>
      <c r="G30" s="32">
        <f t="shared" ref="G30" si="73">$C$6*(A30-$A$14)/360*$C$5</f>
        <v>9777.7777777777774</v>
      </c>
      <c r="H30" s="4">
        <f t="shared" ref="H30" si="74">VLOOKUP(A30+$G$2,Q:R,2)</f>
        <v>50.088999999999999</v>
      </c>
      <c r="I30" s="31">
        <f t="shared" ref="I30" si="75">-1*(H30-$H$14)*10^-4*$D$8*$D$5</f>
        <v>11387.500000000018</v>
      </c>
      <c r="J30" s="32">
        <f t="shared" ref="J30" si="76">$D$6*(A30-$A$14)/360*$D$5</f>
        <v>15277.777777777777</v>
      </c>
      <c r="K30" s="98">
        <f t="shared" ref="K30" si="77">C30+D30+F30+G30-I30-J30</f>
        <v>-6799.7982222222599</v>
      </c>
      <c r="L30" s="1"/>
      <c r="M30" s="129">
        <v>45790.625</v>
      </c>
      <c r="N30" s="54">
        <v>43.274000000000001</v>
      </c>
      <c r="O30" s="129">
        <v>45818.625</v>
      </c>
      <c r="P30" s="54">
        <v>31.704999999999998</v>
      </c>
      <c r="Q30" s="129">
        <v>45790.625</v>
      </c>
      <c r="R30" s="54">
        <v>62.122</v>
      </c>
    </row>
    <row r="31" spans="1:18" x14ac:dyDescent="0.3">
      <c r="A31" s="131">
        <v>45947</v>
      </c>
      <c r="B31" s="46">
        <f>$B$10</f>
        <v>48.576169999999998</v>
      </c>
      <c r="C31" s="31">
        <f t="shared" ref="C31" si="78">-1*(B31-$B$14)*10^-4*$B$8*$B$5</f>
        <v>-33440.898679999984</v>
      </c>
      <c r="D31" s="32">
        <f t="shared" ref="D31" si="79">$B$6*(A31-$A$14)/360*$B$5</f>
        <v>44722.222222222226</v>
      </c>
      <c r="E31" s="45">
        <f>$C$10</f>
        <v>35.799810000000001</v>
      </c>
      <c r="F31" s="31">
        <f t="shared" ref="F31" si="80">-1*(E31-$E$14)*10^-4*$C$8*$C$5</f>
        <v>-14571.261760000007</v>
      </c>
      <c r="G31" s="32">
        <f t="shared" ref="G31" si="81">$C$6*(A31-$A$14)/360*$C$5</f>
        <v>10222.222222222223</v>
      </c>
      <c r="H31" s="45">
        <f>$D$10</f>
        <v>51.177019999999999</v>
      </c>
      <c r="I31" s="31">
        <f>-1*(H31-$H$14)*10^-4*$D$8*$D$5</f>
        <v>-2212.7499999999859</v>
      </c>
      <c r="J31" s="32">
        <f>$D$6*(A31-$A$14)/360*$D$5</f>
        <v>15972.222222222223</v>
      </c>
      <c r="K31" s="98">
        <f>C31+D31+F31+G31-I31-J31</f>
        <v>-6827.1882177777788</v>
      </c>
      <c r="L31" s="1"/>
      <c r="M31" s="129">
        <v>45791.625</v>
      </c>
      <c r="N31" s="54">
        <v>43.774999999999999</v>
      </c>
      <c r="O31" s="129">
        <v>45819.625</v>
      </c>
      <c r="P31" s="54">
        <v>31.355</v>
      </c>
      <c r="Q31" s="129">
        <v>45791.625</v>
      </c>
      <c r="R31" s="54">
        <v>61.744999999999997</v>
      </c>
    </row>
    <row r="32" spans="1:18" x14ac:dyDescent="0.3">
      <c r="A32" s="131">
        <v>45950</v>
      </c>
      <c r="B32" s="45"/>
      <c r="C32" s="31"/>
      <c r="D32" s="32"/>
      <c r="E32" s="4"/>
      <c r="F32" s="31"/>
      <c r="G32" s="32"/>
      <c r="H32" s="4"/>
      <c r="I32" s="31"/>
      <c r="J32" s="32"/>
      <c r="K32" s="81"/>
      <c r="L32" s="1"/>
      <c r="M32" s="129">
        <v>45792.625</v>
      </c>
      <c r="N32" s="54">
        <v>44.514000000000003</v>
      </c>
      <c r="O32" s="129">
        <v>45824.625</v>
      </c>
      <c r="P32" s="54">
        <v>32.851999999999997</v>
      </c>
      <c r="Q32" s="129">
        <v>45792.625</v>
      </c>
      <c r="R32" s="54">
        <v>62.554000000000002</v>
      </c>
    </row>
    <row r="33" spans="1:18" x14ac:dyDescent="0.3">
      <c r="A33" s="131">
        <v>45951</v>
      </c>
      <c r="B33" s="45"/>
      <c r="C33" s="31"/>
      <c r="D33" s="32"/>
      <c r="E33" s="4"/>
      <c r="F33" s="31"/>
      <c r="G33" s="32"/>
      <c r="H33" s="4"/>
      <c r="I33" s="31"/>
      <c r="J33" s="32"/>
      <c r="K33" s="81"/>
      <c r="L33" s="1"/>
      <c r="M33" s="129">
        <v>45793.625</v>
      </c>
      <c r="N33" s="54">
        <v>44.493000000000002</v>
      </c>
      <c r="O33" s="129">
        <v>45825.625</v>
      </c>
      <c r="P33" s="54">
        <v>33.970999999999997</v>
      </c>
      <c r="Q33" s="129">
        <v>45793.625</v>
      </c>
      <c r="R33" s="54">
        <v>63.191000000000003</v>
      </c>
    </row>
    <row r="34" spans="1:18" x14ac:dyDescent="0.3">
      <c r="A34" s="131">
        <v>45952</v>
      </c>
      <c r="B34" s="45"/>
      <c r="C34" s="31"/>
      <c r="D34" s="32"/>
      <c r="E34" s="4"/>
      <c r="F34" s="31"/>
      <c r="G34" s="32"/>
      <c r="H34" s="4"/>
      <c r="I34" s="31"/>
      <c r="J34" s="32"/>
      <c r="K34" s="81"/>
      <c r="L34" s="1"/>
      <c r="M34" s="129">
        <v>45796.625</v>
      </c>
      <c r="N34" s="54">
        <v>44.594999999999999</v>
      </c>
      <c r="O34" s="129">
        <v>45826.625</v>
      </c>
      <c r="P34" s="54">
        <v>34.889000000000003</v>
      </c>
      <c r="Q34" s="129">
        <v>45796.625</v>
      </c>
      <c r="R34" s="54">
        <v>63.14</v>
      </c>
    </row>
    <row r="35" spans="1:18" x14ac:dyDescent="0.3">
      <c r="A35" s="131">
        <v>45953</v>
      </c>
      <c r="B35" s="45"/>
      <c r="C35" s="31"/>
      <c r="D35" s="32"/>
      <c r="E35" s="4"/>
      <c r="F35" s="31"/>
      <c r="G35" s="32"/>
      <c r="H35" s="4"/>
      <c r="I35" s="31"/>
      <c r="J35" s="32"/>
      <c r="K35" s="38"/>
      <c r="L35" s="1"/>
      <c r="M35" s="129">
        <v>45797.625</v>
      </c>
      <c r="N35" s="54">
        <v>44.314999999999998</v>
      </c>
      <c r="O35" s="129">
        <v>45832.625</v>
      </c>
      <c r="P35" s="54">
        <v>33.630000000000003</v>
      </c>
      <c r="Q35" s="129">
        <v>45797.625</v>
      </c>
      <c r="R35" s="54">
        <v>62.087000000000003</v>
      </c>
    </row>
    <row r="36" spans="1:18" x14ac:dyDescent="0.3">
      <c r="A36" s="131">
        <v>45954</v>
      </c>
      <c r="B36" s="45"/>
      <c r="C36" s="31"/>
      <c r="D36" s="32"/>
      <c r="E36" s="4"/>
      <c r="F36" s="31"/>
      <c r="G36" s="32"/>
      <c r="H36" s="4"/>
      <c r="I36" s="31"/>
      <c r="J36" s="32"/>
      <c r="K36" s="38"/>
      <c r="L36" s="1"/>
      <c r="M36" s="129">
        <v>45798.625</v>
      </c>
      <c r="N36" s="54">
        <v>44.335999999999999</v>
      </c>
      <c r="O36" s="129">
        <v>45833.625</v>
      </c>
      <c r="P36" s="54">
        <v>32.624000000000002</v>
      </c>
      <c r="Q36" s="129">
        <v>45798.625</v>
      </c>
      <c r="R36" s="54">
        <v>62.185000000000002</v>
      </c>
    </row>
    <row r="37" spans="1:18" x14ac:dyDescent="0.3">
      <c r="A37" s="131">
        <v>45955</v>
      </c>
      <c r="B37" s="45"/>
      <c r="C37" s="31"/>
      <c r="D37" s="32"/>
      <c r="E37" s="4"/>
      <c r="F37" s="31"/>
      <c r="G37" s="32"/>
      <c r="H37" s="4"/>
      <c r="I37" s="31"/>
      <c r="J37" s="32"/>
      <c r="K37" s="38"/>
      <c r="L37" s="1"/>
      <c r="M37" s="129">
        <v>45799.625</v>
      </c>
      <c r="N37" s="54">
        <v>45.771999999999998</v>
      </c>
      <c r="O37" s="129">
        <v>45853.625</v>
      </c>
      <c r="P37" s="54">
        <v>31.337</v>
      </c>
      <c r="Q37" s="129">
        <v>45799.625</v>
      </c>
      <c r="R37" s="54">
        <v>62.945999999999998</v>
      </c>
    </row>
    <row r="38" spans="1:18" x14ac:dyDescent="0.3">
      <c r="A38" s="131">
        <v>45956</v>
      </c>
      <c r="B38" s="45"/>
      <c r="C38" s="31"/>
      <c r="D38" s="32"/>
      <c r="E38" s="4"/>
      <c r="F38" s="31"/>
      <c r="G38" s="32"/>
      <c r="H38" s="4"/>
      <c r="I38" s="31"/>
      <c r="J38" s="32"/>
      <c r="K38" s="38"/>
      <c r="L38" s="1"/>
      <c r="M38" s="129">
        <v>45800.625</v>
      </c>
      <c r="N38" s="54">
        <v>47.250999999999998</v>
      </c>
      <c r="O38" s="129">
        <v>45854.625</v>
      </c>
      <c r="P38" s="54">
        <v>31.843</v>
      </c>
      <c r="Q38" s="129">
        <v>45800.625</v>
      </c>
      <c r="R38" s="54">
        <v>64.626999999999995</v>
      </c>
    </row>
    <row r="39" spans="1:18" x14ac:dyDescent="0.3">
      <c r="A39" s="110"/>
      <c r="B39" s="45"/>
      <c r="C39" s="31"/>
      <c r="D39" s="32"/>
      <c r="E39" s="4"/>
      <c r="F39" s="31"/>
      <c r="G39" s="32"/>
      <c r="H39" s="4"/>
      <c r="I39" s="31"/>
      <c r="J39" s="32"/>
      <c r="K39" s="38"/>
      <c r="L39" s="1"/>
      <c r="M39" s="129">
        <v>45803.625</v>
      </c>
      <c r="N39" s="54">
        <v>47.389000000000003</v>
      </c>
      <c r="O39" s="129">
        <v>45855.625</v>
      </c>
      <c r="P39" s="54">
        <v>31.506</v>
      </c>
      <c r="Q39" s="129">
        <v>45803.625</v>
      </c>
      <c r="R39" s="54">
        <v>64.301000000000002</v>
      </c>
    </row>
    <row r="40" spans="1:18" x14ac:dyDescent="0.3">
      <c r="A40" s="110"/>
      <c r="B40" s="45"/>
      <c r="C40" s="31"/>
      <c r="D40" s="32"/>
      <c r="E40" s="4"/>
      <c r="F40" s="31"/>
      <c r="G40" s="32"/>
      <c r="H40" s="4"/>
      <c r="I40" s="31"/>
      <c r="J40" s="32"/>
      <c r="K40" s="38"/>
      <c r="L40" s="1"/>
      <c r="M40" s="129">
        <v>45804.625</v>
      </c>
      <c r="N40" s="54">
        <v>45.576000000000001</v>
      </c>
      <c r="O40" s="129">
        <v>45859.625</v>
      </c>
      <c r="P40" s="54">
        <v>30.71</v>
      </c>
      <c r="Q40" s="129">
        <v>45804.625</v>
      </c>
      <c r="R40" s="54">
        <v>62.533000000000001</v>
      </c>
    </row>
    <row r="41" spans="1:18" x14ac:dyDescent="0.3">
      <c r="A41" s="110"/>
      <c r="B41" s="45"/>
      <c r="C41" s="31"/>
      <c r="D41" s="32"/>
      <c r="E41" s="4"/>
      <c r="F41" s="31"/>
      <c r="G41" s="32"/>
      <c r="H41" s="4"/>
      <c r="I41" s="31"/>
      <c r="J41" s="32"/>
      <c r="K41" s="38"/>
      <c r="L41" s="1"/>
      <c r="M41" s="129">
        <v>45805.625</v>
      </c>
      <c r="N41" s="54">
        <v>44.938000000000002</v>
      </c>
      <c r="O41" s="129">
        <v>45866.625</v>
      </c>
      <c r="P41" s="54">
        <v>30.4</v>
      </c>
      <c r="Q41" s="129">
        <v>45805.625</v>
      </c>
      <c r="R41" s="54">
        <v>61.427999999999997</v>
      </c>
    </row>
    <row r="42" spans="1:18" x14ac:dyDescent="0.3">
      <c r="A42" s="110"/>
      <c r="B42" s="45"/>
      <c r="C42" s="31"/>
      <c r="D42" s="32"/>
      <c r="E42" s="4"/>
      <c r="F42" s="31"/>
      <c r="G42" s="32"/>
      <c r="H42" s="4"/>
      <c r="I42" s="31"/>
      <c r="J42" s="32"/>
      <c r="K42" s="38"/>
      <c r="L42" s="1"/>
      <c r="M42" s="129">
        <v>45806.625</v>
      </c>
      <c r="N42" s="54">
        <v>44.045000000000002</v>
      </c>
      <c r="O42" s="129">
        <v>45867.625</v>
      </c>
      <c r="P42" s="54">
        <v>31.736999999999998</v>
      </c>
      <c r="Q42" s="129">
        <v>45806.625</v>
      </c>
      <c r="R42" s="54">
        <v>60.792999999999999</v>
      </c>
    </row>
    <row r="43" spans="1:18" x14ac:dyDescent="0.3">
      <c r="A43" s="15"/>
      <c r="B43" s="45"/>
      <c r="C43" s="31"/>
      <c r="D43" s="32"/>
      <c r="E43" s="4"/>
      <c r="F43" s="31"/>
      <c r="G43" s="32"/>
      <c r="H43" s="4"/>
      <c r="I43" s="31"/>
      <c r="J43" s="32"/>
      <c r="K43" s="38"/>
      <c r="L43" s="1"/>
      <c r="M43" s="129">
        <v>45807.625</v>
      </c>
      <c r="N43" s="54">
        <v>45.179000000000002</v>
      </c>
      <c r="O43" s="129">
        <v>45868.625</v>
      </c>
      <c r="P43" s="54">
        <v>32.436</v>
      </c>
      <c r="Q43" s="129">
        <v>45807.625</v>
      </c>
      <c r="R43" s="54">
        <v>59.956000000000003</v>
      </c>
    </row>
    <row r="44" spans="1:18" ht="15" thickBot="1" x14ac:dyDescent="0.35">
      <c r="A44" s="16"/>
      <c r="B44" s="48"/>
      <c r="C44" s="49"/>
      <c r="D44" s="50"/>
      <c r="E44" s="11"/>
      <c r="F44" s="49"/>
      <c r="G44" s="50"/>
      <c r="H44" s="11"/>
      <c r="I44" s="49"/>
      <c r="J44" s="50"/>
      <c r="K44" s="51"/>
      <c r="L44" s="1"/>
      <c r="M44" s="129">
        <v>45810.625</v>
      </c>
      <c r="N44" s="54">
        <v>44.805999999999997</v>
      </c>
      <c r="O44" s="129">
        <v>45869.625</v>
      </c>
      <c r="P44" s="54">
        <v>32.579000000000001</v>
      </c>
      <c r="Q44" s="129">
        <v>45810.625</v>
      </c>
      <c r="R44" s="54">
        <v>60.311999999999998</v>
      </c>
    </row>
    <row r="45" spans="1:18" x14ac:dyDescent="0.3">
      <c r="B45" s="58"/>
      <c r="C45" s="58"/>
      <c r="D45" s="58"/>
      <c r="F45" s="57"/>
      <c r="G45" s="57"/>
      <c r="I45" s="57"/>
      <c r="J45" s="57"/>
      <c r="K45" s="57"/>
      <c r="M45" s="129">
        <v>45811.625</v>
      </c>
      <c r="N45" s="54">
        <v>43.595999999999997</v>
      </c>
      <c r="O45" s="129">
        <v>45873.625</v>
      </c>
      <c r="P45" s="54">
        <v>33.722000000000001</v>
      </c>
      <c r="Q45" s="129">
        <v>45811.625</v>
      </c>
      <c r="R45" s="54">
        <v>59.81</v>
      </c>
    </row>
    <row r="46" spans="1:18" x14ac:dyDescent="0.3">
      <c r="B46" s="58"/>
      <c r="C46" s="58"/>
      <c r="D46" s="58"/>
      <c r="I46" s="57"/>
      <c r="J46" s="57"/>
      <c r="K46" s="57"/>
      <c r="M46" s="129">
        <v>45812.625</v>
      </c>
      <c r="N46" s="54">
        <v>42.764000000000003</v>
      </c>
      <c r="O46" s="129">
        <v>45874.625</v>
      </c>
      <c r="P46" s="54">
        <v>33.027000000000001</v>
      </c>
      <c r="Q46" s="129">
        <v>45812.625</v>
      </c>
      <c r="R46" s="54">
        <v>58.168999999999997</v>
      </c>
    </row>
    <row r="47" spans="1:18" x14ac:dyDescent="0.3">
      <c r="B47" s="58"/>
      <c r="C47" s="58"/>
      <c r="D47" s="58"/>
      <c r="I47" s="57"/>
      <c r="J47" s="57"/>
      <c r="K47" s="57"/>
      <c r="M47" s="129">
        <v>45813.625</v>
      </c>
      <c r="N47" s="54">
        <v>44.244999999999997</v>
      </c>
      <c r="O47" s="129">
        <v>45875.625</v>
      </c>
      <c r="P47" s="54">
        <v>33.046999999999997</v>
      </c>
      <c r="Q47" s="129">
        <v>45813.625</v>
      </c>
      <c r="R47" s="54">
        <v>58.491999999999997</v>
      </c>
    </row>
    <row r="48" spans="1:18" x14ac:dyDescent="0.3">
      <c r="B48" s="58"/>
      <c r="C48" s="58"/>
      <c r="D48" s="58"/>
      <c r="I48" s="57"/>
      <c r="J48" s="57"/>
      <c r="K48" s="57"/>
      <c r="M48" s="129">
        <v>45814.625</v>
      </c>
      <c r="N48" s="54">
        <v>43.677999999999997</v>
      </c>
      <c r="O48" s="129">
        <v>45888.625</v>
      </c>
      <c r="P48" s="54">
        <v>32.750999999999998</v>
      </c>
      <c r="Q48" s="129">
        <v>45814.625</v>
      </c>
      <c r="R48" s="54">
        <v>58.716999999999999</v>
      </c>
    </row>
    <row r="49" spans="2:18" x14ac:dyDescent="0.3">
      <c r="B49" s="58"/>
      <c r="C49" s="58"/>
      <c r="D49" s="58"/>
      <c r="M49" s="129">
        <v>45817.625</v>
      </c>
      <c r="N49" s="54">
        <v>43.631</v>
      </c>
      <c r="O49" s="129">
        <v>45889.625</v>
      </c>
      <c r="P49" s="54">
        <v>32.89</v>
      </c>
      <c r="Q49" s="129">
        <v>45817.625</v>
      </c>
      <c r="R49" s="54">
        <v>58.598999999999997</v>
      </c>
    </row>
    <row r="50" spans="2:18" x14ac:dyDescent="0.3">
      <c r="B50" s="58"/>
      <c r="C50" s="58"/>
      <c r="D50" s="58"/>
      <c r="M50" s="129">
        <v>45818.625</v>
      </c>
      <c r="N50" s="54">
        <v>43.345999999999997</v>
      </c>
      <c r="O50" s="129">
        <v>45890.625</v>
      </c>
      <c r="P50" s="54">
        <v>32.731000000000002</v>
      </c>
      <c r="Q50" s="129">
        <v>45818.625</v>
      </c>
      <c r="R50" s="54">
        <v>57.927999999999997</v>
      </c>
    </row>
    <row r="51" spans="2:18" x14ac:dyDescent="0.3">
      <c r="B51" s="58"/>
      <c r="C51" s="58"/>
      <c r="D51" s="58"/>
      <c r="M51" s="129">
        <v>45819.625</v>
      </c>
      <c r="N51" s="54">
        <v>42.701999999999998</v>
      </c>
      <c r="O51" s="129">
        <v>45891.625</v>
      </c>
      <c r="P51" s="54">
        <v>33.159999999999997</v>
      </c>
      <c r="Q51" s="129">
        <v>45819.625</v>
      </c>
      <c r="R51" s="54">
        <v>57.012</v>
      </c>
    </row>
    <row r="52" spans="2:18" x14ac:dyDescent="0.3">
      <c r="B52" s="58"/>
      <c r="C52" s="58"/>
      <c r="D52" s="58"/>
      <c r="M52" s="129">
        <v>45820.625</v>
      </c>
      <c r="N52" s="54">
        <v>44.231999999999999</v>
      </c>
      <c r="O52" s="129">
        <v>45895.625</v>
      </c>
      <c r="P52" s="54">
        <v>33.363</v>
      </c>
      <c r="Q52" s="129">
        <v>45820.625</v>
      </c>
      <c r="R52" s="54">
        <v>57.642000000000003</v>
      </c>
    </row>
    <row r="53" spans="2:18" x14ac:dyDescent="0.3">
      <c r="B53" s="58"/>
      <c r="C53" s="58"/>
      <c r="D53" s="58"/>
      <c r="M53" s="129">
        <v>45821.625</v>
      </c>
      <c r="N53" s="54">
        <v>45.863999999999997</v>
      </c>
      <c r="O53" s="129">
        <v>45896.625</v>
      </c>
      <c r="P53" s="54">
        <v>33.249000000000002</v>
      </c>
      <c r="Q53" s="129">
        <v>45821.625</v>
      </c>
      <c r="R53" s="54">
        <v>58.883000000000003</v>
      </c>
    </row>
    <row r="54" spans="2:18" x14ac:dyDescent="0.3">
      <c r="B54" s="58"/>
      <c r="C54" s="58"/>
      <c r="D54" s="58"/>
      <c r="M54" s="129">
        <v>45824.625</v>
      </c>
      <c r="N54" s="54">
        <v>44.610999999999997</v>
      </c>
      <c r="O54" s="129">
        <v>45897.625</v>
      </c>
      <c r="P54" s="54">
        <v>33.628</v>
      </c>
      <c r="Q54" s="129">
        <v>45824.625</v>
      </c>
      <c r="R54" s="54">
        <v>58.064</v>
      </c>
    </row>
    <row r="55" spans="2:18" x14ac:dyDescent="0.3">
      <c r="B55" s="58"/>
      <c r="C55" s="58"/>
      <c r="D55" s="58"/>
      <c r="M55" s="129">
        <v>45825.625</v>
      </c>
      <c r="N55" s="54">
        <v>45.368000000000002</v>
      </c>
      <c r="O55" s="129">
        <v>45901.625</v>
      </c>
      <c r="P55" s="54">
        <v>34.606000000000002</v>
      </c>
      <c r="Q55" s="129">
        <v>45825.625</v>
      </c>
      <c r="R55" s="54">
        <v>57.911999999999999</v>
      </c>
    </row>
    <row r="56" spans="2:18" x14ac:dyDescent="0.3">
      <c r="B56" s="58"/>
      <c r="C56" s="58"/>
      <c r="D56" s="58"/>
      <c r="M56" s="129">
        <v>45826.625</v>
      </c>
      <c r="N56" s="54">
        <v>46.523000000000003</v>
      </c>
      <c r="O56" s="129">
        <v>45902.625</v>
      </c>
      <c r="P56" s="54">
        <v>35.195</v>
      </c>
      <c r="Q56" s="129">
        <v>45826.625</v>
      </c>
      <c r="R56" s="54">
        <v>57.851999999999997</v>
      </c>
    </row>
    <row r="57" spans="2:18" x14ac:dyDescent="0.3">
      <c r="M57" s="129">
        <v>45827.625</v>
      </c>
      <c r="N57" s="54">
        <v>48.179000000000002</v>
      </c>
      <c r="O57" s="129">
        <v>45903.625</v>
      </c>
      <c r="P57" s="54">
        <v>35.161000000000001</v>
      </c>
      <c r="Q57" s="129">
        <v>45827.625</v>
      </c>
      <c r="R57" s="54">
        <v>59.573</v>
      </c>
    </row>
    <row r="58" spans="2:18" x14ac:dyDescent="0.3">
      <c r="M58" s="129">
        <v>45828.625</v>
      </c>
      <c r="N58" s="54">
        <v>47.363</v>
      </c>
      <c r="O58" s="129">
        <v>45904.625</v>
      </c>
      <c r="P58" s="54">
        <v>34.134999999999998</v>
      </c>
      <c r="Q58" s="129">
        <v>45828.625</v>
      </c>
      <c r="R58" s="54">
        <v>58.72</v>
      </c>
    </row>
    <row r="59" spans="2:18" x14ac:dyDescent="0.3">
      <c r="M59" s="129">
        <v>45831.625</v>
      </c>
      <c r="N59" s="54">
        <v>46.848999999999997</v>
      </c>
      <c r="O59" s="129">
        <v>45908.625</v>
      </c>
      <c r="P59" s="54">
        <v>34.101999999999997</v>
      </c>
      <c r="Q59" s="129">
        <v>45831.625</v>
      </c>
      <c r="R59" s="54">
        <v>58.292999999999999</v>
      </c>
    </row>
    <row r="60" spans="2:18" x14ac:dyDescent="0.3">
      <c r="M60" s="129">
        <v>45832.625</v>
      </c>
      <c r="N60" s="54">
        <v>44.784999999999997</v>
      </c>
      <c r="O60" s="129">
        <v>45909.625</v>
      </c>
      <c r="P60" s="54">
        <v>33.658999999999999</v>
      </c>
      <c r="Q60" s="129">
        <v>45832.625</v>
      </c>
      <c r="R60" s="54">
        <v>56.517000000000003</v>
      </c>
    </row>
    <row r="61" spans="2:18" x14ac:dyDescent="0.3">
      <c r="M61" s="129">
        <v>45833.625</v>
      </c>
      <c r="N61" s="54">
        <v>44.518999999999998</v>
      </c>
      <c r="O61" s="129">
        <v>45910.625</v>
      </c>
      <c r="P61" s="54">
        <v>33.450000000000003</v>
      </c>
      <c r="Q61" s="129">
        <v>45833.625</v>
      </c>
      <c r="R61" s="54">
        <v>56.24</v>
      </c>
    </row>
    <row r="62" spans="2:18" x14ac:dyDescent="0.3">
      <c r="M62" s="129">
        <v>45834.625</v>
      </c>
      <c r="N62" s="54">
        <v>44.546999999999997</v>
      </c>
      <c r="O62" s="129">
        <v>45911.625</v>
      </c>
      <c r="P62" s="54">
        <v>33.253</v>
      </c>
      <c r="Q62" s="129">
        <v>45834.625</v>
      </c>
      <c r="R62" s="54">
        <v>56.137</v>
      </c>
    </row>
    <row r="63" spans="2:18" x14ac:dyDescent="0.3">
      <c r="M63" s="129">
        <v>45835.625</v>
      </c>
      <c r="N63" s="54">
        <v>43.511000000000003</v>
      </c>
      <c r="O63" s="129">
        <v>45912.625</v>
      </c>
      <c r="P63" s="54">
        <v>33.185000000000002</v>
      </c>
      <c r="Q63" s="129">
        <v>45835.625</v>
      </c>
      <c r="R63" s="54">
        <v>55.307000000000002</v>
      </c>
    </row>
    <row r="64" spans="2:18" x14ac:dyDescent="0.3">
      <c r="M64" s="129">
        <v>45838.625</v>
      </c>
      <c r="N64" s="54">
        <v>43.36</v>
      </c>
      <c r="O64" s="129">
        <v>45915.625</v>
      </c>
      <c r="P64" s="54">
        <v>32.991</v>
      </c>
      <c r="Q64" s="129">
        <v>45838.625</v>
      </c>
      <c r="R64" s="54">
        <v>55.210999999999999</v>
      </c>
    </row>
    <row r="65" spans="13:18" x14ac:dyDescent="0.3">
      <c r="M65" s="129">
        <v>45839.625</v>
      </c>
      <c r="N65" s="54">
        <v>42.436</v>
      </c>
      <c r="O65" s="129">
        <v>45916.625</v>
      </c>
      <c r="P65" s="54">
        <v>33.220999999999997</v>
      </c>
      <c r="Q65" s="129">
        <v>45839.625</v>
      </c>
      <c r="R65" s="54">
        <v>54.709000000000003</v>
      </c>
    </row>
    <row r="66" spans="13:18" x14ac:dyDescent="0.3">
      <c r="M66" s="129">
        <v>45840.625</v>
      </c>
      <c r="N66" s="54">
        <v>41.960999999999999</v>
      </c>
      <c r="O66" s="129">
        <v>45917.625</v>
      </c>
      <c r="P66" s="54">
        <v>33.203000000000003</v>
      </c>
      <c r="Q66" s="129">
        <v>45840.625</v>
      </c>
      <c r="R66" s="54">
        <v>54.116999999999997</v>
      </c>
    </row>
    <row r="67" spans="13:18" x14ac:dyDescent="0.3">
      <c r="M67" s="129">
        <v>45841.625</v>
      </c>
      <c r="N67" s="54">
        <v>41.48</v>
      </c>
      <c r="O67" s="129">
        <v>45918.625</v>
      </c>
      <c r="P67" s="54">
        <v>32.850999999999999</v>
      </c>
      <c r="Q67" s="129">
        <v>45841.625</v>
      </c>
      <c r="R67" s="54">
        <v>54.017000000000003</v>
      </c>
    </row>
    <row r="68" spans="13:18" x14ac:dyDescent="0.3">
      <c r="M68" s="129">
        <v>45842.625</v>
      </c>
      <c r="N68" s="54">
        <v>41.780999999999999</v>
      </c>
      <c r="O68" s="129">
        <v>45919.625</v>
      </c>
      <c r="P68" s="54">
        <v>32.515999999999998</v>
      </c>
      <c r="Q68" s="129">
        <v>45842.625</v>
      </c>
      <c r="R68" s="54">
        <v>54.71</v>
      </c>
    </row>
    <row r="69" spans="13:18" x14ac:dyDescent="0.3">
      <c r="M69" s="129">
        <v>45845.625</v>
      </c>
      <c r="N69" s="54">
        <v>41.323</v>
      </c>
      <c r="O69" s="129">
        <v>45922.625</v>
      </c>
      <c r="P69" s="54">
        <v>35.517000000000003</v>
      </c>
      <c r="Q69" s="129">
        <v>45845.625</v>
      </c>
      <c r="R69" s="54">
        <v>54.939</v>
      </c>
    </row>
    <row r="70" spans="13:18" x14ac:dyDescent="0.3">
      <c r="M70" s="129">
        <v>45846.625</v>
      </c>
      <c r="N70" s="54">
        <v>41.024000000000001</v>
      </c>
      <c r="O70" s="129">
        <v>45923.625</v>
      </c>
      <c r="P70" s="54">
        <v>35.253</v>
      </c>
      <c r="Q70" s="129">
        <v>45846.625</v>
      </c>
      <c r="R70" s="54">
        <v>54.756</v>
      </c>
    </row>
    <row r="71" spans="13:18" x14ac:dyDescent="0.3">
      <c r="M71" s="129">
        <v>45847.625</v>
      </c>
      <c r="N71" s="54">
        <v>41.223999999999997</v>
      </c>
      <c r="O71" s="129">
        <v>45924.625</v>
      </c>
      <c r="P71" s="54">
        <v>35.186999999999998</v>
      </c>
      <c r="Q71" s="129">
        <v>45847.625</v>
      </c>
      <c r="R71" s="54">
        <v>54.945</v>
      </c>
    </row>
    <row r="72" spans="13:18" x14ac:dyDescent="0.3">
      <c r="M72" s="129">
        <v>45848.625</v>
      </c>
      <c r="N72" s="54">
        <v>40.31</v>
      </c>
      <c r="O72" s="129">
        <v>45925.625</v>
      </c>
      <c r="P72" s="54">
        <v>35.453000000000003</v>
      </c>
      <c r="Q72" s="129">
        <v>45848.625</v>
      </c>
      <c r="R72" s="54">
        <v>53.68</v>
      </c>
    </row>
    <row r="73" spans="13:18" x14ac:dyDescent="0.3">
      <c r="M73" s="129">
        <v>45849.625</v>
      </c>
      <c r="N73" s="54">
        <v>40.499000000000002</v>
      </c>
      <c r="O73" s="129">
        <v>45926.625</v>
      </c>
      <c r="P73" s="54">
        <v>35.406999999999996</v>
      </c>
      <c r="Q73" s="129">
        <v>45849.625</v>
      </c>
      <c r="R73" s="54">
        <v>55.517000000000003</v>
      </c>
    </row>
    <row r="74" spans="13:18" x14ac:dyDescent="0.3">
      <c r="M74" s="129">
        <v>45852.625</v>
      </c>
      <c r="N74" s="54">
        <v>41.247999999999998</v>
      </c>
      <c r="O74" s="129">
        <v>45929.625</v>
      </c>
      <c r="P74" s="54">
        <v>35.353000000000002</v>
      </c>
      <c r="Q74" s="129">
        <v>45852.625</v>
      </c>
      <c r="R74" s="54">
        <v>56.43</v>
      </c>
    </row>
    <row r="75" spans="13:18" x14ac:dyDescent="0.3">
      <c r="M75" s="129">
        <v>45853.625</v>
      </c>
      <c r="N75" s="54">
        <v>40.006</v>
      </c>
      <c r="O75" s="129">
        <v>45930.625</v>
      </c>
      <c r="P75" s="54">
        <v>35.423000000000002</v>
      </c>
      <c r="Q75" s="129">
        <v>45853.625</v>
      </c>
      <c r="R75" s="54">
        <v>55.691000000000003</v>
      </c>
    </row>
    <row r="76" spans="13:18" x14ac:dyDescent="0.3">
      <c r="M76" s="129">
        <v>45854.625</v>
      </c>
      <c r="N76" s="54">
        <v>40.494999999999997</v>
      </c>
      <c r="O76" s="129">
        <v>45931.625</v>
      </c>
      <c r="P76" s="54">
        <v>34.911999999999999</v>
      </c>
      <c r="Q76" s="129">
        <v>45854.625</v>
      </c>
      <c r="R76" s="54">
        <v>56.423999999999999</v>
      </c>
    </row>
    <row r="77" spans="13:18" x14ac:dyDescent="0.3">
      <c r="M77" s="129">
        <v>45855.625</v>
      </c>
      <c r="N77" s="54">
        <v>39.448999999999998</v>
      </c>
      <c r="O77" s="129">
        <v>45932.625</v>
      </c>
      <c r="P77" s="54">
        <v>33.39</v>
      </c>
      <c r="Q77" s="129">
        <v>45855.625</v>
      </c>
      <c r="R77" s="54">
        <v>56.11</v>
      </c>
    </row>
    <row r="78" spans="13:18" x14ac:dyDescent="0.3">
      <c r="M78" s="129">
        <v>45856.625</v>
      </c>
      <c r="N78" s="54">
        <v>39.037999999999997</v>
      </c>
      <c r="O78" s="129">
        <v>45933.625</v>
      </c>
      <c r="P78" s="54">
        <v>33.387</v>
      </c>
      <c r="Q78" s="129">
        <v>45856.625</v>
      </c>
      <c r="R78" s="54">
        <v>56.037999999999997</v>
      </c>
    </row>
    <row r="79" spans="13:18" x14ac:dyDescent="0.3">
      <c r="M79" s="129">
        <v>45859.625</v>
      </c>
      <c r="N79" s="54">
        <v>38.61</v>
      </c>
      <c r="O79" s="129">
        <v>45936.625</v>
      </c>
      <c r="P79" s="54">
        <v>34.415999999999997</v>
      </c>
      <c r="Q79" s="129">
        <v>45859.625</v>
      </c>
      <c r="R79" s="54">
        <v>56.106000000000002</v>
      </c>
    </row>
    <row r="80" spans="13:18" x14ac:dyDescent="0.3">
      <c r="M80" s="129">
        <v>45860.625</v>
      </c>
      <c r="N80" s="54">
        <v>39.155999999999999</v>
      </c>
      <c r="O80" s="129">
        <v>45937.625</v>
      </c>
      <c r="P80" s="54">
        <v>34.781999999999996</v>
      </c>
      <c r="Q80" s="129">
        <v>45860.625</v>
      </c>
      <c r="R80" s="54">
        <v>56.417999999999999</v>
      </c>
    </row>
    <row r="81" spans="13:18" x14ac:dyDescent="0.3">
      <c r="M81" s="129">
        <v>45861.625</v>
      </c>
      <c r="N81" s="54">
        <v>38.594000000000001</v>
      </c>
      <c r="O81" s="129">
        <v>45938.625</v>
      </c>
      <c r="P81" s="54">
        <v>35.098999999999997</v>
      </c>
      <c r="Q81" s="129">
        <v>45861.625</v>
      </c>
      <c r="R81" s="54">
        <v>56.917000000000002</v>
      </c>
    </row>
    <row r="82" spans="13:18" x14ac:dyDescent="0.3">
      <c r="M82" s="129">
        <v>45862.625</v>
      </c>
      <c r="N82" s="54">
        <v>37.491999999999997</v>
      </c>
      <c r="O82" s="129">
        <v>45939.625</v>
      </c>
      <c r="P82" s="54">
        <v>34.442</v>
      </c>
      <c r="Q82" s="129">
        <v>45862.625</v>
      </c>
      <c r="R82" s="54">
        <v>56.223999999999997</v>
      </c>
    </row>
    <row r="83" spans="13:18" x14ac:dyDescent="0.3">
      <c r="M83" s="129">
        <v>45863.625</v>
      </c>
      <c r="N83" s="54">
        <v>37.991999999999997</v>
      </c>
      <c r="O83" s="129">
        <v>45940.625</v>
      </c>
      <c r="P83" s="54">
        <v>34.442</v>
      </c>
      <c r="Q83" s="129">
        <v>45863.625</v>
      </c>
      <c r="R83" s="54">
        <v>57.046999999999997</v>
      </c>
    </row>
    <row r="84" spans="13:18" x14ac:dyDescent="0.3">
      <c r="M84" s="129">
        <v>45866.625</v>
      </c>
      <c r="N84" s="54">
        <v>38.216000000000001</v>
      </c>
      <c r="O84" s="129">
        <v>45943.625</v>
      </c>
      <c r="P84" s="54">
        <v>36.572000000000003</v>
      </c>
      <c r="Q84" s="129">
        <v>45866.625</v>
      </c>
      <c r="R84" s="54">
        <v>57.008000000000003</v>
      </c>
    </row>
    <row r="85" spans="13:18" x14ac:dyDescent="0.3">
      <c r="M85" s="129">
        <v>45867.625</v>
      </c>
      <c r="N85" s="54">
        <v>39.076000000000001</v>
      </c>
      <c r="O85" s="129">
        <v>45944.625</v>
      </c>
      <c r="P85" s="54">
        <v>37.72</v>
      </c>
      <c r="Q85" s="129">
        <v>45867.625</v>
      </c>
      <c r="R85" s="54">
        <v>56.99</v>
      </c>
    </row>
    <row r="86" spans="13:18" x14ac:dyDescent="0.3">
      <c r="M86" s="129">
        <v>45868.625</v>
      </c>
      <c r="N86" s="54">
        <v>39.246000000000002</v>
      </c>
      <c r="O86" s="129">
        <v>45945.625</v>
      </c>
      <c r="P86" s="54">
        <v>35.18</v>
      </c>
      <c r="Q86" s="129">
        <v>45868.625</v>
      </c>
      <c r="R86" s="54">
        <v>56.664000000000001</v>
      </c>
    </row>
    <row r="87" spans="13:18" x14ac:dyDescent="0.3">
      <c r="M87" s="129">
        <v>45869.625</v>
      </c>
      <c r="N87" s="54">
        <v>40.393999999999998</v>
      </c>
      <c r="O87" s="129">
        <v>45946.625</v>
      </c>
      <c r="P87" s="54">
        <v>35.090000000000003</v>
      </c>
      <c r="Q87" s="129">
        <v>45869.625</v>
      </c>
      <c r="R87" s="54">
        <v>56.28</v>
      </c>
    </row>
    <row r="88" spans="13:18" x14ac:dyDescent="0.3">
      <c r="M88" s="129">
        <v>45870.625</v>
      </c>
      <c r="N88" s="54">
        <v>42.654000000000003</v>
      </c>
      <c r="O88" s="129">
        <v>45947.625</v>
      </c>
      <c r="P88" s="54">
        <v>35.686999999999998</v>
      </c>
      <c r="Q88" s="129">
        <v>45870.625</v>
      </c>
      <c r="R88" s="54">
        <v>58.079000000000001</v>
      </c>
    </row>
    <row r="89" spans="13:18" x14ac:dyDescent="0.3">
      <c r="M89" s="129">
        <v>45873.625</v>
      </c>
      <c r="N89" s="54">
        <v>42.503999999999998</v>
      </c>
      <c r="Q89" s="129">
        <v>45873.625</v>
      </c>
      <c r="R89" s="54">
        <v>57.991</v>
      </c>
    </row>
    <row r="90" spans="13:18" x14ac:dyDescent="0.3">
      <c r="M90" s="129">
        <v>45874.625</v>
      </c>
      <c r="N90" s="54">
        <v>42.567999999999998</v>
      </c>
      <c r="Q90" s="129">
        <v>45874.625</v>
      </c>
      <c r="R90" s="54">
        <v>57.472999999999999</v>
      </c>
    </row>
    <row r="91" spans="13:18" x14ac:dyDescent="0.3">
      <c r="M91" s="129">
        <v>45875.625</v>
      </c>
      <c r="N91" s="54">
        <v>42.811</v>
      </c>
      <c r="Q91" s="129">
        <v>45875.625</v>
      </c>
      <c r="R91" s="54">
        <v>57.191000000000003</v>
      </c>
    </row>
    <row r="92" spans="13:18" x14ac:dyDescent="0.3">
      <c r="M92" s="129">
        <v>45876.625</v>
      </c>
      <c r="N92" s="54">
        <v>42.009</v>
      </c>
      <c r="Q92" s="129">
        <v>45876.625</v>
      </c>
      <c r="R92" s="54">
        <v>56.19</v>
      </c>
    </row>
    <row r="93" spans="13:18" x14ac:dyDescent="0.3">
      <c r="M93" s="129">
        <v>45877.625</v>
      </c>
      <c r="N93" s="54">
        <v>42.15</v>
      </c>
      <c r="Q93" s="129">
        <v>45877.625</v>
      </c>
      <c r="R93" s="54">
        <v>55.26</v>
      </c>
    </row>
    <row r="94" spans="13:18" x14ac:dyDescent="0.3">
      <c r="M94" s="129">
        <v>45880.625</v>
      </c>
      <c r="N94" s="54">
        <v>41.886000000000003</v>
      </c>
      <c r="Q94" s="129">
        <v>45880.625</v>
      </c>
      <c r="R94" s="54">
        <v>55.061999999999998</v>
      </c>
    </row>
    <row r="95" spans="13:18" x14ac:dyDescent="0.3">
      <c r="M95" s="129">
        <v>45881.625</v>
      </c>
      <c r="N95" s="54">
        <v>42.012</v>
      </c>
      <c r="Q95" s="129">
        <v>45881.625</v>
      </c>
      <c r="R95" s="54">
        <v>54.386000000000003</v>
      </c>
    </row>
    <row r="96" spans="13:18" x14ac:dyDescent="0.3">
      <c r="M96" s="129">
        <v>45882.625</v>
      </c>
      <c r="N96" s="54">
        <v>41.433999999999997</v>
      </c>
      <c r="Q96" s="129">
        <v>45882.625</v>
      </c>
      <c r="R96" s="54">
        <v>53.500999999999998</v>
      </c>
    </row>
    <row r="97" spans="13:18" x14ac:dyDescent="0.3">
      <c r="M97" s="129">
        <v>45883.625</v>
      </c>
      <c r="N97" s="54">
        <v>40.765000000000001</v>
      </c>
      <c r="Q97" s="129">
        <v>45883.625</v>
      </c>
      <c r="R97" s="54">
        <v>52.978000000000002</v>
      </c>
    </row>
    <row r="98" spans="13:18" x14ac:dyDescent="0.3">
      <c r="M98" s="129">
        <v>45884.625</v>
      </c>
      <c r="N98" s="54">
        <v>40.72</v>
      </c>
      <c r="Q98" s="129">
        <v>45884.625</v>
      </c>
      <c r="R98" s="54">
        <v>52.999000000000002</v>
      </c>
    </row>
    <row r="99" spans="13:18" x14ac:dyDescent="0.3">
      <c r="M99" s="129">
        <v>45887.625</v>
      </c>
      <c r="N99" s="54">
        <v>40.914999999999999</v>
      </c>
      <c r="Q99" s="129">
        <v>45887.625</v>
      </c>
      <c r="R99" s="54">
        <v>53.317</v>
      </c>
    </row>
    <row r="100" spans="13:18" x14ac:dyDescent="0.3">
      <c r="M100" s="129">
        <v>45888.625</v>
      </c>
      <c r="N100" s="54">
        <v>41.639000000000003</v>
      </c>
      <c r="Q100" s="129">
        <v>45888.625</v>
      </c>
      <c r="R100" s="54">
        <v>53.121000000000002</v>
      </c>
    </row>
    <row r="101" spans="13:18" x14ac:dyDescent="0.3">
      <c r="M101" s="129">
        <v>45889.625</v>
      </c>
      <c r="N101" s="54">
        <v>42.988999999999997</v>
      </c>
      <c r="Q101" s="129">
        <v>45889.625</v>
      </c>
      <c r="R101" s="54">
        <v>53.008000000000003</v>
      </c>
    </row>
    <row r="102" spans="13:18" x14ac:dyDescent="0.3">
      <c r="M102" s="129">
        <v>45890.625</v>
      </c>
      <c r="N102" s="54">
        <v>42.866999999999997</v>
      </c>
      <c r="Q102" s="129">
        <v>45890.625</v>
      </c>
      <c r="R102" s="54">
        <v>53.393000000000001</v>
      </c>
    </row>
    <row r="103" spans="13:18" x14ac:dyDescent="0.3">
      <c r="M103" s="129">
        <v>45891.625</v>
      </c>
      <c r="N103" s="54">
        <v>43.009</v>
      </c>
      <c r="Q103" s="129">
        <v>45891.625</v>
      </c>
      <c r="R103" s="54">
        <v>53.387</v>
      </c>
    </row>
    <row r="104" spans="13:18" x14ac:dyDescent="0.3">
      <c r="M104" s="129">
        <v>45894.625</v>
      </c>
      <c r="N104" s="54">
        <v>42.521999999999998</v>
      </c>
      <c r="Q104" s="129">
        <v>45894.625</v>
      </c>
      <c r="R104" s="54">
        <v>52.463999999999999</v>
      </c>
    </row>
    <row r="105" spans="13:18" x14ac:dyDescent="0.3">
      <c r="M105" s="129">
        <v>45895.625</v>
      </c>
      <c r="N105" s="54">
        <v>43.627000000000002</v>
      </c>
      <c r="Q105" s="129">
        <v>45895.625</v>
      </c>
      <c r="R105" s="54">
        <v>53.911999999999999</v>
      </c>
    </row>
    <row r="106" spans="13:18" x14ac:dyDescent="0.3">
      <c r="M106" s="129">
        <v>45896.625</v>
      </c>
      <c r="N106" s="54">
        <v>43.198999999999998</v>
      </c>
      <c r="Q106" s="129">
        <v>45896.625</v>
      </c>
      <c r="R106" s="54">
        <v>53.225000000000001</v>
      </c>
    </row>
    <row r="107" spans="13:18" x14ac:dyDescent="0.3">
      <c r="M107" s="129">
        <v>45897.625</v>
      </c>
      <c r="N107" s="54">
        <v>43.302999999999997</v>
      </c>
      <c r="Q107" s="129">
        <v>45897.625</v>
      </c>
      <c r="R107" s="54">
        <v>54.14</v>
      </c>
    </row>
    <row r="108" spans="13:18" x14ac:dyDescent="0.3">
      <c r="M108" s="129">
        <v>45898.625</v>
      </c>
      <c r="N108" s="54">
        <v>43.933</v>
      </c>
      <c r="Q108" s="129">
        <v>45898.625</v>
      </c>
      <c r="R108" s="54">
        <v>54.610999999999997</v>
      </c>
    </row>
    <row r="109" spans="13:18" x14ac:dyDescent="0.3">
      <c r="M109" s="129">
        <v>45901.625</v>
      </c>
      <c r="N109" s="54">
        <v>43.805</v>
      </c>
      <c r="Q109" s="129">
        <v>45901.625</v>
      </c>
      <c r="R109" s="54">
        <v>54.036999999999999</v>
      </c>
    </row>
    <row r="110" spans="13:18" x14ac:dyDescent="0.3">
      <c r="M110" s="129">
        <v>45902.625</v>
      </c>
      <c r="N110" s="54">
        <v>44.895000000000003</v>
      </c>
      <c r="Q110" s="129">
        <v>45902.625</v>
      </c>
      <c r="R110" s="54">
        <v>54.703000000000003</v>
      </c>
    </row>
    <row r="111" spans="13:18" x14ac:dyDescent="0.3">
      <c r="M111" s="129">
        <v>45903.625</v>
      </c>
      <c r="N111" s="54">
        <v>44.619</v>
      </c>
      <c r="Q111" s="129">
        <v>45903.625</v>
      </c>
      <c r="R111" s="54">
        <v>54.1</v>
      </c>
    </row>
    <row r="112" spans="13:18" x14ac:dyDescent="0.3">
      <c r="M112" s="129">
        <v>45904.625</v>
      </c>
      <c r="N112" s="54">
        <v>43.335000000000001</v>
      </c>
      <c r="Q112" s="129">
        <v>45904.625</v>
      </c>
      <c r="R112" s="54">
        <v>53.344000000000001</v>
      </c>
    </row>
    <row r="113" spans="13:18" x14ac:dyDescent="0.3">
      <c r="M113" s="129">
        <v>45905.625</v>
      </c>
      <c r="N113" s="54">
        <v>43.165999999999997</v>
      </c>
      <c r="Q113" s="129">
        <v>45905.625</v>
      </c>
      <c r="R113" s="54">
        <v>51.8</v>
      </c>
    </row>
    <row r="114" spans="13:18" x14ac:dyDescent="0.3">
      <c r="M114" s="129">
        <v>45908.625</v>
      </c>
      <c r="N114" s="54">
        <v>42.848999999999997</v>
      </c>
      <c r="Q114" s="129">
        <v>45908.625</v>
      </c>
      <c r="R114" s="54">
        <v>51.392000000000003</v>
      </c>
    </row>
    <row r="115" spans="13:18" x14ac:dyDescent="0.3">
      <c r="M115" s="129">
        <v>45909.625</v>
      </c>
      <c r="N115" s="54">
        <v>42.512</v>
      </c>
      <c r="Q115" s="129">
        <v>45909.625</v>
      </c>
      <c r="R115" s="54">
        <v>50.817</v>
      </c>
    </row>
    <row r="116" spans="13:18" x14ac:dyDescent="0.3">
      <c r="M116" s="129">
        <v>45910.625</v>
      </c>
      <c r="N116" s="54">
        <v>42.311999999999998</v>
      </c>
      <c r="Q116" s="129">
        <v>45910.625</v>
      </c>
      <c r="R116" s="54">
        <v>49.832999999999998</v>
      </c>
    </row>
    <row r="117" spans="13:18" x14ac:dyDescent="0.3">
      <c r="M117" s="129">
        <v>45911.625</v>
      </c>
      <c r="N117" s="54">
        <v>42.148000000000003</v>
      </c>
      <c r="Q117" s="129">
        <v>45911.625</v>
      </c>
      <c r="R117" s="54">
        <v>49.048999999999999</v>
      </c>
    </row>
    <row r="118" spans="13:18" x14ac:dyDescent="0.3">
      <c r="M118" s="129">
        <v>45912.625</v>
      </c>
      <c r="N118" s="54">
        <v>42.167000000000002</v>
      </c>
      <c r="Q118" s="129">
        <v>45912.625</v>
      </c>
      <c r="R118" s="54">
        <v>48.445999999999998</v>
      </c>
    </row>
    <row r="119" spans="13:18" x14ac:dyDescent="0.3">
      <c r="M119" s="129">
        <v>45915.625</v>
      </c>
      <c r="N119" s="54">
        <v>41.593000000000004</v>
      </c>
      <c r="Q119" s="129">
        <v>45915.625</v>
      </c>
      <c r="R119" s="54">
        <v>48.027999999999999</v>
      </c>
    </row>
    <row r="120" spans="13:18" x14ac:dyDescent="0.3">
      <c r="M120" s="129">
        <v>45916.625</v>
      </c>
      <c r="N120" s="54">
        <v>41.957999999999998</v>
      </c>
      <c r="Q120" s="129">
        <v>45916.625</v>
      </c>
      <c r="R120" s="54">
        <v>46.912999999999997</v>
      </c>
    </row>
    <row r="121" spans="13:18" x14ac:dyDescent="0.3">
      <c r="M121" s="129">
        <v>45917.625</v>
      </c>
      <c r="N121" s="54">
        <v>42.527000000000001</v>
      </c>
      <c r="Q121" s="129">
        <v>45917.625</v>
      </c>
      <c r="R121" s="54">
        <v>47.116</v>
      </c>
    </row>
    <row r="122" spans="13:18" x14ac:dyDescent="0.3">
      <c r="M122" s="129">
        <v>45918.625</v>
      </c>
      <c r="N122" s="54">
        <v>42.009</v>
      </c>
      <c r="Q122" s="129">
        <v>45918.625</v>
      </c>
      <c r="R122" s="54">
        <v>46.26</v>
      </c>
    </row>
    <row r="123" spans="13:18" x14ac:dyDescent="0.3">
      <c r="M123" s="129">
        <v>45919.625</v>
      </c>
      <c r="N123" s="54">
        <v>41.935000000000002</v>
      </c>
      <c r="Q123" s="129">
        <v>45919.625</v>
      </c>
      <c r="R123" s="54">
        <v>45.433</v>
      </c>
    </row>
    <row r="124" spans="13:18" x14ac:dyDescent="0.3">
      <c r="M124" s="129">
        <v>45922.625</v>
      </c>
      <c r="N124" s="54">
        <v>46.195</v>
      </c>
      <c r="Q124" s="129">
        <v>45922.625</v>
      </c>
      <c r="R124" s="54">
        <v>50.432000000000002</v>
      </c>
    </row>
    <row r="125" spans="13:18" x14ac:dyDescent="0.3">
      <c r="M125" s="129">
        <v>45923.625</v>
      </c>
      <c r="N125" s="54">
        <v>45.677999999999997</v>
      </c>
      <c r="Q125" s="129">
        <v>45923.625</v>
      </c>
      <c r="R125" s="54">
        <v>49.762999999999998</v>
      </c>
    </row>
    <row r="126" spans="13:18" x14ac:dyDescent="0.3">
      <c r="M126" s="129">
        <v>45924.625</v>
      </c>
      <c r="N126" s="54">
        <v>45.94</v>
      </c>
      <c r="Q126" s="129">
        <v>45924.625</v>
      </c>
      <c r="R126" s="54">
        <v>49.73</v>
      </c>
    </row>
    <row r="127" spans="13:18" x14ac:dyDescent="0.3">
      <c r="M127" s="129">
        <v>45925.625</v>
      </c>
      <c r="N127" s="54">
        <v>46.070999999999998</v>
      </c>
      <c r="Q127" s="129">
        <v>45925.625</v>
      </c>
      <c r="R127" s="54">
        <v>49.83</v>
      </c>
    </row>
    <row r="128" spans="13:18" x14ac:dyDescent="0.3">
      <c r="M128" s="129">
        <v>45926.625</v>
      </c>
      <c r="N128" s="54">
        <v>45.92</v>
      </c>
      <c r="Q128" s="129">
        <v>45926.625</v>
      </c>
      <c r="R128" s="54">
        <v>49.52</v>
      </c>
    </row>
    <row r="129" spans="13:18" x14ac:dyDescent="0.3">
      <c r="M129" s="129">
        <v>45929.625</v>
      </c>
      <c r="N129" s="54">
        <v>45.886000000000003</v>
      </c>
      <c r="Q129" s="129">
        <v>45929.625</v>
      </c>
      <c r="R129" s="54">
        <v>48.94</v>
      </c>
    </row>
    <row r="130" spans="13:18" x14ac:dyDescent="0.3">
      <c r="M130" s="129">
        <v>45930.625</v>
      </c>
      <c r="N130" s="54">
        <v>46.996000000000002</v>
      </c>
      <c r="Q130" s="129">
        <v>45930.625</v>
      </c>
      <c r="R130" s="54">
        <v>49.445</v>
      </c>
    </row>
    <row r="131" spans="13:18" x14ac:dyDescent="0.3">
      <c r="M131" s="129">
        <v>45931.625</v>
      </c>
      <c r="N131" s="54">
        <v>46.935000000000002</v>
      </c>
      <c r="Q131" s="129">
        <v>45931.625</v>
      </c>
      <c r="R131" s="54">
        <v>49.313000000000002</v>
      </c>
    </row>
    <row r="132" spans="13:18" x14ac:dyDescent="0.3">
      <c r="M132" s="129">
        <v>45932.625</v>
      </c>
      <c r="N132" s="54">
        <v>46.104999999999997</v>
      </c>
      <c r="Q132" s="129">
        <v>45932.625</v>
      </c>
      <c r="R132" s="54">
        <v>49.113999999999997</v>
      </c>
    </row>
    <row r="133" spans="13:18" x14ac:dyDescent="0.3">
      <c r="M133" s="129">
        <v>45933.625</v>
      </c>
      <c r="N133" s="54">
        <v>46.1</v>
      </c>
      <c r="Q133" s="129">
        <v>45933.625</v>
      </c>
      <c r="R133" s="54">
        <v>47.597000000000001</v>
      </c>
    </row>
    <row r="134" spans="13:18" x14ac:dyDescent="0.3">
      <c r="M134" s="129">
        <v>45936.625</v>
      </c>
      <c r="N134" s="54">
        <v>46.697000000000003</v>
      </c>
      <c r="Q134" s="129">
        <v>45936.625</v>
      </c>
      <c r="R134" s="54">
        <v>49.274000000000001</v>
      </c>
    </row>
    <row r="135" spans="13:18" x14ac:dyDescent="0.3">
      <c r="M135" s="129">
        <v>45937.625</v>
      </c>
      <c r="N135" s="54">
        <v>46.832000000000001</v>
      </c>
      <c r="Q135" s="129">
        <v>45937.625</v>
      </c>
      <c r="R135" s="54">
        <v>49.777999999999999</v>
      </c>
    </row>
    <row r="136" spans="13:18" x14ac:dyDescent="0.3">
      <c r="M136" s="129">
        <v>45938.625</v>
      </c>
      <c r="N136" s="54">
        <v>47.168999999999997</v>
      </c>
      <c r="Q136" s="129">
        <v>45938.625</v>
      </c>
      <c r="R136" s="54">
        <v>49.825000000000003</v>
      </c>
    </row>
    <row r="137" spans="13:18" x14ac:dyDescent="0.3">
      <c r="M137" s="129">
        <v>45939.625</v>
      </c>
      <c r="N137" s="54">
        <v>46.902000000000001</v>
      </c>
      <c r="Q137" s="129">
        <v>45939.625</v>
      </c>
      <c r="R137" s="54">
        <v>50.210999999999999</v>
      </c>
    </row>
    <row r="138" spans="13:18" x14ac:dyDescent="0.3">
      <c r="M138" s="129">
        <v>45940.625</v>
      </c>
      <c r="N138" s="54">
        <v>48.610999999999997</v>
      </c>
      <c r="Q138" s="129">
        <v>45940.625</v>
      </c>
      <c r="R138" s="54">
        <v>50.311</v>
      </c>
    </row>
    <row r="139" spans="13:18" x14ac:dyDescent="0.3">
      <c r="M139" s="129">
        <v>45943.625</v>
      </c>
      <c r="N139" s="54">
        <v>50.231000000000002</v>
      </c>
      <c r="Q139" s="129">
        <v>45943.625</v>
      </c>
      <c r="R139" s="54">
        <v>51.667000000000002</v>
      </c>
    </row>
    <row r="140" spans="13:18" x14ac:dyDescent="0.3">
      <c r="M140" s="129">
        <v>45944.625</v>
      </c>
      <c r="N140" s="54">
        <v>50.671999999999997</v>
      </c>
      <c r="Q140" s="129">
        <v>45944.625</v>
      </c>
      <c r="R140" s="54">
        <v>53.13</v>
      </c>
    </row>
    <row r="141" spans="13:18" x14ac:dyDescent="0.3">
      <c r="M141" s="129">
        <v>45945.625</v>
      </c>
      <c r="N141" s="54">
        <v>47.665999999999997</v>
      </c>
      <c r="Q141" s="129">
        <v>45945.625</v>
      </c>
      <c r="R141" s="54">
        <v>50.527999999999999</v>
      </c>
    </row>
    <row r="142" spans="13:18" x14ac:dyDescent="0.3">
      <c r="M142" s="129">
        <v>45946.625</v>
      </c>
      <c r="N142" s="54">
        <v>47.408999999999999</v>
      </c>
      <c r="Q142" s="129">
        <v>45946.625</v>
      </c>
      <c r="R142" s="54">
        <v>50.088999999999999</v>
      </c>
    </row>
    <row r="143" spans="13:18" x14ac:dyDescent="0.3">
      <c r="M143" s="129">
        <v>45947.625</v>
      </c>
      <c r="N143" s="54">
        <v>48.587000000000003</v>
      </c>
      <c r="Q143" s="129">
        <v>45947.625</v>
      </c>
      <c r="R143" s="54">
        <v>51.423000000000002</v>
      </c>
    </row>
  </sheetData>
  <mergeCells count="3">
    <mergeCell ref="H12:J12"/>
    <mergeCell ref="B12:D12"/>
    <mergeCell ref="E12:G12"/>
  </mergeCells>
  <conditionalFormatting sqref="R1:R7 K8:K1048576">
    <cfRule type="cellIs" dxfId="25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43"/>
  <sheetViews>
    <sheetView zoomScale="80" zoomScaleNormal="80" workbookViewId="0"/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36</v>
      </c>
      <c r="C3" s="5" t="s">
        <v>37</v>
      </c>
      <c r="J3" s="126" cm="1">
        <f t="array" ref="J3:K143">_xll.BDH(B4, "LAST_PRICE", "01/01/2025 15:00:00", "01/01/2035 16:00:00", "BarSize=60", "BarType=T", "RecurDaily=True", "TZ=London")</f>
        <v>45751.625</v>
      </c>
      <c r="K3" s="1">
        <v>68.006</v>
      </c>
      <c r="L3" s="126" cm="1">
        <f t="array" ref="L3:M143">_xll.BDH(C4, "LAST_PRICE", "01/01/2025 15:00:00", "01/01/2035 16:00:00", "BarSize=60", "BarType=T", "RecurDaily=True", "TZ=London")</f>
        <v>45751.625</v>
      </c>
      <c r="M3" s="46">
        <v>60.997</v>
      </c>
    </row>
    <row r="4" spans="1:13" ht="32.25" customHeight="1" x14ac:dyDescent="0.3">
      <c r="A4" s="15" t="s">
        <v>33</v>
      </c>
      <c r="B4" s="41" t="s">
        <v>38</v>
      </c>
      <c r="C4" s="42" t="s">
        <v>39</v>
      </c>
      <c r="I4" s="1"/>
      <c r="J4" s="130">
        <v>45754.625</v>
      </c>
      <c r="K4" s="1">
        <v>75.381</v>
      </c>
      <c r="L4" s="130">
        <v>45754.625</v>
      </c>
      <c r="M4" s="1">
        <v>66.171999999999997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130">
        <v>45755.625</v>
      </c>
      <c r="K5" s="1">
        <v>73.911000000000001</v>
      </c>
      <c r="L5" s="130">
        <v>45755.625</v>
      </c>
      <c r="M5" s="1">
        <v>64.888000000000005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30">
        <v>45756.625</v>
      </c>
      <c r="K6" s="1">
        <v>80.438999999999993</v>
      </c>
      <c r="L6" s="130">
        <v>45756.625</v>
      </c>
      <c r="M6" s="1">
        <v>69.603999999999999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30">
        <v>45757.625</v>
      </c>
      <c r="K7" s="1">
        <v>70.930999999999997</v>
      </c>
      <c r="L7" s="130">
        <v>45757.625</v>
      </c>
      <c r="M7" s="1">
        <v>61.728999999999999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126">
        <v>45758.625</v>
      </c>
      <c r="K8" s="3">
        <v>73.141999999999996</v>
      </c>
      <c r="L8" s="126">
        <v>45758.625</v>
      </c>
      <c r="M8" s="3">
        <v>66.543999999999997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6">
        <v>45761.625</v>
      </c>
      <c r="K9" s="3">
        <v>71.98</v>
      </c>
      <c r="L9" s="126">
        <v>45761.625</v>
      </c>
      <c r="M9" s="3">
        <v>65.197999999999993</v>
      </c>
    </row>
    <row r="10" spans="1:13" ht="15" thickBot="1" x14ac:dyDescent="0.35">
      <c r="A10" s="16" t="s">
        <v>28</v>
      </c>
      <c r="B10" s="21" cm="1">
        <f t="array" ref="B10">_xll.BDP(B4,"px_last")</f>
        <v>60.494979999999998</v>
      </c>
      <c r="C10" s="22" cm="1">
        <f t="array" ref="C10">_xll.BDP(C4,"px_last")</f>
        <v>42.748420000000003</v>
      </c>
      <c r="E10" s="1"/>
      <c r="F10" s="1"/>
      <c r="G10" s="1"/>
      <c r="H10" s="1"/>
      <c r="I10" s="1"/>
      <c r="J10" s="126">
        <v>45762.625</v>
      </c>
      <c r="K10" s="3">
        <v>68.724000000000004</v>
      </c>
      <c r="L10" s="126">
        <v>45762.625</v>
      </c>
      <c r="M10" s="3">
        <v>61.610999999999997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45763.625</v>
      </c>
      <c r="K11" s="3">
        <v>68.763000000000005</v>
      </c>
      <c r="L11" s="126">
        <v>45763.625</v>
      </c>
      <c r="M11" s="3">
        <v>62.048999999999999</v>
      </c>
    </row>
    <row r="12" spans="1:13" ht="15" thickBot="1" x14ac:dyDescent="0.35">
      <c r="A12" s="39" t="s">
        <v>22</v>
      </c>
      <c r="B12" s="153" t="s">
        <v>0</v>
      </c>
      <c r="C12" s="154"/>
      <c r="D12" s="155"/>
      <c r="E12" s="156" t="s">
        <v>1</v>
      </c>
      <c r="F12" s="157"/>
      <c r="G12" s="158"/>
      <c r="H12" s="39" t="s">
        <v>16</v>
      </c>
      <c r="I12" s="1"/>
      <c r="J12" s="126">
        <v>45764.625</v>
      </c>
      <c r="K12" s="3">
        <v>67.513999999999996</v>
      </c>
      <c r="L12" s="126">
        <v>45764.625</v>
      </c>
      <c r="M12" s="3">
        <v>60.872999999999998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7"/>
      <c r="I13" s="1"/>
      <c r="J13" s="126">
        <v>45765.625</v>
      </c>
      <c r="K13" s="3">
        <v>67.954999999999998</v>
      </c>
      <c r="L13" s="126">
        <v>45765.625</v>
      </c>
      <c r="M13" s="3">
        <v>61.368000000000002</v>
      </c>
    </row>
    <row r="14" spans="1:13" x14ac:dyDescent="0.3">
      <c r="A14" s="36">
        <v>45925</v>
      </c>
      <c r="B14" s="45">
        <v>57.5</v>
      </c>
      <c r="C14" s="46"/>
      <c r="D14" s="47"/>
      <c r="E14" s="4">
        <v>40</v>
      </c>
      <c r="F14" s="1"/>
      <c r="G14" s="5"/>
      <c r="H14" s="82">
        <v>0</v>
      </c>
      <c r="I14" s="1"/>
      <c r="J14" s="126">
        <v>45768.625</v>
      </c>
      <c r="K14" s="3">
        <v>68.281000000000006</v>
      </c>
      <c r="L14" s="126">
        <v>45768.625</v>
      </c>
      <c r="M14" s="3">
        <v>61.371000000000002</v>
      </c>
    </row>
    <row r="15" spans="1:13" x14ac:dyDescent="0.3">
      <c r="A15" s="36">
        <v>45926</v>
      </c>
      <c r="B15" s="45">
        <f>VLOOKUP(A15+$F$2,J:K,2)</f>
        <v>58.136000000000003</v>
      </c>
      <c r="C15" s="31">
        <f t="shared" ref="C15:C22" si="0">-1*(B15-$B$14)*10^-4*$B$8*$B$5</f>
        <v>-6309.1200000000281</v>
      </c>
      <c r="D15" s="32">
        <f t="shared" ref="D15:D22" si="1">$B$6*(A15-$A$14)/360*$B$5</f>
        <v>555.55555555555554</v>
      </c>
      <c r="E15" s="4">
        <f>VLOOKUP(A15+$F$2,L:M,2)</f>
        <v>40.026000000000003</v>
      </c>
      <c r="F15" s="31">
        <f t="shared" ref="F15:F22" si="2">-1*(E15-$E$14)*10^-4*$C$8*$C$5</f>
        <v>-366.18400000004726</v>
      </c>
      <c r="G15" s="32">
        <f t="shared" ref="G15:G20" si="3">$C$6*(A15-$A$14)/360*$C$5</f>
        <v>777.77777777777783</v>
      </c>
      <c r="H15" s="82">
        <f>C15+D15-F15-G15</f>
        <v>-6165.1582222222023</v>
      </c>
      <c r="I15" s="1"/>
      <c r="J15" s="126">
        <v>45769.625</v>
      </c>
      <c r="K15" s="3">
        <v>69.747</v>
      </c>
      <c r="L15" s="126">
        <v>45769.625</v>
      </c>
      <c r="M15" s="3">
        <v>61.530999999999999</v>
      </c>
    </row>
    <row r="16" spans="1:13" x14ac:dyDescent="0.3">
      <c r="A16" s="36">
        <v>45929</v>
      </c>
      <c r="B16" s="45">
        <f t="shared" ref="B16:B28" si="4">VLOOKUP(A16+$F$2,J:K,2)</f>
        <v>57.792000000000002</v>
      </c>
      <c r="C16" s="31">
        <f t="shared" si="0"/>
        <v>-2896.6400000000158</v>
      </c>
      <c r="D16" s="32">
        <f t="shared" si="1"/>
        <v>2222.2222222222222</v>
      </c>
      <c r="E16" s="4">
        <f t="shared" ref="E16:E28" si="5">VLOOKUP(A16+$F$2,L:M,2)</f>
        <v>39.997</v>
      </c>
      <c r="F16" s="31">
        <f t="shared" si="2"/>
        <v>42.252000000001601</v>
      </c>
      <c r="G16" s="32">
        <f t="shared" si="3"/>
        <v>3111.1111111111113</v>
      </c>
      <c r="H16" s="82">
        <f t="shared" ref="H16" si="6">C16+D16-F16-G16</f>
        <v>-3827.7808888889067</v>
      </c>
      <c r="I16" s="1"/>
      <c r="J16" s="126">
        <v>45770.625</v>
      </c>
      <c r="K16" s="3">
        <v>65.537999999999997</v>
      </c>
      <c r="L16" s="126">
        <v>45770.625</v>
      </c>
      <c r="M16" s="3">
        <v>57.609000000000002</v>
      </c>
    </row>
    <row r="17" spans="1:13" x14ac:dyDescent="0.3">
      <c r="A17" s="36">
        <v>45930</v>
      </c>
      <c r="B17" s="45">
        <f t="shared" si="4"/>
        <v>57.51</v>
      </c>
      <c r="C17" s="31">
        <f t="shared" si="0"/>
        <v>-99.199999999980264</v>
      </c>
      <c r="D17" s="32">
        <f t="shared" si="1"/>
        <v>2777.7777777777778</v>
      </c>
      <c r="E17" s="4">
        <f t="shared" si="5"/>
        <v>40.194000000000003</v>
      </c>
      <c r="F17" s="31">
        <f t="shared" si="2"/>
        <v>-2732.2960000000367</v>
      </c>
      <c r="G17" s="32">
        <f t="shared" si="3"/>
        <v>3888.8888888888887</v>
      </c>
      <c r="H17" s="82">
        <f t="shared" ref="H17:H18" si="7">C17+D17-F17-G17</f>
        <v>1521.9848888889455</v>
      </c>
      <c r="I17" s="1"/>
      <c r="J17" s="126">
        <v>45771.625</v>
      </c>
      <c r="K17" s="3">
        <v>63.646999999999998</v>
      </c>
      <c r="L17" s="126">
        <v>45771.625</v>
      </c>
      <c r="M17" s="3">
        <v>57.097999999999999</v>
      </c>
    </row>
    <row r="18" spans="1:13" x14ac:dyDescent="0.3">
      <c r="A18" s="36">
        <v>45931</v>
      </c>
      <c r="B18" s="45">
        <f t="shared" si="4"/>
        <v>57.616</v>
      </c>
      <c r="C18" s="31">
        <f t="shared" si="0"/>
        <v>-1150.7199999999968</v>
      </c>
      <c r="D18" s="32">
        <f t="shared" si="1"/>
        <v>3333.333333333333</v>
      </c>
      <c r="E18" s="4">
        <f t="shared" si="5"/>
        <v>40.406999999999996</v>
      </c>
      <c r="F18" s="31">
        <f t="shared" si="2"/>
        <v>-5732.1879999999501</v>
      </c>
      <c r="G18" s="32">
        <f t="shared" si="3"/>
        <v>4666.6666666666661</v>
      </c>
      <c r="H18" s="82">
        <f t="shared" si="7"/>
        <v>3248.1346666666204</v>
      </c>
      <c r="I18" s="1"/>
      <c r="J18" s="126">
        <v>45772.625</v>
      </c>
      <c r="K18" s="3">
        <v>62.796999999999997</v>
      </c>
      <c r="L18" s="126">
        <v>45772.625</v>
      </c>
      <c r="M18" s="3">
        <v>56.945999999999998</v>
      </c>
    </row>
    <row r="19" spans="1:13" x14ac:dyDescent="0.3">
      <c r="A19" s="36">
        <v>45932</v>
      </c>
      <c r="B19" s="45">
        <f t="shared" si="4"/>
        <v>57.011000000000003</v>
      </c>
      <c r="C19" s="31">
        <f t="shared" si="0"/>
        <v>4850.8799999999728</v>
      </c>
      <c r="D19" s="32">
        <f t="shared" si="1"/>
        <v>3888.8888888888891</v>
      </c>
      <c r="E19" s="4">
        <f t="shared" si="5"/>
        <v>39.887</v>
      </c>
      <c r="F19" s="31">
        <f t="shared" si="2"/>
        <v>1591.4919999999936</v>
      </c>
      <c r="G19" s="32">
        <f t="shared" si="3"/>
        <v>5444.4444444444453</v>
      </c>
      <c r="H19" s="82">
        <f t="shared" ref="H19" si="8">C19+D19-F19-G19</f>
        <v>1703.8324444444233</v>
      </c>
      <c r="I19" s="1"/>
      <c r="J19" s="126">
        <v>45775.625</v>
      </c>
      <c r="K19" s="3">
        <v>62.593000000000004</v>
      </c>
      <c r="L19" s="126">
        <v>45775.625</v>
      </c>
      <c r="M19" s="3">
        <v>55.893000000000001</v>
      </c>
    </row>
    <row r="20" spans="1:13" x14ac:dyDescent="0.3">
      <c r="A20" s="36">
        <v>45933</v>
      </c>
      <c r="B20" s="45">
        <f t="shared" si="4"/>
        <v>56.552</v>
      </c>
      <c r="C20" s="31">
        <f t="shared" si="0"/>
        <v>9404.1600000000053</v>
      </c>
      <c r="D20" s="32">
        <f t="shared" si="1"/>
        <v>4444.4444444444443</v>
      </c>
      <c r="E20" s="4">
        <f t="shared" si="5"/>
        <v>39.756999999999998</v>
      </c>
      <c r="F20" s="31">
        <f t="shared" si="2"/>
        <v>3422.4120000000298</v>
      </c>
      <c r="G20" s="32">
        <f t="shared" si="3"/>
        <v>6222.2222222222226</v>
      </c>
      <c r="H20" s="82">
        <f t="shared" ref="H20" si="9">C20+D20-F20-G20</f>
        <v>4203.9702222221968</v>
      </c>
      <c r="I20" s="1"/>
      <c r="J20" s="126">
        <v>45776.625</v>
      </c>
      <c r="K20" s="3">
        <v>62.488999999999997</v>
      </c>
      <c r="L20" s="126">
        <v>45776.625</v>
      </c>
      <c r="M20" s="3">
        <v>56.052</v>
      </c>
    </row>
    <row r="21" spans="1:13" x14ac:dyDescent="0.3">
      <c r="A21" s="36">
        <v>45936</v>
      </c>
      <c r="B21" s="45">
        <f t="shared" si="4"/>
        <v>57.633000000000003</v>
      </c>
      <c r="C21" s="31">
        <f t="shared" si="0"/>
        <v>-1319.3600000000265</v>
      </c>
      <c r="D21" s="32">
        <f t="shared" si="1"/>
        <v>6111.1111111111113</v>
      </c>
      <c r="E21" s="4">
        <f t="shared" si="5"/>
        <v>40.533999999999999</v>
      </c>
      <c r="F21" s="31">
        <f t="shared" si="2"/>
        <v>-7520.8559999999861</v>
      </c>
      <c r="G21" s="32">
        <f t="shared" ref="G21" si="10">$C$6*(A21-$A$14)/360*$C$5</f>
        <v>8555.5555555555547</v>
      </c>
      <c r="H21" s="82">
        <f t="shared" ref="H21" si="11">C21+D21-F21-G21</f>
        <v>3757.0515555555176</v>
      </c>
      <c r="I21" s="1"/>
      <c r="J21" s="126">
        <v>45777.625</v>
      </c>
      <c r="K21" s="3">
        <v>63.695</v>
      </c>
      <c r="L21" s="126">
        <v>45777.625</v>
      </c>
      <c r="M21" s="3">
        <v>57.515999999999998</v>
      </c>
    </row>
    <row r="22" spans="1:13" x14ac:dyDescent="0.3">
      <c r="A22" s="36">
        <v>45937</v>
      </c>
      <c r="B22" s="45">
        <f t="shared" si="4"/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f t="shared" si="5"/>
        <v>40.628</v>
      </c>
      <c r="F22" s="31">
        <f t="shared" si="2"/>
        <v>-8844.7520000000022</v>
      </c>
      <c r="G22" s="32">
        <f t="shared" ref="G22" si="12">$C$6*(A22-$A$14)/360*$C$5</f>
        <v>9333.3333333333321</v>
      </c>
      <c r="H22" s="82">
        <f t="shared" ref="H22" si="13">C22+D22-F22-G22</f>
        <v>2646.5653333333194</v>
      </c>
      <c r="I22" s="1"/>
      <c r="J22" s="126">
        <v>45778.625</v>
      </c>
      <c r="K22" s="3">
        <v>63.323999999999998</v>
      </c>
      <c r="L22" s="126">
        <v>45778.625</v>
      </c>
      <c r="M22" s="3">
        <v>56.442999999999998</v>
      </c>
    </row>
    <row r="23" spans="1:13" x14ac:dyDescent="0.3">
      <c r="A23" s="36">
        <v>45938</v>
      </c>
      <c r="B23" s="45">
        <f t="shared" si="4"/>
        <v>57.947000000000003</v>
      </c>
      <c r="C23" s="31">
        <f t="shared" ref="C23" si="14">-1*(B23-$B$14)*10^-4*$B$8*$B$5</f>
        <v>-4434.2400000000271</v>
      </c>
      <c r="D23" s="32">
        <f t="shared" ref="D23" si="15">$B$6*(A23-$A$14)/360*$B$5</f>
        <v>7222.2222222222226</v>
      </c>
      <c r="E23" s="4">
        <f t="shared" si="5"/>
        <v>40.613999999999997</v>
      </c>
      <c r="F23" s="31">
        <f t="shared" ref="F23" si="16">-1*(E23-$E$14)*10^-4*$C$8*$C$5</f>
        <v>-8647.5759999999627</v>
      </c>
      <c r="G23" s="32">
        <f t="shared" ref="G23" si="17">$C$6*(A23-$A$14)/360*$C$5</f>
        <v>10111.111111111111</v>
      </c>
      <c r="H23" s="82">
        <f t="shared" ref="H23" si="18">C23+D23-F23-G23</f>
        <v>1324.447111111047</v>
      </c>
      <c r="I23" s="1"/>
      <c r="J23" s="126">
        <v>45779.625</v>
      </c>
      <c r="K23" s="3">
        <v>62.088000000000001</v>
      </c>
      <c r="L23" s="126">
        <v>45779.625</v>
      </c>
      <c r="M23" s="3">
        <v>55.758000000000003</v>
      </c>
    </row>
    <row r="24" spans="1:13" x14ac:dyDescent="0.3">
      <c r="A24" s="36">
        <v>45939</v>
      </c>
      <c r="B24" s="45">
        <f t="shared" si="4"/>
        <v>58.323999999999998</v>
      </c>
      <c r="C24" s="31">
        <f t="shared" ref="C24" si="19">-1*(B24-$B$14)*10^-4*$B$8*$B$5</f>
        <v>-8174.0799999999808</v>
      </c>
      <c r="D24" s="32">
        <f t="shared" ref="D24" si="20">$B$6*(A24-$A$14)/360*$B$5</f>
        <v>7777.7777777777783</v>
      </c>
      <c r="E24" s="4">
        <f t="shared" si="5"/>
        <v>40.503999999999998</v>
      </c>
      <c r="F24" s="31">
        <f t="shared" ref="F24" si="21">-1*(E24-$E$14)*10^-4*$C$8*$C$5</f>
        <v>-7098.3359999999702</v>
      </c>
      <c r="G24" s="32">
        <f t="shared" ref="G24" si="22">$C$6*(A24-$A$14)/360*$C$5</f>
        <v>10888.888888888891</v>
      </c>
      <c r="H24" s="82">
        <f t="shared" ref="H24" si="23">C24+D24-F24-G24</f>
        <v>-4186.8551111111228</v>
      </c>
      <c r="I24" s="1"/>
      <c r="J24" s="126">
        <v>45782.625</v>
      </c>
      <c r="K24" s="3">
        <v>62.707000000000001</v>
      </c>
      <c r="L24" s="126">
        <v>45782.625</v>
      </c>
      <c r="M24" s="3">
        <v>55.198999999999998</v>
      </c>
    </row>
    <row r="25" spans="1:13" x14ac:dyDescent="0.3">
      <c r="A25" s="36">
        <v>45940</v>
      </c>
      <c r="B25" s="45">
        <f t="shared" si="4"/>
        <v>58.451999999999998</v>
      </c>
      <c r="C25" s="31">
        <f t="shared" ref="C25" si="24">-1*(B25-$B$14)*10^-4*$B$8*$B$5</f>
        <v>-9443.839999999982</v>
      </c>
      <c r="D25" s="32">
        <f t="shared" ref="D25" si="25">$B$6*(A25-$A$14)/360*$B$5</f>
        <v>8333.3333333333321</v>
      </c>
      <c r="E25" s="4">
        <f t="shared" si="5"/>
        <v>41.215000000000003</v>
      </c>
      <c r="F25" s="31">
        <f t="shared" ref="F25" si="26">-1*(E25-$E$14)*10^-4*$C$8*$C$5</f>
        <v>-17112.060000000052</v>
      </c>
      <c r="G25" s="32">
        <f t="shared" ref="G25" si="27">$C$6*(A25-$A$14)/360*$C$5</f>
        <v>11666.666666666666</v>
      </c>
      <c r="H25" s="82">
        <f t="shared" ref="H25" si="28">C25+D25-F25-G25</f>
        <v>4334.8866666667363</v>
      </c>
      <c r="I25" s="1"/>
      <c r="J25" s="126">
        <v>45783.625</v>
      </c>
      <c r="K25" s="3">
        <v>62.177</v>
      </c>
      <c r="L25" s="126">
        <v>45783.625</v>
      </c>
      <c r="M25" s="3">
        <v>54.997999999999998</v>
      </c>
    </row>
    <row r="26" spans="1:13" x14ac:dyDescent="0.3">
      <c r="A26" s="36">
        <v>45943</v>
      </c>
      <c r="B26" s="45">
        <f t="shared" si="4"/>
        <v>59.344000000000001</v>
      </c>
      <c r="C26" s="31">
        <f t="shared" ref="C26" si="29">-1*(B26-$B$14)*10^-4*$B$8*$B$5</f>
        <v>-18292.48000000001</v>
      </c>
      <c r="D26" s="32">
        <f t="shared" ref="D26" si="30">$B$6*(A26-$A$14)/360*$B$5</f>
        <v>10000</v>
      </c>
      <c r="E26" s="4">
        <f t="shared" si="5"/>
        <v>42.545000000000002</v>
      </c>
      <c r="F26" s="31">
        <f t="shared" ref="F26" si="31">-1*(E26-$E$14)*10^-4*$C$8*$C$5</f>
        <v>-35843.780000000021</v>
      </c>
      <c r="G26" s="32">
        <f t="shared" ref="G26" si="32">$C$6*(A26-$A$14)/360*$C$5</f>
        <v>14000</v>
      </c>
      <c r="H26" s="82">
        <f t="shared" ref="H26" si="33">C26+D26-F26-G26</f>
        <v>13551.30000000001</v>
      </c>
      <c r="I26" s="1"/>
      <c r="J26" s="126">
        <v>45784.625</v>
      </c>
      <c r="K26" s="3">
        <v>62.27</v>
      </c>
      <c r="L26" s="126">
        <v>45784.625</v>
      </c>
      <c r="M26" s="3">
        <v>54.741999999999997</v>
      </c>
    </row>
    <row r="27" spans="1:13" x14ac:dyDescent="0.3">
      <c r="A27" s="36">
        <v>45944</v>
      </c>
      <c r="B27" s="45">
        <f t="shared" si="4"/>
        <v>60.168999999999997</v>
      </c>
      <c r="C27" s="31">
        <f t="shared" ref="C27" si="34">-1*(B27-$B$14)*10^-4*$B$8*$B$5</f>
        <v>-26476.479999999974</v>
      </c>
      <c r="D27" s="32">
        <f t="shared" ref="D27" si="35">$B$6*(A27-$A$14)/360*$B$5</f>
        <v>10555.555555555557</v>
      </c>
      <c r="E27" s="4">
        <f t="shared" si="5"/>
        <v>42.634</v>
      </c>
      <c r="F27" s="31">
        <f t="shared" ref="F27" si="36">-1*(E27-$E$14)*10^-4*$C$8*$C$5</f>
        <v>-37097.256000000008</v>
      </c>
      <c r="G27" s="32">
        <f t="shared" ref="G27" si="37">$C$6*(A27-$A$14)/360*$C$5</f>
        <v>14777.777777777779</v>
      </c>
      <c r="H27" s="82">
        <f t="shared" ref="H27" si="38">C27+D27-F27-G27</f>
        <v>6398.55377777781</v>
      </c>
      <c r="I27" s="1"/>
      <c r="J27" s="126">
        <v>45785.625</v>
      </c>
      <c r="K27" s="3">
        <v>60.957000000000001</v>
      </c>
      <c r="L27" s="126">
        <v>45785.625</v>
      </c>
      <c r="M27" s="3">
        <v>54.015000000000001</v>
      </c>
    </row>
    <row r="28" spans="1:13" x14ac:dyDescent="0.3">
      <c r="A28" s="36">
        <v>45945</v>
      </c>
      <c r="B28" s="45">
        <f t="shared" si="4"/>
        <v>58.076000000000001</v>
      </c>
      <c r="C28" s="31">
        <f t="shared" ref="C28" si="39">-1*(B28-$B$14)*10^-4*$B$8*$B$5</f>
        <v>-5713.9200000000055</v>
      </c>
      <c r="D28" s="32">
        <f t="shared" ref="D28" si="40">$B$6*(A28-$A$14)/360*$B$5</f>
        <v>11111.111111111111</v>
      </c>
      <c r="E28" s="4">
        <f t="shared" si="5"/>
        <v>40.781999999999996</v>
      </c>
      <c r="F28" s="31">
        <f t="shared" ref="F28" si="41">-1*(E28-$E$14)*10^-4*$C$8*$C$5</f>
        <v>-11013.687999999951</v>
      </c>
      <c r="G28" s="32">
        <f t="shared" ref="G28" si="42">$C$6*(A28-$A$14)/360*$C$5</f>
        <v>15555.555555555555</v>
      </c>
      <c r="H28" s="82">
        <f t="shared" ref="H28" si="43">C28+D28-F28-G28</f>
        <v>855.32355555550021</v>
      </c>
      <c r="I28" s="1"/>
      <c r="J28" s="126">
        <v>45786.625</v>
      </c>
      <c r="K28" s="3">
        <v>59.165999999999997</v>
      </c>
      <c r="L28" s="126">
        <v>45786.625</v>
      </c>
      <c r="M28" s="3">
        <v>52.176000000000002</v>
      </c>
    </row>
    <row r="29" spans="1:13" x14ac:dyDescent="0.3">
      <c r="A29" s="36">
        <v>45946</v>
      </c>
      <c r="B29" s="45">
        <f t="shared" ref="B29" si="44">VLOOKUP(A29+$F$2,J:K,2)</f>
        <v>57.722999999999999</v>
      </c>
      <c r="C29" s="31">
        <f t="shared" ref="C29:C30" si="45">-1*(B29-$B$14)*10^-4*$B$8*$B$5</f>
        <v>-2212.1599999999899</v>
      </c>
      <c r="D29" s="32">
        <f t="shared" ref="D29:D30" si="46">$B$6*(A29-$A$14)/360*$B$5</f>
        <v>11666.666666666666</v>
      </c>
      <c r="E29" s="4">
        <f t="shared" ref="E29" si="47">VLOOKUP(A29+$F$2,L:M,2)</f>
        <v>40.509</v>
      </c>
      <c r="F29" s="31">
        <f t="shared" ref="F29:F30" si="48">-1*(E29-$E$14)*10^-4*$C$8*$C$5</f>
        <v>-7168.7560000000058</v>
      </c>
      <c r="G29" s="32">
        <f t="shared" ref="G29:G30" si="49">$C$6*(A29-$A$14)/360*$C$5</f>
        <v>16333.333333333332</v>
      </c>
      <c r="H29" s="82">
        <f t="shared" ref="H29:H30" si="50">C29+D29-F29-G29</f>
        <v>289.92933333334804</v>
      </c>
      <c r="I29" s="1"/>
      <c r="J29" s="126">
        <v>45789.625</v>
      </c>
      <c r="K29" s="3">
        <v>57.408999999999999</v>
      </c>
      <c r="L29" s="126">
        <v>45789.625</v>
      </c>
      <c r="M29" s="3">
        <v>50.143999999999998</v>
      </c>
    </row>
    <row r="30" spans="1:13" x14ac:dyDescent="0.3">
      <c r="A30" s="131">
        <v>45947</v>
      </c>
      <c r="B30" s="45">
        <f>$B$10</f>
        <v>60.494979999999998</v>
      </c>
      <c r="C30" s="31">
        <f t="shared" si="45"/>
        <v>-29710.201599999982</v>
      </c>
      <c r="D30" s="32">
        <f t="shared" si="46"/>
        <v>12222.222222222223</v>
      </c>
      <c r="E30" s="4">
        <f>$C$10</f>
        <v>42.748420000000003</v>
      </c>
      <c r="F30" s="31">
        <f t="shared" si="48"/>
        <v>-38708.74728000004</v>
      </c>
      <c r="G30" s="32">
        <f t="shared" si="49"/>
        <v>17111.111111111109</v>
      </c>
      <c r="H30" s="82">
        <f t="shared" si="50"/>
        <v>4109.6567911111706</v>
      </c>
      <c r="I30" s="1"/>
      <c r="J30" s="126">
        <v>45790.625</v>
      </c>
      <c r="K30" s="3">
        <v>55.457000000000001</v>
      </c>
      <c r="L30" s="126">
        <v>45790.625</v>
      </c>
      <c r="M30" s="3">
        <v>47.427999999999997</v>
      </c>
    </row>
    <row r="31" spans="1:13" x14ac:dyDescent="0.3">
      <c r="A31" s="131">
        <v>45950</v>
      </c>
      <c r="B31" s="45"/>
      <c r="C31" s="31"/>
      <c r="D31" s="32"/>
      <c r="E31" s="4"/>
      <c r="F31" s="31"/>
      <c r="G31" s="32"/>
      <c r="H31" s="18"/>
      <c r="I31" s="1"/>
      <c r="J31" s="126">
        <v>45791.625</v>
      </c>
      <c r="K31" s="3">
        <v>54.484999999999999</v>
      </c>
      <c r="L31" s="126">
        <v>45791.625</v>
      </c>
      <c r="M31" s="3">
        <v>47.1</v>
      </c>
    </row>
    <row r="32" spans="1:13" x14ac:dyDescent="0.3">
      <c r="A32" s="131">
        <v>45951</v>
      </c>
      <c r="B32" s="45"/>
      <c r="C32" s="31"/>
      <c r="D32" s="32"/>
      <c r="E32" s="4"/>
      <c r="F32" s="31"/>
      <c r="G32" s="32"/>
      <c r="H32" s="18"/>
      <c r="I32" s="1"/>
      <c r="J32" s="126">
        <v>45792.625</v>
      </c>
      <c r="K32" s="3">
        <v>55.613</v>
      </c>
      <c r="L32" s="126">
        <v>45792.625</v>
      </c>
      <c r="M32" s="3">
        <v>47.670999999999999</v>
      </c>
    </row>
    <row r="33" spans="1:13" x14ac:dyDescent="0.3">
      <c r="A33" s="131">
        <v>45952</v>
      </c>
      <c r="B33" s="45"/>
      <c r="C33" s="31"/>
      <c r="D33" s="32"/>
      <c r="E33" s="4"/>
      <c r="F33" s="31"/>
      <c r="G33" s="32"/>
      <c r="H33" s="18"/>
      <c r="I33" s="1"/>
      <c r="J33" s="126">
        <v>45793.625</v>
      </c>
      <c r="K33" s="3">
        <v>55.064</v>
      </c>
      <c r="L33" s="126">
        <v>45793.625</v>
      </c>
      <c r="M33" s="3">
        <v>47.079000000000001</v>
      </c>
    </row>
    <row r="34" spans="1:13" x14ac:dyDescent="0.3">
      <c r="A34" s="131">
        <v>45953</v>
      </c>
      <c r="B34" s="45"/>
      <c r="C34" s="31"/>
      <c r="D34" s="32"/>
      <c r="E34" s="4"/>
      <c r="F34" s="31"/>
      <c r="G34" s="32"/>
      <c r="H34" s="38"/>
      <c r="I34" s="1"/>
      <c r="J34" s="126">
        <v>45796.625</v>
      </c>
      <c r="K34" s="3">
        <v>55.41</v>
      </c>
      <c r="L34" s="126">
        <v>45796.625</v>
      </c>
      <c r="M34" s="3">
        <v>47.253999999999998</v>
      </c>
    </row>
    <row r="35" spans="1:13" x14ac:dyDescent="0.3">
      <c r="A35" s="131">
        <v>45954</v>
      </c>
      <c r="B35" s="45"/>
      <c r="C35" s="31"/>
      <c r="D35" s="32"/>
      <c r="E35" s="4"/>
      <c r="F35" s="31"/>
      <c r="G35" s="32"/>
      <c r="H35" s="38"/>
      <c r="I35" s="1"/>
      <c r="J35" s="126">
        <v>45797.625</v>
      </c>
      <c r="K35" s="3">
        <v>54.796999999999997</v>
      </c>
      <c r="L35" s="126">
        <v>45797.625</v>
      </c>
      <c r="M35" s="3">
        <v>46.546999999999997</v>
      </c>
    </row>
    <row r="36" spans="1:13" x14ac:dyDescent="0.3">
      <c r="A36" s="131">
        <v>45955</v>
      </c>
      <c r="B36" s="45"/>
      <c r="C36" s="31"/>
      <c r="D36" s="32"/>
      <c r="E36" s="4"/>
      <c r="F36" s="31"/>
      <c r="G36" s="32"/>
      <c r="H36" s="38"/>
      <c r="I36" s="1"/>
      <c r="J36" s="126">
        <v>45798.625</v>
      </c>
      <c r="K36" s="3">
        <v>55.066000000000003</v>
      </c>
      <c r="L36" s="126">
        <v>45798.625</v>
      </c>
      <c r="M36" s="3">
        <v>47.01</v>
      </c>
    </row>
    <row r="37" spans="1:13" x14ac:dyDescent="0.3">
      <c r="A37" s="131">
        <v>45956</v>
      </c>
      <c r="B37" s="45"/>
      <c r="C37" s="31"/>
      <c r="D37" s="32"/>
      <c r="E37" s="4"/>
      <c r="F37" s="31"/>
      <c r="G37" s="32"/>
      <c r="H37" s="38"/>
      <c r="I37" s="1"/>
      <c r="J37" s="126">
        <v>45799.625</v>
      </c>
      <c r="K37" s="3">
        <v>56.084000000000003</v>
      </c>
      <c r="L37" s="126">
        <v>45799.625</v>
      </c>
      <c r="M37" s="3">
        <v>47.945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6">
        <v>45800.625</v>
      </c>
      <c r="K38" s="3">
        <v>56.822000000000003</v>
      </c>
      <c r="L38" s="126">
        <v>45800.625</v>
      </c>
      <c r="M38" s="3">
        <v>48.249000000000002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6">
        <v>45803.625</v>
      </c>
      <c r="K39" s="3">
        <v>56.56</v>
      </c>
      <c r="L39" s="126">
        <v>45803.625</v>
      </c>
      <c r="M39" s="3">
        <v>48.801000000000002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6">
        <v>45804.625</v>
      </c>
      <c r="K40" s="3">
        <v>54.860999999999997</v>
      </c>
      <c r="L40" s="126">
        <v>45804.625</v>
      </c>
      <c r="M40" s="3">
        <v>46.593000000000004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6">
        <v>45805.625</v>
      </c>
      <c r="K41" s="3">
        <v>54.534999999999997</v>
      </c>
      <c r="L41" s="126">
        <v>45805.625</v>
      </c>
      <c r="M41" s="3">
        <v>46.209000000000003</v>
      </c>
    </row>
    <row r="42" spans="1:13" x14ac:dyDescent="0.3">
      <c r="B42" s="62"/>
      <c r="C42" s="62"/>
      <c r="D42" s="62"/>
      <c r="F42" s="60"/>
      <c r="G42" s="60"/>
      <c r="H42" s="60"/>
      <c r="J42" s="126">
        <v>45806.625</v>
      </c>
      <c r="K42" s="3">
        <v>53.756999999999998</v>
      </c>
      <c r="L42" s="126">
        <v>45806.625</v>
      </c>
      <c r="M42" s="3">
        <v>45.494999999999997</v>
      </c>
    </row>
    <row r="43" spans="1:13" x14ac:dyDescent="0.3">
      <c r="B43" s="62"/>
      <c r="C43" s="62"/>
      <c r="D43" s="62"/>
      <c r="F43" s="60"/>
      <c r="G43" s="60"/>
      <c r="H43" s="60"/>
      <c r="J43" s="126">
        <v>45807.625</v>
      </c>
      <c r="K43" s="3">
        <v>54.356000000000002</v>
      </c>
      <c r="L43" s="126">
        <v>45807.625</v>
      </c>
      <c r="M43" s="3">
        <v>46.136000000000003</v>
      </c>
    </row>
    <row r="44" spans="1:13" x14ac:dyDescent="0.3">
      <c r="B44" s="62"/>
      <c r="C44" s="62"/>
      <c r="D44" s="62"/>
      <c r="F44" s="60"/>
      <c r="G44" s="60"/>
      <c r="H44" s="60"/>
      <c r="J44" s="126">
        <v>45810.625</v>
      </c>
      <c r="K44" s="3">
        <v>54.506</v>
      </c>
      <c r="L44" s="126">
        <v>45810.625</v>
      </c>
      <c r="M44" s="3">
        <v>46.256</v>
      </c>
    </row>
    <row r="45" spans="1:13" x14ac:dyDescent="0.3">
      <c r="B45" s="62"/>
      <c r="C45" s="62"/>
      <c r="D45" s="62"/>
      <c r="F45" s="60"/>
      <c r="G45" s="60"/>
      <c r="H45" s="60"/>
      <c r="J45" s="126">
        <v>45811.625</v>
      </c>
      <c r="K45" s="3">
        <v>53.761000000000003</v>
      </c>
      <c r="L45" s="126">
        <v>45811.625</v>
      </c>
      <c r="M45" s="3">
        <v>45.429000000000002</v>
      </c>
    </row>
    <row r="46" spans="1:13" x14ac:dyDescent="0.3">
      <c r="B46" s="62"/>
      <c r="C46" s="62"/>
      <c r="D46" s="62"/>
      <c r="J46" s="126">
        <v>45812.625</v>
      </c>
      <c r="K46" s="3">
        <v>53.343000000000004</v>
      </c>
      <c r="L46" s="126">
        <v>45812.625</v>
      </c>
      <c r="M46" s="3">
        <v>45.515999999999998</v>
      </c>
    </row>
    <row r="47" spans="1:13" x14ac:dyDescent="0.3">
      <c r="B47" s="62"/>
      <c r="C47" s="62"/>
      <c r="D47" s="62"/>
      <c r="J47" s="126">
        <v>45813.625</v>
      </c>
      <c r="K47" s="3">
        <v>53.338999999999999</v>
      </c>
      <c r="L47" s="126">
        <v>45813.625</v>
      </c>
      <c r="M47" s="3">
        <v>45.408999999999999</v>
      </c>
    </row>
    <row r="48" spans="1:13" x14ac:dyDescent="0.3">
      <c r="B48" s="62"/>
      <c r="C48" s="62"/>
      <c r="D48" s="62"/>
      <c r="J48" s="126">
        <v>45814.625</v>
      </c>
      <c r="K48" s="3">
        <v>53.445</v>
      </c>
      <c r="L48" s="126">
        <v>45814.625</v>
      </c>
      <c r="M48" s="3">
        <v>45.503999999999998</v>
      </c>
    </row>
    <row r="49" spans="2:13" x14ac:dyDescent="0.3">
      <c r="B49" s="62"/>
      <c r="C49" s="62"/>
      <c r="D49" s="62"/>
      <c r="J49" s="126">
        <v>45817.625</v>
      </c>
      <c r="K49" s="3">
        <v>52.607999999999997</v>
      </c>
      <c r="L49" s="126">
        <v>45817.625</v>
      </c>
      <c r="M49" s="3">
        <v>44.362000000000002</v>
      </c>
    </row>
    <row r="50" spans="2:13" x14ac:dyDescent="0.3">
      <c r="B50" s="62"/>
      <c r="C50" s="62"/>
      <c r="D50" s="62"/>
      <c r="J50" s="126">
        <v>45818.625</v>
      </c>
      <c r="K50" s="3">
        <v>52.526000000000003</v>
      </c>
      <c r="L50" s="126">
        <v>45818.625</v>
      </c>
      <c r="M50" s="3">
        <v>44.154000000000003</v>
      </c>
    </row>
    <row r="51" spans="2:13" x14ac:dyDescent="0.3">
      <c r="B51" s="62"/>
      <c r="C51" s="62"/>
      <c r="D51" s="62"/>
      <c r="J51" s="126">
        <v>45819.625</v>
      </c>
      <c r="K51" s="3">
        <v>52.320999999999998</v>
      </c>
      <c r="L51" s="126">
        <v>45819.625</v>
      </c>
      <c r="M51" s="3">
        <v>44.084000000000003</v>
      </c>
    </row>
    <row r="52" spans="2:13" x14ac:dyDescent="0.3">
      <c r="B52" s="62"/>
      <c r="C52" s="62"/>
      <c r="D52" s="62"/>
      <c r="J52" s="126">
        <v>45820.625</v>
      </c>
      <c r="K52" s="3">
        <v>52.792999999999999</v>
      </c>
      <c r="L52" s="126">
        <v>45820.625</v>
      </c>
      <c r="M52" s="3">
        <v>43.744</v>
      </c>
    </row>
    <row r="53" spans="2:13" x14ac:dyDescent="0.3">
      <c r="B53" s="62"/>
      <c r="C53" s="62"/>
      <c r="D53" s="62"/>
      <c r="J53" s="126">
        <v>45821.625</v>
      </c>
      <c r="K53" s="3">
        <v>54.625999999999998</v>
      </c>
      <c r="L53" s="126">
        <v>45821.625</v>
      </c>
      <c r="M53" s="3">
        <v>45.664000000000001</v>
      </c>
    </row>
    <row r="54" spans="2:13" x14ac:dyDescent="0.3">
      <c r="J54" s="126">
        <v>45824.625</v>
      </c>
      <c r="K54" s="3">
        <v>53.648000000000003</v>
      </c>
      <c r="L54" s="126">
        <v>45824.625</v>
      </c>
      <c r="M54" s="3">
        <v>44.643000000000001</v>
      </c>
    </row>
    <row r="55" spans="2:13" x14ac:dyDescent="0.3">
      <c r="J55" s="126">
        <v>45825.625</v>
      </c>
      <c r="K55" s="3">
        <v>54.304000000000002</v>
      </c>
      <c r="L55" s="126">
        <v>45825.625</v>
      </c>
      <c r="M55" s="3">
        <v>45.134999999999998</v>
      </c>
    </row>
    <row r="56" spans="2:13" x14ac:dyDescent="0.3">
      <c r="J56" s="126">
        <v>45826.625</v>
      </c>
      <c r="K56" s="3">
        <v>55.563000000000002</v>
      </c>
      <c r="L56" s="126">
        <v>45826.625</v>
      </c>
      <c r="M56" s="3">
        <v>45.765999999999998</v>
      </c>
    </row>
    <row r="57" spans="2:13" x14ac:dyDescent="0.3">
      <c r="J57" s="126">
        <v>45827.625</v>
      </c>
      <c r="K57" s="3">
        <v>56.548999999999999</v>
      </c>
      <c r="L57" s="126">
        <v>45827.625</v>
      </c>
      <c r="M57" s="3">
        <v>46.936</v>
      </c>
    </row>
    <row r="58" spans="2:13" x14ac:dyDescent="0.3">
      <c r="J58" s="126">
        <v>45828.625</v>
      </c>
      <c r="K58" s="3">
        <v>56.744999999999997</v>
      </c>
      <c r="L58" s="126">
        <v>45828.625</v>
      </c>
      <c r="M58" s="3">
        <v>47.334000000000003</v>
      </c>
    </row>
    <row r="59" spans="2:13" x14ac:dyDescent="0.3">
      <c r="J59" s="126">
        <v>45831.625</v>
      </c>
      <c r="K59" s="3">
        <v>56.445999999999998</v>
      </c>
      <c r="L59" s="126">
        <v>45831.625</v>
      </c>
      <c r="M59" s="3">
        <v>47.360999999999997</v>
      </c>
    </row>
    <row r="60" spans="2:13" x14ac:dyDescent="0.3">
      <c r="J60" s="126">
        <v>45832.625</v>
      </c>
      <c r="K60" s="3">
        <v>54.844000000000001</v>
      </c>
      <c r="L60" s="126">
        <v>45832.625</v>
      </c>
      <c r="M60" s="3">
        <v>44.459000000000003</v>
      </c>
    </row>
    <row r="61" spans="2:13" x14ac:dyDescent="0.3">
      <c r="J61" s="126">
        <v>45833.625</v>
      </c>
      <c r="K61" s="3">
        <v>54.302999999999997</v>
      </c>
      <c r="L61" s="126">
        <v>45833.625</v>
      </c>
      <c r="M61" s="3">
        <v>44.405000000000001</v>
      </c>
    </row>
    <row r="62" spans="2:13" x14ac:dyDescent="0.3">
      <c r="J62" s="126">
        <v>45834.625</v>
      </c>
      <c r="K62" s="3">
        <v>54.546999999999997</v>
      </c>
      <c r="L62" s="126">
        <v>45834.625</v>
      </c>
      <c r="M62" s="3">
        <v>44.191000000000003</v>
      </c>
    </row>
    <row r="63" spans="2:13" x14ac:dyDescent="0.3">
      <c r="J63" s="126">
        <v>45835.625</v>
      </c>
      <c r="K63" s="3">
        <v>53.935000000000002</v>
      </c>
      <c r="L63" s="126">
        <v>45835.625</v>
      </c>
      <c r="M63" s="3">
        <v>42.99</v>
      </c>
    </row>
    <row r="64" spans="2:13" x14ac:dyDescent="0.3">
      <c r="J64" s="126">
        <v>45838.625</v>
      </c>
      <c r="K64" s="3">
        <v>53.621000000000002</v>
      </c>
      <c r="L64" s="126">
        <v>45838.625</v>
      </c>
      <c r="M64" s="3">
        <v>42.261000000000003</v>
      </c>
    </row>
    <row r="65" spans="10:13" x14ac:dyDescent="0.3">
      <c r="J65" s="126">
        <v>45839.625</v>
      </c>
      <c r="K65" s="3">
        <v>53.929000000000002</v>
      </c>
      <c r="L65" s="126">
        <v>45839.625</v>
      </c>
      <c r="M65" s="3">
        <v>42.802999999999997</v>
      </c>
    </row>
    <row r="66" spans="10:13" x14ac:dyDescent="0.3">
      <c r="J66" s="126">
        <v>45840.625</v>
      </c>
      <c r="K66" s="3">
        <v>53.387999999999998</v>
      </c>
      <c r="L66" s="126">
        <v>45840.625</v>
      </c>
      <c r="M66" s="3">
        <v>42.024000000000001</v>
      </c>
    </row>
    <row r="67" spans="10:13" x14ac:dyDescent="0.3">
      <c r="J67" s="126">
        <v>45841.625</v>
      </c>
      <c r="K67" s="3">
        <v>53.204999999999998</v>
      </c>
      <c r="L67" s="126">
        <v>45841.625</v>
      </c>
      <c r="M67" s="3">
        <v>41.826999999999998</v>
      </c>
    </row>
    <row r="68" spans="10:13" x14ac:dyDescent="0.3">
      <c r="J68" s="126">
        <v>45842.625</v>
      </c>
      <c r="K68" s="3">
        <v>53.658999999999999</v>
      </c>
      <c r="L68" s="126">
        <v>45842.625</v>
      </c>
      <c r="M68" s="3">
        <v>42.152000000000001</v>
      </c>
    </row>
    <row r="69" spans="10:13" x14ac:dyDescent="0.3">
      <c r="J69" s="126">
        <v>45845.625</v>
      </c>
      <c r="K69" s="3">
        <v>53.37</v>
      </c>
      <c r="L69" s="126">
        <v>45845.625</v>
      </c>
      <c r="M69" s="3">
        <v>42.04</v>
      </c>
    </row>
    <row r="70" spans="10:13" x14ac:dyDescent="0.3">
      <c r="J70" s="126">
        <v>45846.625</v>
      </c>
      <c r="K70" s="3">
        <v>53.279000000000003</v>
      </c>
      <c r="L70" s="126">
        <v>45846.625</v>
      </c>
      <c r="M70" s="3">
        <v>41.741</v>
      </c>
    </row>
    <row r="71" spans="10:13" x14ac:dyDescent="0.3">
      <c r="J71" s="126">
        <v>45847.625</v>
      </c>
      <c r="K71" s="3">
        <v>53.136000000000003</v>
      </c>
      <c r="L71" s="126">
        <v>45847.625</v>
      </c>
      <c r="M71" s="3">
        <v>41.680999999999997</v>
      </c>
    </row>
    <row r="72" spans="10:13" x14ac:dyDescent="0.3">
      <c r="J72" s="126">
        <v>45848.625</v>
      </c>
      <c r="K72" s="3">
        <v>52.456000000000003</v>
      </c>
      <c r="L72" s="126">
        <v>45848.625</v>
      </c>
      <c r="M72" s="3">
        <v>41.457999999999998</v>
      </c>
    </row>
    <row r="73" spans="10:13" x14ac:dyDescent="0.3">
      <c r="J73" s="126">
        <v>45849.625</v>
      </c>
      <c r="K73" s="3">
        <v>53.395000000000003</v>
      </c>
      <c r="L73" s="126">
        <v>45849.625</v>
      </c>
      <c r="M73" s="3">
        <v>41.636000000000003</v>
      </c>
    </row>
    <row r="74" spans="10:13" x14ac:dyDescent="0.3">
      <c r="J74" s="126">
        <v>45852.625</v>
      </c>
      <c r="K74" s="3">
        <v>53.255000000000003</v>
      </c>
      <c r="L74" s="126">
        <v>45852.625</v>
      </c>
      <c r="M74" s="3">
        <v>42.579000000000001</v>
      </c>
    </row>
    <row r="75" spans="10:13" x14ac:dyDescent="0.3">
      <c r="J75" s="126">
        <v>45853.625</v>
      </c>
      <c r="K75" s="3">
        <v>52.918999999999997</v>
      </c>
      <c r="L75" s="126">
        <v>45853.625</v>
      </c>
      <c r="M75" s="3">
        <v>41.76</v>
      </c>
    </row>
    <row r="76" spans="10:13" x14ac:dyDescent="0.3">
      <c r="J76" s="126">
        <v>45854.625</v>
      </c>
      <c r="K76" s="3">
        <v>53.899000000000001</v>
      </c>
      <c r="L76" s="126">
        <v>45854.625</v>
      </c>
      <c r="M76" s="3">
        <v>42.137</v>
      </c>
    </row>
    <row r="77" spans="10:13" x14ac:dyDescent="0.3">
      <c r="J77" s="126">
        <v>45855.625</v>
      </c>
      <c r="K77" s="3">
        <v>53.494999999999997</v>
      </c>
      <c r="L77" s="126">
        <v>45855.625</v>
      </c>
      <c r="M77" s="3">
        <v>41.612000000000002</v>
      </c>
    </row>
    <row r="78" spans="10:13" x14ac:dyDescent="0.3">
      <c r="J78" s="126">
        <v>45856.625</v>
      </c>
      <c r="K78" s="3">
        <v>52.932000000000002</v>
      </c>
      <c r="L78" s="126">
        <v>45856.625</v>
      </c>
      <c r="M78" s="3">
        <v>40.875999999999998</v>
      </c>
    </row>
    <row r="79" spans="10:13" x14ac:dyDescent="0.3">
      <c r="J79" s="126">
        <v>45859.625</v>
      </c>
      <c r="K79" s="3">
        <v>52.993000000000002</v>
      </c>
      <c r="L79" s="126">
        <v>45859.625</v>
      </c>
      <c r="M79" s="3">
        <v>40.923999999999999</v>
      </c>
    </row>
    <row r="80" spans="10:13" x14ac:dyDescent="0.3">
      <c r="J80" s="126">
        <v>45860.625</v>
      </c>
      <c r="K80" s="3">
        <v>53.313000000000002</v>
      </c>
      <c r="L80" s="126">
        <v>45860.625</v>
      </c>
      <c r="M80" s="3">
        <v>41.140999999999998</v>
      </c>
    </row>
    <row r="81" spans="10:13" x14ac:dyDescent="0.3">
      <c r="J81" s="126">
        <v>45861.625</v>
      </c>
      <c r="K81" s="3">
        <v>52.954000000000001</v>
      </c>
      <c r="L81" s="126">
        <v>45861.625</v>
      </c>
      <c r="M81" s="3">
        <v>40.151000000000003</v>
      </c>
    </row>
    <row r="82" spans="10:13" x14ac:dyDescent="0.3">
      <c r="J82" s="126">
        <v>45862.625</v>
      </c>
      <c r="K82" s="3">
        <v>52.107999999999997</v>
      </c>
      <c r="L82" s="126">
        <v>45862.625</v>
      </c>
      <c r="M82" s="3">
        <v>40.003</v>
      </c>
    </row>
    <row r="83" spans="10:13" x14ac:dyDescent="0.3">
      <c r="J83" s="126">
        <v>45863.625</v>
      </c>
      <c r="K83" s="3">
        <v>52.244999999999997</v>
      </c>
      <c r="L83" s="126">
        <v>45863.625</v>
      </c>
      <c r="M83" s="3">
        <v>39.965000000000003</v>
      </c>
    </row>
    <row r="84" spans="10:13" x14ac:dyDescent="0.3">
      <c r="J84" s="126">
        <v>45866.625</v>
      </c>
      <c r="K84" s="3">
        <v>51.534999999999997</v>
      </c>
      <c r="L84" s="126">
        <v>45866.625</v>
      </c>
      <c r="M84" s="3">
        <v>39.429000000000002</v>
      </c>
    </row>
    <row r="85" spans="10:13" x14ac:dyDescent="0.3">
      <c r="J85" s="126">
        <v>45867.625</v>
      </c>
      <c r="K85" s="3">
        <v>51.484999999999999</v>
      </c>
      <c r="L85" s="126">
        <v>45867.625</v>
      </c>
      <c r="M85" s="3">
        <v>39.277000000000001</v>
      </c>
    </row>
    <row r="86" spans="10:13" x14ac:dyDescent="0.3">
      <c r="J86" s="126">
        <v>45868.625</v>
      </c>
      <c r="K86" s="3">
        <v>51.128999999999998</v>
      </c>
      <c r="L86" s="126">
        <v>45868.625</v>
      </c>
      <c r="M86" s="3">
        <v>39.100999999999999</v>
      </c>
    </row>
    <row r="87" spans="10:13" x14ac:dyDescent="0.3">
      <c r="J87" s="126">
        <v>45869.625</v>
      </c>
      <c r="K87" s="3">
        <v>51.021000000000001</v>
      </c>
      <c r="L87" s="126">
        <v>45869.625</v>
      </c>
      <c r="M87" s="3">
        <v>39.020000000000003</v>
      </c>
    </row>
    <row r="88" spans="10:13" x14ac:dyDescent="0.3">
      <c r="J88" s="126">
        <v>45870.625</v>
      </c>
      <c r="K88" s="3">
        <v>53.116</v>
      </c>
      <c r="L88" s="126">
        <v>45870.625</v>
      </c>
      <c r="M88" s="3">
        <v>40.494999999999997</v>
      </c>
    </row>
    <row r="89" spans="10:13" x14ac:dyDescent="0.3">
      <c r="J89" s="126">
        <v>45873.625</v>
      </c>
      <c r="K89" s="3">
        <v>53.188000000000002</v>
      </c>
      <c r="L89" s="126">
        <v>45873.625</v>
      </c>
      <c r="M89" s="3">
        <v>40.552999999999997</v>
      </c>
    </row>
    <row r="90" spans="10:13" x14ac:dyDescent="0.3">
      <c r="J90" s="126">
        <v>45874.625</v>
      </c>
      <c r="K90" s="3">
        <v>53.186999999999998</v>
      </c>
      <c r="L90" s="126">
        <v>45874.625</v>
      </c>
      <c r="M90" s="3">
        <v>40.091000000000001</v>
      </c>
    </row>
    <row r="91" spans="10:13" x14ac:dyDescent="0.3">
      <c r="J91" s="126">
        <v>45875.625</v>
      </c>
      <c r="K91" s="3">
        <v>52.622</v>
      </c>
      <c r="L91" s="126">
        <v>45875.625</v>
      </c>
      <c r="M91" s="3">
        <v>39.817</v>
      </c>
    </row>
    <row r="92" spans="10:13" x14ac:dyDescent="0.3">
      <c r="J92" s="126">
        <v>45876.625</v>
      </c>
      <c r="K92" s="3">
        <v>52.198</v>
      </c>
      <c r="L92" s="126">
        <v>45876.625</v>
      </c>
      <c r="M92" s="3">
        <v>38.610999999999997</v>
      </c>
    </row>
    <row r="93" spans="10:13" x14ac:dyDescent="0.3">
      <c r="J93" s="126">
        <v>45877.625</v>
      </c>
      <c r="K93" s="3">
        <v>51.991999999999997</v>
      </c>
      <c r="L93" s="126">
        <v>45877.625</v>
      </c>
      <c r="M93" s="3">
        <v>38.204999999999998</v>
      </c>
    </row>
    <row r="94" spans="10:13" x14ac:dyDescent="0.3">
      <c r="J94" s="126">
        <v>45880.625</v>
      </c>
      <c r="K94" s="3">
        <v>51.926000000000002</v>
      </c>
      <c r="L94" s="126">
        <v>45880.625</v>
      </c>
      <c r="M94" s="3">
        <v>37.720999999999997</v>
      </c>
    </row>
    <row r="95" spans="10:13" x14ac:dyDescent="0.3">
      <c r="J95" s="126">
        <v>45881.625</v>
      </c>
      <c r="K95" s="3">
        <v>52.116</v>
      </c>
      <c r="L95" s="126">
        <v>45881.625</v>
      </c>
      <c r="M95" s="3">
        <v>37.566000000000003</v>
      </c>
    </row>
    <row r="96" spans="10:13" x14ac:dyDescent="0.3">
      <c r="J96" s="126">
        <v>45882.625</v>
      </c>
      <c r="K96" s="3">
        <v>51.146000000000001</v>
      </c>
      <c r="L96" s="126">
        <v>45882.625</v>
      </c>
      <c r="M96" s="3">
        <v>37.143000000000001</v>
      </c>
    </row>
    <row r="97" spans="10:13" x14ac:dyDescent="0.3">
      <c r="J97" s="126">
        <v>45883.625</v>
      </c>
      <c r="K97" s="3">
        <v>51.491</v>
      </c>
      <c r="L97" s="126">
        <v>45883.625</v>
      </c>
      <c r="M97" s="3">
        <v>36.136000000000003</v>
      </c>
    </row>
    <row r="98" spans="10:13" x14ac:dyDescent="0.3">
      <c r="J98" s="126">
        <v>45884.625</v>
      </c>
      <c r="K98" s="3">
        <v>51.177</v>
      </c>
      <c r="L98" s="126">
        <v>45884.625</v>
      </c>
      <c r="M98" s="3">
        <v>36.046999999999997</v>
      </c>
    </row>
    <row r="99" spans="10:13" x14ac:dyDescent="0.3">
      <c r="J99" s="126">
        <v>45887.625</v>
      </c>
      <c r="K99" s="3">
        <v>51.094000000000001</v>
      </c>
      <c r="L99" s="126">
        <v>45887.625</v>
      </c>
      <c r="M99" s="3">
        <v>35.988</v>
      </c>
    </row>
    <row r="100" spans="10:13" x14ac:dyDescent="0.3">
      <c r="J100" s="126">
        <v>45888.625</v>
      </c>
      <c r="K100" s="3">
        <v>51.646000000000001</v>
      </c>
      <c r="L100" s="126">
        <v>45888.625</v>
      </c>
      <c r="M100" s="3">
        <v>35.609000000000002</v>
      </c>
    </row>
    <row r="101" spans="10:13" x14ac:dyDescent="0.3">
      <c r="J101" s="126">
        <v>45889.625</v>
      </c>
      <c r="K101" s="3">
        <v>51.572000000000003</v>
      </c>
      <c r="L101" s="126">
        <v>45889.625</v>
      </c>
      <c r="M101" s="3">
        <v>35.808</v>
      </c>
    </row>
    <row r="102" spans="10:13" x14ac:dyDescent="0.3">
      <c r="J102" s="126">
        <v>45890.625</v>
      </c>
      <c r="K102" s="3">
        <v>52.003</v>
      </c>
      <c r="L102" s="126">
        <v>45890.625</v>
      </c>
      <c r="M102" s="3">
        <v>36.588999999999999</v>
      </c>
    </row>
    <row r="103" spans="10:13" x14ac:dyDescent="0.3">
      <c r="J103" s="126">
        <v>45891.625</v>
      </c>
      <c r="K103" s="3">
        <v>51.804000000000002</v>
      </c>
      <c r="L103" s="126">
        <v>45891.625</v>
      </c>
      <c r="M103" s="3">
        <v>36.652000000000001</v>
      </c>
    </row>
    <row r="104" spans="10:13" x14ac:dyDescent="0.3">
      <c r="J104" s="126">
        <v>45894.625</v>
      </c>
      <c r="K104" s="3">
        <v>50.963000000000001</v>
      </c>
      <c r="L104" s="126">
        <v>45894.625</v>
      </c>
      <c r="M104" s="3">
        <v>36.311999999999998</v>
      </c>
    </row>
    <row r="105" spans="10:13" x14ac:dyDescent="0.3">
      <c r="J105" s="126">
        <v>45895.625</v>
      </c>
      <c r="K105" s="3">
        <v>52.515999999999998</v>
      </c>
      <c r="L105" s="126">
        <v>45895.625</v>
      </c>
      <c r="M105" s="3">
        <v>36.866999999999997</v>
      </c>
    </row>
    <row r="106" spans="10:13" x14ac:dyDescent="0.3">
      <c r="J106" s="126">
        <v>45896.625</v>
      </c>
      <c r="K106" s="3">
        <v>52.853000000000002</v>
      </c>
      <c r="L106" s="126">
        <v>45896.625</v>
      </c>
      <c r="M106" s="3">
        <v>38.023000000000003</v>
      </c>
    </row>
    <row r="107" spans="10:13" x14ac:dyDescent="0.3">
      <c r="J107" s="126">
        <v>45897.625</v>
      </c>
      <c r="K107" s="3">
        <v>53.463000000000001</v>
      </c>
      <c r="L107" s="126">
        <v>45897.625</v>
      </c>
      <c r="M107" s="3">
        <v>39.009</v>
      </c>
    </row>
    <row r="108" spans="10:13" x14ac:dyDescent="0.3">
      <c r="J108" s="126">
        <v>45898.625</v>
      </c>
      <c r="K108" s="3">
        <v>53.823</v>
      </c>
      <c r="L108" s="126">
        <v>45898.625</v>
      </c>
      <c r="M108" s="3">
        <v>39.082999999999998</v>
      </c>
    </row>
    <row r="109" spans="10:13" x14ac:dyDescent="0.3">
      <c r="J109" s="126">
        <v>45901.625</v>
      </c>
      <c r="K109" s="3">
        <v>54.084000000000003</v>
      </c>
      <c r="L109" s="126">
        <v>45901.625</v>
      </c>
      <c r="M109" s="3">
        <v>39.572000000000003</v>
      </c>
    </row>
    <row r="110" spans="10:13" x14ac:dyDescent="0.3">
      <c r="J110" s="126">
        <v>45902.625</v>
      </c>
      <c r="K110" s="3">
        <v>54.981000000000002</v>
      </c>
      <c r="L110" s="126">
        <v>45902.625</v>
      </c>
      <c r="M110" s="3">
        <v>40.35</v>
      </c>
    </row>
    <row r="111" spans="10:13" x14ac:dyDescent="0.3">
      <c r="J111" s="126">
        <v>45903.625</v>
      </c>
      <c r="K111" s="3">
        <v>55.804000000000002</v>
      </c>
      <c r="L111" s="126">
        <v>45903.625</v>
      </c>
      <c r="M111" s="3">
        <v>39.996000000000002</v>
      </c>
    </row>
    <row r="112" spans="10:13" x14ac:dyDescent="0.3">
      <c r="J112" s="126">
        <v>45904.625</v>
      </c>
      <c r="K112" s="3">
        <v>55.631</v>
      </c>
      <c r="L112" s="126">
        <v>45904.625</v>
      </c>
      <c r="M112" s="3">
        <v>38.920999999999999</v>
      </c>
    </row>
    <row r="113" spans="10:13" x14ac:dyDescent="0.3">
      <c r="J113" s="126">
        <v>45905.625</v>
      </c>
      <c r="K113" s="3">
        <v>55.226999999999997</v>
      </c>
      <c r="L113" s="126">
        <v>45905.625</v>
      </c>
      <c r="M113" s="3">
        <v>38.055999999999997</v>
      </c>
    </row>
    <row r="114" spans="10:13" x14ac:dyDescent="0.3">
      <c r="J114" s="126">
        <v>45908.625</v>
      </c>
      <c r="K114" s="3">
        <v>54.622999999999998</v>
      </c>
      <c r="L114" s="126">
        <v>45908.625</v>
      </c>
      <c r="M114" s="3">
        <v>38.365000000000002</v>
      </c>
    </row>
    <row r="115" spans="10:13" x14ac:dyDescent="0.3">
      <c r="J115" s="126">
        <v>45909.625</v>
      </c>
      <c r="K115" s="3">
        <v>54.384999999999998</v>
      </c>
      <c r="L115" s="126">
        <v>45909.625</v>
      </c>
      <c r="M115" s="3">
        <v>37.978999999999999</v>
      </c>
    </row>
    <row r="116" spans="10:13" x14ac:dyDescent="0.3">
      <c r="J116" s="126">
        <v>45910.625</v>
      </c>
      <c r="K116" s="3">
        <v>53.143999999999998</v>
      </c>
      <c r="L116" s="126">
        <v>45910.625</v>
      </c>
      <c r="M116" s="3">
        <v>37.517000000000003</v>
      </c>
    </row>
    <row r="117" spans="10:13" x14ac:dyDescent="0.3">
      <c r="J117" s="126">
        <v>45911.625</v>
      </c>
      <c r="K117" s="3">
        <v>52.847999999999999</v>
      </c>
      <c r="L117" s="126">
        <v>45911.625</v>
      </c>
      <c r="M117" s="3">
        <v>36.485999999999997</v>
      </c>
    </row>
    <row r="118" spans="10:13" x14ac:dyDescent="0.3">
      <c r="J118" s="126">
        <v>45912.625</v>
      </c>
      <c r="K118" s="3">
        <v>51.688000000000002</v>
      </c>
      <c r="L118" s="126">
        <v>45912.625</v>
      </c>
      <c r="M118" s="3">
        <v>36.246000000000002</v>
      </c>
    </row>
    <row r="119" spans="10:13" x14ac:dyDescent="0.3">
      <c r="J119" s="126">
        <v>45915.625</v>
      </c>
      <c r="K119" s="3">
        <v>51.258000000000003</v>
      </c>
      <c r="L119" s="126">
        <v>45915.625</v>
      </c>
      <c r="M119" s="3">
        <v>36.031999999999996</v>
      </c>
    </row>
    <row r="120" spans="10:13" x14ac:dyDescent="0.3">
      <c r="J120" s="126">
        <v>45916.625</v>
      </c>
      <c r="K120" s="3">
        <v>51.31</v>
      </c>
      <c r="L120" s="126">
        <v>45916.625</v>
      </c>
      <c r="M120" s="3">
        <v>35.906999999999996</v>
      </c>
    </row>
    <row r="121" spans="10:13" x14ac:dyDescent="0.3">
      <c r="J121" s="126">
        <v>45917.625</v>
      </c>
      <c r="K121" s="3">
        <v>51.664000000000001</v>
      </c>
      <c r="L121" s="126">
        <v>45917.625</v>
      </c>
      <c r="M121" s="3">
        <v>36.252000000000002</v>
      </c>
    </row>
    <row r="122" spans="10:13" x14ac:dyDescent="0.3">
      <c r="J122" s="126">
        <v>45918.625</v>
      </c>
      <c r="K122" s="3">
        <v>51.064999999999998</v>
      </c>
      <c r="L122" s="126">
        <v>45918.625</v>
      </c>
      <c r="M122" s="3">
        <v>35.774000000000001</v>
      </c>
    </row>
    <row r="123" spans="10:13" x14ac:dyDescent="0.3">
      <c r="J123" s="126">
        <v>45919.625</v>
      </c>
      <c r="K123" s="3">
        <v>51.167000000000002</v>
      </c>
      <c r="L123" s="126">
        <v>45919.625</v>
      </c>
      <c r="M123" s="3">
        <v>35.689</v>
      </c>
    </row>
    <row r="124" spans="10:13" x14ac:dyDescent="0.3">
      <c r="J124" s="126">
        <v>45922.625</v>
      </c>
      <c r="K124" s="3">
        <v>56.96</v>
      </c>
      <c r="L124" s="126">
        <v>45922.625</v>
      </c>
      <c r="M124" s="3">
        <v>39.006999999999998</v>
      </c>
    </row>
    <row r="125" spans="10:13" x14ac:dyDescent="0.3">
      <c r="J125" s="126">
        <v>45923.625</v>
      </c>
      <c r="K125" s="3">
        <v>57.104999999999997</v>
      </c>
      <c r="L125" s="126">
        <v>45923.625</v>
      </c>
      <c r="M125" s="3">
        <v>39.052999999999997</v>
      </c>
    </row>
    <row r="126" spans="10:13" x14ac:dyDescent="0.3">
      <c r="J126" s="126">
        <v>45924.625</v>
      </c>
      <c r="K126" s="3">
        <v>57.107999999999997</v>
      </c>
      <c r="L126" s="126">
        <v>45924.625</v>
      </c>
      <c r="M126" s="3">
        <v>39.125999999999998</v>
      </c>
    </row>
    <row r="127" spans="10:13" x14ac:dyDescent="0.3">
      <c r="J127" s="126">
        <v>45925.625</v>
      </c>
      <c r="K127" s="3">
        <v>57.837000000000003</v>
      </c>
      <c r="L127" s="126">
        <v>45925.625</v>
      </c>
      <c r="M127" s="3">
        <v>39.826000000000001</v>
      </c>
    </row>
    <row r="128" spans="10:13" x14ac:dyDescent="0.3">
      <c r="J128" s="126">
        <v>45926.625</v>
      </c>
      <c r="K128" s="3">
        <v>58.136000000000003</v>
      </c>
      <c r="L128" s="126">
        <v>45926.625</v>
      </c>
      <c r="M128" s="3">
        <v>40.026000000000003</v>
      </c>
    </row>
    <row r="129" spans="10:13" x14ac:dyDescent="0.3">
      <c r="J129" s="126">
        <v>45929.625</v>
      </c>
      <c r="K129" s="3">
        <v>57.792000000000002</v>
      </c>
      <c r="L129" s="126">
        <v>45929.625</v>
      </c>
      <c r="M129" s="3">
        <v>39.997</v>
      </c>
    </row>
    <row r="130" spans="10:13" x14ac:dyDescent="0.3">
      <c r="J130" s="126">
        <v>45930.625</v>
      </c>
      <c r="K130" s="3">
        <v>57.51</v>
      </c>
      <c r="L130" s="126">
        <v>45930.625</v>
      </c>
      <c r="M130" s="3">
        <v>40.194000000000003</v>
      </c>
    </row>
    <row r="131" spans="10:13" x14ac:dyDescent="0.3">
      <c r="J131" s="126">
        <v>45931.625</v>
      </c>
      <c r="K131" s="3">
        <v>57.616</v>
      </c>
      <c r="L131" s="126">
        <v>45931.625</v>
      </c>
      <c r="M131" s="3">
        <v>40.406999999999996</v>
      </c>
    </row>
    <row r="132" spans="10:13" x14ac:dyDescent="0.3">
      <c r="J132" s="126">
        <v>45932.625</v>
      </c>
      <c r="K132" s="3">
        <v>57.011000000000003</v>
      </c>
      <c r="L132" s="126">
        <v>45932.625</v>
      </c>
      <c r="M132" s="3">
        <v>39.887</v>
      </c>
    </row>
    <row r="133" spans="10:13" x14ac:dyDescent="0.3">
      <c r="J133" s="126">
        <v>45933.625</v>
      </c>
      <c r="K133" s="3">
        <v>56.552</v>
      </c>
      <c r="L133" s="126">
        <v>45933.625</v>
      </c>
      <c r="M133" s="3">
        <v>39.756999999999998</v>
      </c>
    </row>
    <row r="134" spans="10:13" x14ac:dyDescent="0.3">
      <c r="J134" s="126">
        <v>45936.625</v>
      </c>
      <c r="K134" s="3">
        <v>57.633000000000003</v>
      </c>
      <c r="L134" s="126">
        <v>45936.625</v>
      </c>
      <c r="M134" s="3">
        <v>40.533999999999999</v>
      </c>
    </row>
    <row r="135" spans="10:13" x14ac:dyDescent="0.3">
      <c r="J135" s="126">
        <v>45937.625</v>
      </c>
      <c r="K135" s="3">
        <v>57.856000000000002</v>
      </c>
      <c r="L135" s="126">
        <v>45937.625</v>
      </c>
      <c r="M135" s="3">
        <v>40.628</v>
      </c>
    </row>
    <row r="136" spans="10:13" x14ac:dyDescent="0.3">
      <c r="J136" s="126">
        <v>45938.625</v>
      </c>
      <c r="K136" s="3">
        <v>57.947000000000003</v>
      </c>
      <c r="L136" s="126">
        <v>45938.625</v>
      </c>
      <c r="M136" s="3">
        <v>40.613999999999997</v>
      </c>
    </row>
    <row r="137" spans="10:13" x14ac:dyDescent="0.3">
      <c r="J137" s="126">
        <v>45939.625</v>
      </c>
      <c r="K137" s="3">
        <v>58.323999999999998</v>
      </c>
      <c r="L137" s="126">
        <v>45939.625</v>
      </c>
      <c r="M137" s="3">
        <v>40.503999999999998</v>
      </c>
    </row>
    <row r="138" spans="10:13" x14ac:dyDescent="0.3">
      <c r="J138" s="126">
        <v>45940.625</v>
      </c>
      <c r="K138" s="3">
        <v>58.451999999999998</v>
      </c>
      <c r="L138" s="126">
        <v>45940.625</v>
      </c>
      <c r="M138" s="3">
        <v>41.215000000000003</v>
      </c>
    </row>
    <row r="139" spans="10:13" x14ac:dyDescent="0.3">
      <c r="J139" s="126">
        <v>45943.625</v>
      </c>
      <c r="K139" s="3">
        <v>59.344000000000001</v>
      </c>
      <c r="L139" s="126">
        <v>45943.625</v>
      </c>
      <c r="M139" s="3">
        <v>42.545000000000002</v>
      </c>
    </row>
    <row r="140" spans="10:13" x14ac:dyDescent="0.3">
      <c r="J140" s="126">
        <v>45944.625</v>
      </c>
      <c r="K140" s="3">
        <v>60.168999999999997</v>
      </c>
      <c r="L140" s="126">
        <v>45944.625</v>
      </c>
      <c r="M140" s="3">
        <v>42.634</v>
      </c>
    </row>
    <row r="141" spans="10:13" x14ac:dyDescent="0.3">
      <c r="J141" s="126">
        <v>45945.625</v>
      </c>
      <c r="K141" s="3">
        <v>58.076000000000001</v>
      </c>
      <c r="L141" s="126">
        <v>45945.625</v>
      </c>
      <c r="M141" s="3">
        <v>40.781999999999996</v>
      </c>
    </row>
    <row r="142" spans="10:13" x14ac:dyDescent="0.3">
      <c r="J142" s="126">
        <v>45946.625</v>
      </c>
      <c r="K142" s="3">
        <v>57.722999999999999</v>
      </c>
      <c r="L142" s="126">
        <v>45946.625</v>
      </c>
      <c r="M142" s="3">
        <v>40.509</v>
      </c>
    </row>
    <row r="143" spans="10:13" x14ac:dyDescent="0.3">
      <c r="J143" s="126">
        <v>45947.625</v>
      </c>
      <c r="K143" s="3">
        <v>60.207000000000001</v>
      </c>
      <c r="L143" s="126">
        <v>45947.625</v>
      </c>
      <c r="M143" s="3">
        <v>42.573</v>
      </c>
    </row>
  </sheetData>
  <mergeCells count="2">
    <mergeCell ref="B12:D12"/>
    <mergeCell ref="E12:G12"/>
  </mergeCells>
  <conditionalFormatting sqref="M1:M7 H8:H1048576">
    <cfRule type="cellIs" dxfId="2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36"/>
  <sheetViews>
    <sheetView zoomScale="80" zoomScaleNormal="80" workbookViewId="0">
      <selection activeCell="B26" sqref="B26"/>
    </sheetView>
  </sheetViews>
  <sheetFormatPr defaultColWidth="8.88671875"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5.6640625" style="3" hidden="1" customWidth="1"/>
    <col min="11" max="11" width="10.33203125" style="62" hidden="1" customWidth="1"/>
    <col min="12" max="12" width="12.33203125" style="3" hidden="1" customWidth="1"/>
    <col min="13" max="13" width="8.88671875" style="62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46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46"/>
      <c r="L2" s="28" t="s">
        <v>1</v>
      </c>
      <c r="M2" s="46"/>
    </row>
    <row r="3" spans="1:13" x14ac:dyDescent="0.3">
      <c r="A3" s="15" t="s">
        <v>32</v>
      </c>
      <c r="B3" s="64" t="s">
        <v>40</v>
      </c>
      <c r="C3" s="65" t="s">
        <v>41</v>
      </c>
      <c r="J3" s="126" cm="1">
        <f t="array" ref="J3:K136">_xll.BDH(B4, "LAST_PRICE", "01/01/2025 15:00:00", "01/01/2035 16:00:00", "BarSize=60", "BarType=T", "RecurDaily=True", "TZ=London")</f>
        <v>45751.625</v>
      </c>
      <c r="K3" s="46">
        <v>89.521000000000001</v>
      </c>
      <c r="L3" s="52" cm="1">
        <f t="array" ref="L3:M64">_xll.BDH(C4, "LAST_PRICE", "01/01/2025 15:00:00", "01/01/2035 16:00:00", "BarSize=60", "BarType=T", "RecurDaily=True", "TZ=London")</f>
        <v>45859.625</v>
      </c>
      <c r="M3" s="46">
        <v>101.462</v>
      </c>
    </row>
    <row r="4" spans="1:13" ht="32.25" customHeight="1" x14ac:dyDescent="0.3">
      <c r="A4" s="15" t="s">
        <v>33</v>
      </c>
      <c r="B4" s="66" t="s">
        <v>42</v>
      </c>
      <c r="C4" s="42" t="s">
        <v>43</v>
      </c>
      <c r="I4" s="1"/>
      <c r="J4" s="130">
        <v>45754.625</v>
      </c>
      <c r="K4" s="46">
        <v>86.241</v>
      </c>
      <c r="L4" s="53">
        <v>45860.625</v>
      </c>
      <c r="M4" s="46">
        <v>101.461</v>
      </c>
    </row>
    <row r="5" spans="1:13" x14ac:dyDescent="0.3">
      <c r="A5" s="15" t="s">
        <v>8</v>
      </c>
      <c r="B5" s="67">
        <f>18*10^6</f>
        <v>18000000</v>
      </c>
      <c r="C5" s="8">
        <f>10*10^6</f>
        <v>10000000</v>
      </c>
      <c r="I5" s="1"/>
      <c r="J5" s="130">
        <v>45755.625</v>
      </c>
      <c r="K5" s="46">
        <v>87.18</v>
      </c>
      <c r="L5" s="53">
        <v>45861.625</v>
      </c>
      <c r="M5" s="46">
        <v>101.749</v>
      </c>
    </row>
    <row r="6" spans="1:13" x14ac:dyDescent="0.3">
      <c r="A6" s="15" t="s">
        <v>10</v>
      </c>
      <c r="B6" s="68">
        <v>4.3749999999999997E-2</v>
      </c>
      <c r="C6" s="63">
        <v>7.6249999999999998E-2</v>
      </c>
      <c r="I6" s="1"/>
      <c r="J6" s="130">
        <v>45756.625</v>
      </c>
      <c r="K6" s="46">
        <v>84.856999999999999</v>
      </c>
      <c r="L6" s="53">
        <v>45862.625</v>
      </c>
      <c r="M6" s="46">
        <v>101.851</v>
      </c>
    </row>
    <row r="7" spans="1:13" x14ac:dyDescent="0.3">
      <c r="A7" s="15" t="s">
        <v>12</v>
      </c>
      <c r="B7" s="69">
        <v>4.2299999999999997E-2</v>
      </c>
      <c r="C7" s="10">
        <v>4.2299999999999997E-2</v>
      </c>
      <c r="I7" s="1"/>
      <c r="J7" s="130">
        <v>45757.625</v>
      </c>
      <c r="K7" s="46">
        <v>86.483999999999995</v>
      </c>
      <c r="L7" s="53">
        <v>45863.625</v>
      </c>
      <c r="M7" s="46">
        <v>101.883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126">
        <v>45758.625</v>
      </c>
      <c r="K8" s="62">
        <v>85.887</v>
      </c>
      <c r="L8" s="52">
        <v>45866.625</v>
      </c>
      <c r="M8" s="62">
        <v>102.01300000000001</v>
      </c>
    </row>
    <row r="9" spans="1:13" x14ac:dyDescent="0.3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126">
        <v>45761.625</v>
      </c>
      <c r="K9" s="62">
        <v>86.480999999999995</v>
      </c>
      <c r="L9" s="52">
        <v>45867.625</v>
      </c>
      <c r="M9" s="62">
        <v>102.40600000000001</v>
      </c>
    </row>
    <row r="10" spans="1:13" ht="15" thickBot="1" x14ac:dyDescent="0.35">
      <c r="A10" s="16" t="s">
        <v>28</v>
      </c>
      <c r="B10" s="11" cm="1">
        <f t="array" ref="B10">_xll.BDP(B4,"px_last")</f>
        <v>95.24</v>
      </c>
      <c r="C10" s="22" cm="1">
        <f t="array" ref="C10">_xll.BDP(C4,"px_last")</f>
        <v>105.63500000000001</v>
      </c>
      <c r="E10" s="1"/>
      <c r="F10" s="1"/>
      <c r="G10" s="1"/>
      <c r="H10" s="1"/>
      <c r="I10" s="1"/>
      <c r="J10" s="126">
        <v>45762.625</v>
      </c>
      <c r="K10" s="62">
        <v>87.161000000000001</v>
      </c>
      <c r="L10" s="52">
        <v>45868.625</v>
      </c>
      <c r="M10" s="62">
        <v>102.268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45763.625</v>
      </c>
      <c r="K11" s="62">
        <v>87.661000000000001</v>
      </c>
      <c r="L11" s="52">
        <v>45869.625</v>
      </c>
      <c r="M11" s="62">
        <v>102.7</v>
      </c>
    </row>
    <row r="12" spans="1:13" ht="15" thickBot="1" x14ac:dyDescent="0.35">
      <c r="A12" s="39" t="s">
        <v>22</v>
      </c>
      <c r="B12" s="153" t="s">
        <v>0</v>
      </c>
      <c r="C12" s="154"/>
      <c r="D12" s="155"/>
      <c r="E12" s="156" t="s">
        <v>1</v>
      </c>
      <c r="F12" s="157"/>
      <c r="G12" s="158"/>
      <c r="H12" s="39" t="s">
        <v>16</v>
      </c>
      <c r="I12" s="1"/>
      <c r="J12" s="126">
        <v>45764.625</v>
      </c>
      <c r="K12" s="62">
        <v>88.685000000000002</v>
      </c>
      <c r="L12" s="52">
        <v>45870.625</v>
      </c>
      <c r="M12" s="62">
        <v>102.351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126">
        <v>45768.625</v>
      </c>
      <c r="K13" s="62">
        <v>88.53</v>
      </c>
      <c r="L13" s="52">
        <v>45873.625</v>
      </c>
      <c r="M13" s="62">
        <v>102.357</v>
      </c>
    </row>
    <row r="14" spans="1:13" x14ac:dyDescent="0.3">
      <c r="A14" s="36">
        <v>45930</v>
      </c>
      <c r="B14" s="45">
        <v>94.875</v>
      </c>
      <c r="C14" s="46"/>
      <c r="D14" s="47"/>
      <c r="E14" s="4">
        <v>105.75</v>
      </c>
      <c r="F14" s="1"/>
      <c r="G14" s="5"/>
      <c r="H14" s="81">
        <v>0</v>
      </c>
      <c r="I14" s="1"/>
      <c r="J14" s="126">
        <v>45769.625</v>
      </c>
      <c r="K14" s="62">
        <v>88.399000000000001</v>
      </c>
      <c r="L14" s="52">
        <v>45874.625</v>
      </c>
      <c r="M14" s="62">
        <v>102.56</v>
      </c>
    </row>
    <row r="15" spans="1:13" x14ac:dyDescent="0.3">
      <c r="A15" s="36">
        <v>45931</v>
      </c>
      <c r="B15" s="45">
        <f>VLOOKUP(A15+$F$2,J:K,2)</f>
        <v>94.775999999999996</v>
      </c>
      <c r="C15" s="31">
        <f t="shared" ref="C15:C20" si="0">(B15-$B$14)/100*$B$5</f>
        <v>-17820.000000000677</v>
      </c>
      <c r="D15" s="32">
        <f t="shared" ref="D15:D20" si="1">(A15-$A$14)/360*$B$6*$B$5-(A15-$A$14)/360*$B$7*$B$5*$B$14/100</f>
        <v>180.89374999999995</v>
      </c>
      <c r="E15" s="4">
        <f>VLOOKUP(A15+$F$2,L:M,2)</f>
        <v>105.97199999999999</v>
      </c>
      <c r="F15" s="31">
        <f t="shared" ref="F15:F20" si="2">(E15-$E$14)/100*$C$5</f>
        <v>22199.999999999422</v>
      </c>
      <c r="G15" s="32">
        <f t="shared" ref="G15:G20" si="3">(A15-$A$14)/360*$C$6*$C$5-(A15-$A$14)/360*$C$7*$C$5*$E$14/100</f>
        <v>875.49305555555566</v>
      </c>
      <c r="H15" s="82">
        <f t="shared" ref="H15:H20" si="4">C15+D15-F15-G15</f>
        <v>-40714.599305555654</v>
      </c>
      <c r="I15" s="1"/>
      <c r="J15" s="126">
        <v>45770.625</v>
      </c>
      <c r="K15" s="62">
        <v>89.498999999999995</v>
      </c>
      <c r="L15" s="52">
        <v>45875.625</v>
      </c>
      <c r="M15" s="62">
        <v>102.556</v>
      </c>
    </row>
    <row r="16" spans="1:13" x14ac:dyDescent="0.3">
      <c r="A16" s="36">
        <v>45932</v>
      </c>
      <c r="B16" s="45">
        <f t="shared" ref="B16:B25" si="5">VLOOKUP(A16+$F$2,J:K,2)</f>
        <v>94.875</v>
      </c>
      <c r="C16" s="31">
        <f t="shared" si="0"/>
        <v>0</v>
      </c>
      <c r="D16" s="32">
        <f t="shared" si="1"/>
        <v>361.78749999999991</v>
      </c>
      <c r="E16" s="4">
        <f t="shared" ref="E16:E25" si="6">VLOOKUP(A16+$F$2,L:M,2)</f>
        <v>106.182</v>
      </c>
      <c r="F16" s="31">
        <f t="shared" si="2"/>
        <v>43200.000000000218</v>
      </c>
      <c r="G16" s="32">
        <f t="shared" si="3"/>
        <v>1750.9861111111113</v>
      </c>
      <c r="H16" s="82">
        <f t="shared" si="4"/>
        <v>-44589.198611111329</v>
      </c>
      <c r="I16" s="1"/>
      <c r="J16" s="126">
        <v>45771.625</v>
      </c>
      <c r="K16" s="62">
        <v>89.617000000000004</v>
      </c>
      <c r="L16" s="52">
        <v>45876.625</v>
      </c>
      <c r="M16" s="62">
        <v>102.75700000000001</v>
      </c>
    </row>
    <row r="17" spans="1:13" x14ac:dyDescent="0.3">
      <c r="A17" s="36">
        <v>45933</v>
      </c>
      <c r="B17" s="45">
        <f t="shared" si="5"/>
        <v>94.998000000000005</v>
      </c>
      <c r="C17" s="31">
        <f t="shared" si="0"/>
        <v>22140.00000000084</v>
      </c>
      <c r="D17" s="32">
        <f t="shared" si="1"/>
        <v>542.68125000000055</v>
      </c>
      <c r="E17" s="4">
        <f t="shared" si="6"/>
        <v>106.56399999999999</v>
      </c>
      <c r="F17" s="31">
        <f t="shared" si="2"/>
        <v>81399.999999999302</v>
      </c>
      <c r="G17" s="32">
        <f t="shared" si="3"/>
        <v>2626.4791666666665</v>
      </c>
      <c r="H17" s="82">
        <f t="shared" si="4"/>
        <v>-61343.797916665128</v>
      </c>
      <c r="I17" s="1"/>
      <c r="J17" s="126">
        <v>45772.625</v>
      </c>
      <c r="K17" s="62">
        <v>89.903000000000006</v>
      </c>
      <c r="L17" s="52">
        <v>45877.625</v>
      </c>
      <c r="M17" s="62">
        <v>103.453</v>
      </c>
    </row>
    <row r="18" spans="1:13" x14ac:dyDescent="0.3">
      <c r="A18" s="36">
        <v>45936</v>
      </c>
      <c r="B18" s="45">
        <f t="shared" si="5"/>
        <v>94.927999999999997</v>
      </c>
      <c r="C18" s="31">
        <f t="shared" si="0"/>
        <v>9539.9999999995107</v>
      </c>
      <c r="D18" s="32">
        <f t="shared" si="1"/>
        <v>1085.3625000000011</v>
      </c>
      <c r="E18" s="4">
        <f t="shared" si="6"/>
        <v>106.185</v>
      </c>
      <c r="F18" s="31">
        <f t="shared" si="2"/>
        <v>43500.000000000233</v>
      </c>
      <c r="G18" s="32">
        <f t="shared" si="3"/>
        <v>5252.958333333333</v>
      </c>
      <c r="H18" s="82">
        <f t="shared" si="4"/>
        <v>-38127.59583333406</v>
      </c>
      <c r="I18" s="1"/>
      <c r="J18" s="126">
        <v>45775.625</v>
      </c>
      <c r="K18" s="62">
        <v>90.022999999999996</v>
      </c>
      <c r="L18" s="52">
        <v>45880.625</v>
      </c>
      <c r="M18" s="62">
        <v>103.404</v>
      </c>
    </row>
    <row r="19" spans="1:13" x14ac:dyDescent="0.3">
      <c r="A19" s="36">
        <v>45937</v>
      </c>
      <c r="B19" s="45">
        <f t="shared" si="5"/>
        <v>94.911000000000001</v>
      </c>
      <c r="C19" s="31">
        <f t="shared" si="0"/>
        <v>6480.0000000002456</v>
      </c>
      <c r="D19" s="32">
        <f t="shared" si="1"/>
        <v>1266.2562499999985</v>
      </c>
      <c r="E19" s="4">
        <f t="shared" si="6"/>
        <v>106.161</v>
      </c>
      <c r="F19" s="31">
        <f t="shared" si="2"/>
        <v>41100.000000000138</v>
      </c>
      <c r="G19" s="32">
        <f t="shared" si="3"/>
        <v>6128.4513888888887</v>
      </c>
      <c r="H19" s="82">
        <f t="shared" si="4"/>
        <v>-39482.195138888783</v>
      </c>
      <c r="I19" s="1"/>
      <c r="J19" s="126">
        <v>45776.625</v>
      </c>
      <c r="K19" s="62">
        <v>89.804000000000002</v>
      </c>
      <c r="L19" s="52">
        <v>45881.625</v>
      </c>
      <c r="M19" s="62">
        <v>103.584</v>
      </c>
    </row>
    <row r="20" spans="1:13" x14ac:dyDescent="0.3">
      <c r="A20" s="36">
        <v>45938</v>
      </c>
      <c r="B20" s="45">
        <f t="shared" si="5"/>
        <v>94.834000000000003</v>
      </c>
      <c r="C20" s="31">
        <f t="shared" si="0"/>
        <v>-7379.999999999427</v>
      </c>
      <c r="D20" s="32">
        <f t="shared" si="1"/>
        <v>1447.1499999999996</v>
      </c>
      <c r="E20" s="4">
        <f t="shared" si="6"/>
        <v>106.06399999999999</v>
      </c>
      <c r="F20" s="31">
        <f t="shared" si="2"/>
        <v>31399.999999999294</v>
      </c>
      <c r="G20" s="32">
        <f t="shared" si="3"/>
        <v>7003.9444444444453</v>
      </c>
      <c r="H20" s="82">
        <f t="shared" si="4"/>
        <v>-44336.794444443171</v>
      </c>
      <c r="I20" s="1"/>
      <c r="J20" s="126">
        <v>45777.625</v>
      </c>
      <c r="K20" s="62">
        <v>89.712999999999994</v>
      </c>
      <c r="L20" s="52">
        <v>45882.625</v>
      </c>
      <c r="M20" s="62">
        <v>103.68600000000001</v>
      </c>
    </row>
    <row r="21" spans="1:13" x14ac:dyDescent="0.3">
      <c r="A21" s="36">
        <v>45939</v>
      </c>
      <c r="B21" s="45">
        <f t="shared" si="5"/>
        <v>94.65</v>
      </c>
      <c r="C21" s="31">
        <f t="shared" ref="C21" si="7">(B21-$B$14)/100*$B$5</f>
        <v>-40499.999999998974</v>
      </c>
      <c r="D21" s="32">
        <f t="shared" ref="D21" si="8">(A21-$A$14)/360*$B$6*$B$5-(A21-$A$14)/360*$B$7*$B$5*$B$14/100</f>
        <v>1628.0437499999971</v>
      </c>
      <c r="E21" s="4">
        <f t="shared" si="6"/>
        <v>105.71299999999999</v>
      </c>
      <c r="F21" s="31">
        <f t="shared" ref="F21" si="9">(E21-$E$14)/100*$C$5</f>
        <v>-3700.0000000006144</v>
      </c>
      <c r="G21" s="32">
        <f t="shared" ref="G21" si="10">(A21-$A$14)/360*$C$6*$C$5-(A21-$A$14)/360*$C$7*$C$5*$E$14/100</f>
        <v>7879.4375</v>
      </c>
      <c r="H21" s="82">
        <f t="shared" ref="H21" si="11">C21+D21-F21-G21</f>
        <v>-43051.393749998366</v>
      </c>
      <c r="I21" s="1"/>
      <c r="J21" s="126">
        <v>45778.625</v>
      </c>
      <c r="K21" s="62">
        <v>89.786000000000001</v>
      </c>
      <c r="L21" s="52">
        <v>45883.625</v>
      </c>
      <c r="M21" s="62">
        <v>103.584</v>
      </c>
    </row>
    <row r="22" spans="1:13" x14ac:dyDescent="0.3">
      <c r="A22" s="36">
        <v>45940</v>
      </c>
      <c r="B22" s="45">
        <f t="shared" si="5"/>
        <v>94.65</v>
      </c>
      <c r="C22" s="31">
        <f t="shared" ref="C22" si="12">(B22-$B$14)/100*$B$5</f>
        <v>-40499.999999998974</v>
      </c>
      <c r="D22" s="32">
        <f t="shared" ref="D22" si="13">(A22-$A$14)/360*$B$6*$B$5-(A22-$A$14)/360*$B$7*$B$5*$B$14/100</f>
        <v>1808.9375</v>
      </c>
      <c r="E22" s="4">
        <f t="shared" si="6"/>
        <v>105.71299999999999</v>
      </c>
      <c r="F22" s="31">
        <f t="shared" ref="F22" si="14">(E22-$E$14)/100*$C$5</f>
        <v>-3700.0000000006144</v>
      </c>
      <c r="G22" s="32">
        <f t="shared" ref="G22" si="15">(A22-$A$14)/360*$C$6*$C$5-(A22-$A$14)/360*$C$7*$C$5*$E$14/100</f>
        <v>8754.9305555555566</v>
      </c>
      <c r="H22" s="82">
        <f t="shared" ref="H22" si="16">C22+D22-F22-G22</f>
        <v>-43745.993055553918</v>
      </c>
      <c r="I22" s="1"/>
      <c r="J22" s="126">
        <v>45779.625</v>
      </c>
      <c r="K22" s="62">
        <v>90.061000000000007</v>
      </c>
      <c r="L22" s="52">
        <v>45884.625</v>
      </c>
      <c r="M22" s="62">
        <v>103.661</v>
      </c>
    </row>
    <row r="23" spans="1:13" x14ac:dyDescent="0.3">
      <c r="A23" s="36">
        <v>45943</v>
      </c>
      <c r="B23" s="45">
        <f t="shared" si="5"/>
        <v>94.65</v>
      </c>
      <c r="C23" s="31">
        <f t="shared" ref="C23" si="17">(B23-$B$14)/100*$B$5</f>
        <v>-40499.999999998974</v>
      </c>
      <c r="D23" s="32">
        <f t="shared" ref="D23" si="18">(A23-$A$14)/360*$B$6*$B$5-(A23-$A$14)/360*$B$7*$B$5*$B$14/100</f>
        <v>2351.6187500000015</v>
      </c>
      <c r="E23" s="4">
        <f t="shared" si="6"/>
        <v>105.71299999999999</v>
      </c>
      <c r="F23" s="31">
        <f t="shared" ref="F23" si="19">(E23-$E$14)/100*$C$5</f>
        <v>-3700.0000000006144</v>
      </c>
      <c r="G23" s="32">
        <f t="shared" ref="G23" si="20">(A23-$A$14)/360*$C$6*$C$5-(A23-$A$14)/360*$C$7*$C$5*$E$14/100</f>
        <v>11381.409722222221</v>
      </c>
      <c r="H23" s="82">
        <f t="shared" ref="H23" si="21">C23+D23-F23-G23</f>
        <v>-45829.79097222058</v>
      </c>
      <c r="I23" s="1"/>
      <c r="J23" s="126">
        <v>45782.625</v>
      </c>
      <c r="K23" s="62">
        <v>90.048000000000002</v>
      </c>
      <c r="L23" s="52">
        <v>45887.625</v>
      </c>
      <c r="M23" s="62">
        <v>103.56100000000001</v>
      </c>
    </row>
    <row r="24" spans="1:13" x14ac:dyDescent="0.3">
      <c r="A24" s="36">
        <v>45944</v>
      </c>
      <c r="B24" s="45">
        <f t="shared" si="5"/>
        <v>94.346999999999994</v>
      </c>
      <c r="C24" s="31">
        <f t="shared" ref="C24" si="22">(B24-$B$14)/100*$B$5</f>
        <v>-95040.000000001048</v>
      </c>
      <c r="D24" s="32">
        <f t="shared" ref="D24" si="23">(A24-$A$14)/360*$B$6*$B$5-(A24-$A$14)/360*$B$7*$B$5*$B$14/100</f>
        <v>2532.5124999999971</v>
      </c>
      <c r="E24" s="4">
        <f t="shared" si="6"/>
        <v>104.839</v>
      </c>
      <c r="F24" s="31">
        <f t="shared" ref="F24" si="24">(E24-$E$14)/100*$C$5</f>
        <v>-91100.000000000146</v>
      </c>
      <c r="G24" s="32">
        <f t="shared" ref="G24" si="25">(A24-$A$14)/360*$C$6*$C$5-(A24-$A$14)/360*$C$7*$C$5*$E$14/100</f>
        <v>12256.902777777777</v>
      </c>
      <c r="H24" s="82">
        <f t="shared" ref="H24" si="26">C24+D24-F24-G24</f>
        <v>-13664.390277778683</v>
      </c>
      <c r="I24" s="1"/>
      <c r="J24" s="126">
        <v>45783.625</v>
      </c>
      <c r="K24" s="62">
        <v>90.156000000000006</v>
      </c>
      <c r="L24" s="52">
        <v>45888.625</v>
      </c>
      <c r="M24" s="62">
        <v>103.69799999999999</v>
      </c>
    </row>
    <row r="25" spans="1:13" x14ac:dyDescent="0.3">
      <c r="A25" s="36">
        <v>45945</v>
      </c>
      <c r="B25" s="45">
        <f t="shared" si="5"/>
        <v>94.986999999999995</v>
      </c>
      <c r="C25" s="31">
        <f t="shared" ref="C25" si="27">(B25-$B$14)/100*$B$5</f>
        <v>20159.999999999058</v>
      </c>
      <c r="D25" s="32">
        <f t="shared" ref="D25" si="28">(A25-$A$14)/360*$B$6*$B$5-(A25-$A$14)/360*$B$7*$B$5*$B$14/100</f>
        <v>2713.4062500000036</v>
      </c>
      <c r="E25" s="4">
        <f t="shared" si="6"/>
        <v>106.086</v>
      </c>
      <c r="F25" s="31">
        <f t="shared" ref="F25" si="29">(E25-$E$14)/100*$C$5</f>
        <v>33599.999999999854</v>
      </c>
      <c r="G25" s="32">
        <f t="shared" ref="G25" si="30">(A25-$A$14)/360*$C$6*$C$5-(A25-$A$14)/360*$C$7*$C$5*$E$14/100</f>
        <v>13132.395833333332</v>
      </c>
      <c r="H25" s="82">
        <f t="shared" ref="H25" si="31">C25+D25-F25-G25</f>
        <v>-23858.989583334125</v>
      </c>
      <c r="I25" s="1"/>
      <c r="J25" s="126">
        <v>45784.625</v>
      </c>
      <c r="K25" s="62">
        <v>90.430999999999997</v>
      </c>
      <c r="L25" s="52">
        <v>45889.625</v>
      </c>
      <c r="M25" s="62">
        <v>103.352</v>
      </c>
    </row>
    <row r="26" spans="1:13" x14ac:dyDescent="0.3">
      <c r="A26" s="36">
        <v>45946</v>
      </c>
      <c r="B26" s="45">
        <f t="shared" ref="B26" si="32">VLOOKUP(A26+$F$2,J:K,2)</f>
        <v>95.355000000000004</v>
      </c>
      <c r="C26" s="31">
        <f t="shared" ref="C26:C27" si="33">(B26-$B$14)/100*$B$5</f>
        <v>86400.000000000713</v>
      </c>
      <c r="D26" s="32">
        <f t="shared" ref="D26:D27" si="34">(A26-$A$14)/360*$B$6*$B$5-(A26-$A$14)/360*$B$7*$B$5*$B$14/100</f>
        <v>2894.2999999999993</v>
      </c>
      <c r="E26" s="4">
        <f t="shared" ref="E26" si="35">VLOOKUP(A26+$F$2,L:M,2)</f>
        <v>105.911</v>
      </c>
      <c r="F26" s="31">
        <f t="shared" ref="F26:F27" si="36">(E26-$E$14)/100*$C$5</f>
        <v>16100.000000000135</v>
      </c>
      <c r="G26" s="32">
        <f t="shared" ref="G26:G27" si="37">(A26-$A$14)/360*$C$6*$C$5-(A26-$A$14)/360*$C$7*$C$5*$E$14/100</f>
        <v>14007.888888888891</v>
      </c>
      <c r="H26" s="82">
        <f t="shared" ref="H26:H27" si="38">C26+D26-F26-G26</f>
        <v>59186.411111111694</v>
      </c>
      <c r="I26" s="1"/>
      <c r="J26" s="126">
        <v>45785.625</v>
      </c>
      <c r="K26" s="62">
        <v>90.667000000000002</v>
      </c>
      <c r="L26" s="52">
        <v>45890.625</v>
      </c>
      <c r="M26" s="62">
        <v>103.078</v>
      </c>
    </row>
    <row r="27" spans="1:13" x14ac:dyDescent="0.3">
      <c r="A27" s="131">
        <v>45947</v>
      </c>
      <c r="B27" s="45">
        <f>$B$10</f>
        <v>95.24</v>
      </c>
      <c r="C27" s="31">
        <f t="shared" si="33"/>
        <v>65699.999999999083</v>
      </c>
      <c r="D27" s="32">
        <f t="shared" si="34"/>
        <v>3075.1937500000058</v>
      </c>
      <c r="E27" s="4">
        <f>$C$10</f>
        <v>105.63500000000001</v>
      </c>
      <c r="F27" s="31">
        <f t="shared" si="36"/>
        <v>-11499.999999999489</v>
      </c>
      <c r="G27" s="32">
        <f t="shared" si="37"/>
        <v>14883.381944444442</v>
      </c>
      <c r="H27" s="82">
        <f t="shared" si="38"/>
        <v>65391.811805554142</v>
      </c>
      <c r="I27" s="1"/>
      <c r="J27" s="126">
        <v>45786.625</v>
      </c>
      <c r="K27" s="62">
        <v>91.271000000000001</v>
      </c>
      <c r="L27" s="52">
        <v>45891.625</v>
      </c>
      <c r="M27" s="62">
        <v>103.32899999999999</v>
      </c>
    </row>
    <row r="28" spans="1:13" x14ac:dyDescent="0.3">
      <c r="A28" s="131">
        <v>45950</v>
      </c>
      <c r="B28" s="45"/>
      <c r="C28" s="31"/>
      <c r="D28" s="32"/>
      <c r="E28" s="4"/>
      <c r="F28" s="31"/>
      <c r="G28" s="32"/>
      <c r="H28" s="18"/>
      <c r="I28" s="1"/>
      <c r="J28" s="126">
        <v>45789.625</v>
      </c>
      <c r="K28" s="62">
        <v>91.808000000000007</v>
      </c>
      <c r="L28" s="52">
        <v>45894.625</v>
      </c>
      <c r="M28" s="62">
        <v>103.706</v>
      </c>
    </row>
    <row r="29" spans="1:13" x14ac:dyDescent="0.3">
      <c r="A29" s="131">
        <v>45951</v>
      </c>
      <c r="B29" s="45"/>
      <c r="C29" s="31"/>
      <c r="D29" s="32"/>
      <c r="E29" s="4"/>
      <c r="F29" s="31"/>
      <c r="G29" s="32"/>
      <c r="H29" s="38"/>
      <c r="I29" s="1"/>
      <c r="J29" s="126">
        <v>45790.625</v>
      </c>
      <c r="K29" s="62">
        <v>91.846999999999994</v>
      </c>
      <c r="L29" s="52">
        <v>45895.625</v>
      </c>
      <c r="M29" s="62">
        <v>103.366</v>
      </c>
    </row>
    <row r="30" spans="1:13" x14ac:dyDescent="0.3">
      <c r="A30" s="131">
        <v>45952</v>
      </c>
      <c r="B30" s="45"/>
      <c r="C30" s="31"/>
      <c r="D30" s="32"/>
      <c r="E30" s="4"/>
      <c r="F30" s="31"/>
      <c r="G30" s="32"/>
      <c r="H30" s="38"/>
      <c r="I30" s="1"/>
      <c r="J30" s="126">
        <v>45791.625</v>
      </c>
      <c r="K30" s="62">
        <v>91.81</v>
      </c>
      <c r="L30" s="52">
        <v>45896.625</v>
      </c>
      <c r="M30" s="62">
        <v>103.446</v>
      </c>
    </row>
    <row r="31" spans="1:13" x14ac:dyDescent="0.3">
      <c r="A31" s="131">
        <v>45953</v>
      </c>
      <c r="B31" s="45"/>
      <c r="C31" s="31"/>
      <c r="D31" s="32"/>
      <c r="E31" s="4"/>
      <c r="F31" s="31"/>
      <c r="G31" s="32"/>
      <c r="H31" s="38"/>
      <c r="I31" s="1"/>
      <c r="J31" s="126">
        <v>45792.625</v>
      </c>
      <c r="K31" s="62">
        <v>91.201999999999998</v>
      </c>
      <c r="L31" s="52">
        <v>45897.625</v>
      </c>
      <c r="M31" s="62">
        <v>103.749</v>
      </c>
    </row>
    <row r="32" spans="1:13" x14ac:dyDescent="0.3">
      <c r="A32" s="131">
        <v>45954</v>
      </c>
      <c r="B32" s="45"/>
      <c r="C32" s="31"/>
      <c r="D32" s="32"/>
      <c r="E32" s="4"/>
      <c r="F32" s="31"/>
      <c r="G32" s="32"/>
      <c r="H32" s="38"/>
      <c r="I32" s="1"/>
      <c r="J32" s="126">
        <v>45793.625</v>
      </c>
      <c r="K32" s="62">
        <v>91.384</v>
      </c>
      <c r="L32" s="52">
        <v>45898.625</v>
      </c>
      <c r="M32" s="62">
        <v>103.458</v>
      </c>
    </row>
    <row r="33" spans="1:13" x14ac:dyDescent="0.3">
      <c r="A33" s="131">
        <v>45955</v>
      </c>
      <c r="B33" s="45"/>
      <c r="C33" s="31"/>
      <c r="D33" s="32"/>
      <c r="E33" s="4"/>
      <c r="F33" s="31"/>
      <c r="G33" s="32"/>
      <c r="H33" s="38"/>
      <c r="I33" s="1"/>
      <c r="J33" s="126">
        <v>45796.625</v>
      </c>
      <c r="K33" s="62">
        <v>90.736000000000004</v>
      </c>
      <c r="L33" s="52">
        <v>45902.625</v>
      </c>
      <c r="M33" s="62">
        <v>102.735</v>
      </c>
    </row>
    <row r="34" spans="1:13" x14ac:dyDescent="0.3">
      <c r="A34" s="131">
        <v>45956</v>
      </c>
      <c r="B34" s="45"/>
      <c r="C34" s="31"/>
      <c r="D34" s="32"/>
      <c r="E34" s="4"/>
      <c r="F34" s="31"/>
      <c r="G34" s="32"/>
      <c r="H34" s="38"/>
      <c r="I34" s="1"/>
      <c r="J34" s="126">
        <v>45797.625</v>
      </c>
      <c r="K34" s="62">
        <v>91.295000000000002</v>
      </c>
      <c r="L34" s="52">
        <v>45903.625</v>
      </c>
      <c r="M34" s="62">
        <v>102.913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J35" s="126">
        <v>45798.625</v>
      </c>
      <c r="K35" s="62">
        <v>91.424999999999997</v>
      </c>
      <c r="L35" s="52">
        <v>45904.625</v>
      </c>
      <c r="M35" s="62">
        <v>102.804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J36" s="126">
        <v>45799.625</v>
      </c>
      <c r="K36" s="62">
        <v>90.965999999999994</v>
      </c>
      <c r="L36" s="52">
        <v>45905.625</v>
      </c>
      <c r="M36" s="62">
        <v>103.672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J37" s="126">
        <v>45800.625</v>
      </c>
      <c r="K37" s="62">
        <v>90.989000000000004</v>
      </c>
      <c r="L37" s="52">
        <v>45908.625</v>
      </c>
      <c r="M37" s="62">
        <v>103.732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6">
        <v>45804.625</v>
      </c>
      <c r="K38" s="62">
        <v>91.275000000000006</v>
      </c>
      <c r="L38" s="52">
        <v>45909.625</v>
      </c>
      <c r="M38" s="62">
        <v>103.703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6">
        <v>45805.625</v>
      </c>
      <c r="K39" s="62">
        <v>91.344999999999999</v>
      </c>
      <c r="L39" s="52">
        <v>45910.625</v>
      </c>
      <c r="M39" s="62">
        <v>104.074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6">
        <v>45806.625</v>
      </c>
      <c r="K40" s="62">
        <v>91.444999999999993</v>
      </c>
      <c r="L40" s="52">
        <v>45911.625</v>
      </c>
      <c r="M40" s="62">
        <v>104.438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6">
        <v>45807.625</v>
      </c>
      <c r="K41" s="62">
        <v>91.534000000000006</v>
      </c>
      <c r="L41" s="52">
        <v>45912.625</v>
      </c>
      <c r="M41" s="62">
        <v>104.88</v>
      </c>
    </row>
    <row r="42" spans="1:13" x14ac:dyDescent="0.3">
      <c r="B42" s="62"/>
      <c r="C42" s="62"/>
      <c r="D42" s="62"/>
      <c r="F42" s="60"/>
      <c r="G42" s="60"/>
      <c r="H42" s="60"/>
      <c r="J42" s="126">
        <v>45810.625</v>
      </c>
      <c r="K42" s="62">
        <v>91.498000000000005</v>
      </c>
      <c r="L42" s="52">
        <v>45915.625</v>
      </c>
      <c r="M42" s="62">
        <v>105.64</v>
      </c>
    </row>
    <row r="43" spans="1:13" x14ac:dyDescent="0.3">
      <c r="B43" s="62"/>
      <c r="C43" s="62"/>
      <c r="D43" s="62"/>
      <c r="F43" s="60"/>
      <c r="G43" s="60"/>
      <c r="H43" s="60"/>
      <c r="J43" s="126">
        <v>45811.625</v>
      </c>
      <c r="K43" s="62">
        <v>91.686000000000007</v>
      </c>
      <c r="L43" s="52">
        <v>45916.625</v>
      </c>
      <c r="M43" s="62">
        <v>105.506</v>
      </c>
    </row>
    <row r="44" spans="1:13" x14ac:dyDescent="0.3">
      <c r="B44" s="62"/>
      <c r="C44" s="62"/>
      <c r="D44" s="62"/>
      <c r="F44" s="60"/>
      <c r="G44" s="60"/>
      <c r="H44" s="60"/>
      <c r="J44" s="126">
        <v>45812.625</v>
      </c>
      <c r="K44" s="62">
        <v>91.866</v>
      </c>
      <c r="L44" s="52">
        <v>45917.625</v>
      </c>
      <c r="M44" s="62">
        <v>105.589</v>
      </c>
    </row>
    <row r="45" spans="1:13" x14ac:dyDescent="0.3">
      <c r="B45" s="62"/>
      <c r="C45" s="62"/>
      <c r="D45" s="62"/>
      <c r="F45" s="60"/>
      <c r="G45" s="60"/>
      <c r="H45" s="60"/>
      <c r="J45" s="126">
        <v>45813.625</v>
      </c>
      <c r="K45" s="62">
        <v>92.236000000000004</v>
      </c>
      <c r="L45" s="52">
        <v>45918.625</v>
      </c>
      <c r="M45" s="62">
        <v>105.7</v>
      </c>
    </row>
    <row r="46" spans="1:13" x14ac:dyDescent="0.3">
      <c r="B46" s="62"/>
      <c r="C46" s="62"/>
      <c r="D46" s="62"/>
      <c r="J46" s="126">
        <v>45814.625</v>
      </c>
      <c r="K46" s="62">
        <v>92.4</v>
      </c>
      <c r="L46" s="52">
        <v>45919.625</v>
      </c>
      <c r="M46" s="62">
        <v>105.929</v>
      </c>
    </row>
    <row r="47" spans="1:13" x14ac:dyDescent="0.3">
      <c r="B47" s="62"/>
      <c r="C47" s="62"/>
      <c r="D47" s="62"/>
      <c r="J47" s="126">
        <v>45817.625</v>
      </c>
      <c r="K47" s="62">
        <v>92.602000000000004</v>
      </c>
      <c r="L47" s="52">
        <v>45922.625</v>
      </c>
      <c r="M47" s="62">
        <v>105.965</v>
      </c>
    </row>
    <row r="48" spans="1:13" x14ac:dyDescent="0.3">
      <c r="B48" s="62"/>
      <c r="C48" s="62"/>
      <c r="D48" s="62"/>
      <c r="J48" s="126">
        <v>45818.625</v>
      </c>
      <c r="K48" s="62">
        <v>92.813999999999993</v>
      </c>
      <c r="L48" s="52">
        <v>45923.625</v>
      </c>
      <c r="M48" s="62">
        <v>106.09099999999999</v>
      </c>
    </row>
    <row r="49" spans="2:13" x14ac:dyDescent="0.3">
      <c r="B49" s="62"/>
      <c r="C49" s="62"/>
      <c r="D49" s="62"/>
      <c r="J49" s="126">
        <v>45819.625</v>
      </c>
      <c r="K49" s="62">
        <v>92.998000000000005</v>
      </c>
      <c r="L49" s="52">
        <v>45924.625</v>
      </c>
      <c r="M49" s="62">
        <v>106.227</v>
      </c>
    </row>
    <row r="50" spans="2:13" x14ac:dyDescent="0.3">
      <c r="B50" s="62"/>
      <c r="C50" s="62"/>
      <c r="D50" s="62"/>
      <c r="J50" s="126">
        <v>45820.625</v>
      </c>
      <c r="K50" s="62">
        <v>92.992999999999995</v>
      </c>
      <c r="L50" s="52">
        <v>45925.625</v>
      </c>
      <c r="M50" s="62">
        <v>105.794</v>
      </c>
    </row>
    <row r="51" spans="2:13" x14ac:dyDescent="0.3">
      <c r="B51" s="62"/>
      <c r="C51" s="62"/>
      <c r="D51" s="62"/>
      <c r="J51" s="126">
        <v>45821.625</v>
      </c>
      <c r="K51" s="62">
        <v>92.897000000000006</v>
      </c>
      <c r="L51" s="52">
        <v>45926.625</v>
      </c>
      <c r="M51" s="62">
        <v>105.94499999999999</v>
      </c>
    </row>
    <row r="52" spans="2:13" x14ac:dyDescent="0.3">
      <c r="B52" s="62"/>
      <c r="C52" s="62"/>
      <c r="D52" s="62"/>
      <c r="J52" s="126">
        <v>45824.625</v>
      </c>
      <c r="K52" s="62">
        <v>92.980999999999995</v>
      </c>
      <c r="L52" s="52">
        <v>45929.625</v>
      </c>
      <c r="M52" s="62">
        <v>105.934</v>
      </c>
    </row>
    <row r="53" spans="2:13" x14ac:dyDescent="0.3">
      <c r="B53" s="62"/>
      <c r="C53" s="62"/>
      <c r="D53" s="62"/>
      <c r="J53" s="126">
        <v>45825.625</v>
      </c>
      <c r="K53" s="62">
        <v>92.956999999999994</v>
      </c>
      <c r="L53" s="52">
        <v>45930.625</v>
      </c>
      <c r="M53" s="62">
        <v>105.986</v>
      </c>
    </row>
    <row r="54" spans="2:13" x14ac:dyDescent="0.3">
      <c r="J54" s="126">
        <v>45826.625</v>
      </c>
      <c r="K54" s="62">
        <v>92.912000000000006</v>
      </c>
      <c r="L54" s="52">
        <v>45931.625</v>
      </c>
      <c r="M54" s="62">
        <v>105.97199999999999</v>
      </c>
    </row>
    <row r="55" spans="2:13" x14ac:dyDescent="0.3">
      <c r="J55" s="126">
        <v>45828.625</v>
      </c>
      <c r="K55" s="62">
        <v>92.826999999999998</v>
      </c>
      <c r="L55" s="52">
        <v>45932.625</v>
      </c>
      <c r="M55" s="62">
        <v>106.182</v>
      </c>
    </row>
    <row r="56" spans="2:13" x14ac:dyDescent="0.3">
      <c r="J56" s="126">
        <v>45831.625</v>
      </c>
      <c r="K56" s="62">
        <v>92.81</v>
      </c>
      <c r="L56" s="52">
        <v>45933.625</v>
      </c>
      <c r="M56" s="62">
        <v>106.56399999999999</v>
      </c>
    </row>
    <row r="57" spans="2:13" x14ac:dyDescent="0.3">
      <c r="J57" s="126">
        <v>45832.625</v>
      </c>
      <c r="K57" s="62">
        <v>93.058000000000007</v>
      </c>
      <c r="L57" s="52">
        <v>45936.625</v>
      </c>
      <c r="M57" s="62">
        <v>106.185</v>
      </c>
    </row>
    <row r="58" spans="2:13" x14ac:dyDescent="0.3">
      <c r="J58" s="126">
        <v>45833.625</v>
      </c>
      <c r="K58" s="62">
        <v>93.129000000000005</v>
      </c>
      <c r="L58" s="52">
        <v>45937.625</v>
      </c>
      <c r="M58" s="62">
        <v>106.161</v>
      </c>
    </row>
    <row r="59" spans="2:13" x14ac:dyDescent="0.3">
      <c r="J59" s="126">
        <v>45834.625</v>
      </c>
      <c r="K59" s="62">
        <v>93.075999999999993</v>
      </c>
      <c r="L59" s="52">
        <v>45938.625</v>
      </c>
      <c r="M59" s="62">
        <v>106.06399999999999</v>
      </c>
    </row>
    <row r="60" spans="2:13" x14ac:dyDescent="0.3">
      <c r="J60" s="126">
        <v>45835.625</v>
      </c>
      <c r="K60" s="62">
        <v>93.183999999999997</v>
      </c>
      <c r="L60" s="52">
        <v>45939.625</v>
      </c>
      <c r="M60" s="62">
        <v>105.71299999999999</v>
      </c>
    </row>
    <row r="61" spans="2:13" x14ac:dyDescent="0.3">
      <c r="J61" s="126">
        <v>45838.625</v>
      </c>
      <c r="K61" s="62">
        <v>93.289000000000001</v>
      </c>
      <c r="L61" s="52">
        <v>45944.625</v>
      </c>
      <c r="M61" s="62">
        <v>104.839</v>
      </c>
    </row>
    <row r="62" spans="2:13" x14ac:dyDescent="0.3">
      <c r="J62" s="126">
        <v>45839.625</v>
      </c>
      <c r="K62" s="62">
        <v>93.647999999999996</v>
      </c>
      <c r="L62" s="52">
        <v>45945.625</v>
      </c>
      <c r="M62" s="62">
        <v>106.086</v>
      </c>
    </row>
    <row r="63" spans="2:13" x14ac:dyDescent="0.3">
      <c r="J63" s="126">
        <v>45840.625</v>
      </c>
      <c r="K63" s="62">
        <v>93.677000000000007</v>
      </c>
      <c r="L63" s="52">
        <v>45946.625</v>
      </c>
      <c r="M63" s="62">
        <v>105.911</v>
      </c>
    </row>
    <row r="64" spans="2:13" x14ac:dyDescent="0.3">
      <c r="J64" s="126">
        <v>45841.625</v>
      </c>
      <c r="K64" s="62">
        <v>93.95</v>
      </c>
      <c r="L64" s="52">
        <v>45947.625</v>
      </c>
      <c r="M64" s="62">
        <v>105.65300000000001</v>
      </c>
    </row>
    <row r="65" spans="10:11" x14ac:dyDescent="0.3">
      <c r="J65" s="126">
        <v>45845.625</v>
      </c>
      <c r="K65" s="62">
        <v>94.081000000000003</v>
      </c>
    </row>
    <row r="66" spans="10:11" x14ac:dyDescent="0.3">
      <c r="J66" s="126">
        <v>45846.625</v>
      </c>
      <c r="K66" s="62">
        <v>94.171000000000006</v>
      </c>
    </row>
    <row r="67" spans="10:11" x14ac:dyDescent="0.3">
      <c r="J67" s="126">
        <v>45847.625</v>
      </c>
      <c r="K67" s="62">
        <v>94.325999999999993</v>
      </c>
    </row>
    <row r="68" spans="10:11" x14ac:dyDescent="0.3">
      <c r="J68" s="126">
        <v>45848.625</v>
      </c>
      <c r="K68" s="62">
        <v>94.418999999999997</v>
      </c>
    </row>
    <row r="69" spans="10:11" x14ac:dyDescent="0.3">
      <c r="J69" s="126">
        <v>45849.625</v>
      </c>
      <c r="K69" s="62">
        <v>94.393000000000001</v>
      </c>
    </row>
    <row r="70" spans="10:11" x14ac:dyDescent="0.3">
      <c r="J70" s="126">
        <v>45852.625</v>
      </c>
      <c r="K70" s="62">
        <v>94.340999999999994</v>
      </c>
    </row>
    <row r="71" spans="10:11" x14ac:dyDescent="0.3">
      <c r="J71" s="126">
        <v>45853.625</v>
      </c>
      <c r="K71" s="62">
        <v>94.376999999999995</v>
      </c>
    </row>
    <row r="72" spans="10:11" x14ac:dyDescent="0.3">
      <c r="J72" s="126">
        <v>45854.625</v>
      </c>
      <c r="K72" s="62">
        <v>94.259</v>
      </c>
    </row>
    <row r="73" spans="10:11" x14ac:dyDescent="0.3">
      <c r="J73" s="126">
        <v>45855.625</v>
      </c>
      <c r="K73" s="62">
        <v>94.277000000000001</v>
      </c>
    </row>
    <row r="74" spans="10:11" x14ac:dyDescent="0.3">
      <c r="J74" s="126">
        <v>45856.625</v>
      </c>
      <c r="K74" s="62">
        <v>94.381</v>
      </c>
    </row>
    <row r="75" spans="10:11" x14ac:dyDescent="0.3">
      <c r="J75" s="126">
        <v>45859.625</v>
      </c>
      <c r="K75" s="62">
        <v>94.393000000000001</v>
      </c>
    </row>
    <row r="76" spans="10:11" x14ac:dyDescent="0.3">
      <c r="J76" s="126">
        <v>45860.625</v>
      </c>
      <c r="K76" s="62">
        <v>94.63</v>
      </c>
    </row>
    <row r="77" spans="10:11" x14ac:dyDescent="0.3">
      <c r="J77" s="126">
        <v>45861.625</v>
      </c>
      <c r="K77" s="62">
        <v>94.623000000000005</v>
      </c>
    </row>
    <row r="78" spans="10:11" x14ac:dyDescent="0.3">
      <c r="J78" s="126">
        <v>45862.625</v>
      </c>
      <c r="K78" s="62">
        <v>94.912000000000006</v>
      </c>
    </row>
    <row r="79" spans="10:11" x14ac:dyDescent="0.3">
      <c r="J79" s="126">
        <v>45863.625</v>
      </c>
      <c r="K79" s="62">
        <v>94.930999999999997</v>
      </c>
    </row>
    <row r="80" spans="10:11" x14ac:dyDescent="0.3">
      <c r="J80" s="126">
        <v>45866.625</v>
      </c>
      <c r="K80" s="62">
        <v>95.052999999999997</v>
      </c>
    </row>
    <row r="81" spans="10:11" x14ac:dyDescent="0.3">
      <c r="J81" s="126">
        <v>45867.625</v>
      </c>
      <c r="K81" s="62">
        <v>95.07</v>
      </c>
    </row>
    <row r="82" spans="10:11" x14ac:dyDescent="0.3">
      <c r="J82" s="126">
        <v>45868.625</v>
      </c>
      <c r="K82" s="62">
        <v>95.052999999999997</v>
      </c>
    </row>
    <row r="83" spans="10:11" x14ac:dyDescent="0.3">
      <c r="J83" s="126">
        <v>45869.625</v>
      </c>
      <c r="K83" s="62">
        <v>95.078000000000003</v>
      </c>
    </row>
    <row r="84" spans="10:11" x14ac:dyDescent="0.3">
      <c r="J84" s="126">
        <v>45870.625</v>
      </c>
      <c r="K84" s="62">
        <v>94.99</v>
      </c>
    </row>
    <row r="85" spans="10:11" x14ac:dyDescent="0.3">
      <c r="J85" s="126">
        <v>45873.625</v>
      </c>
      <c r="K85" s="62">
        <v>94.972999999999999</v>
      </c>
    </row>
    <row r="86" spans="10:11" x14ac:dyDescent="0.3">
      <c r="J86" s="126">
        <v>45874.625</v>
      </c>
      <c r="K86" s="62">
        <v>95.025999999999996</v>
      </c>
    </row>
    <row r="87" spans="10:11" x14ac:dyDescent="0.3">
      <c r="J87" s="126">
        <v>45875.625</v>
      </c>
      <c r="K87" s="62">
        <v>95.06</v>
      </c>
    </row>
    <row r="88" spans="10:11" x14ac:dyDescent="0.3">
      <c r="J88" s="126">
        <v>45876.625</v>
      </c>
      <c r="K88" s="62">
        <v>95.17</v>
      </c>
    </row>
    <row r="89" spans="10:11" x14ac:dyDescent="0.3">
      <c r="J89" s="126">
        <v>45877.625</v>
      </c>
      <c r="K89" s="62">
        <v>95.186999999999998</v>
      </c>
    </row>
    <row r="90" spans="10:11" x14ac:dyDescent="0.3">
      <c r="J90" s="126">
        <v>45880.625</v>
      </c>
      <c r="K90" s="62">
        <v>95.293999999999997</v>
      </c>
    </row>
    <row r="91" spans="10:11" x14ac:dyDescent="0.3">
      <c r="J91" s="126">
        <v>45881.625</v>
      </c>
      <c r="K91" s="62">
        <v>95.337000000000003</v>
      </c>
    </row>
    <row r="92" spans="10:11" x14ac:dyDescent="0.3">
      <c r="J92" s="126">
        <v>45882.625</v>
      </c>
      <c r="K92" s="62">
        <v>95.337000000000003</v>
      </c>
    </row>
    <row r="93" spans="10:11" x14ac:dyDescent="0.3">
      <c r="J93" s="126">
        <v>45883.625</v>
      </c>
      <c r="K93" s="62">
        <v>95.251000000000005</v>
      </c>
    </row>
    <row r="94" spans="10:11" x14ac:dyDescent="0.3">
      <c r="J94" s="126">
        <v>45884.625</v>
      </c>
      <c r="K94" s="62">
        <v>95.251000000000005</v>
      </c>
    </row>
    <row r="95" spans="10:11" x14ac:dyDescent="0.3">
      <c r="J95" s="126">
        <v>45887.625</v>
      </c>
      <c r="K95" s="62">
        <v>95.216999999999999</v>
      </c>
    </row>
    <row r="96" spans="10:11" x14ac:dyDescent="0.3">
      <c r="J96" s="126">
        <v>45888.625</v>
      </c>
      <c r="K96" s="62">
        <v>95.19</v>
      </c>
    </row>
    <row r="97" spans="10:11" x14ac:dyDescent="0.3">
      <c r="J97" s="126">
        <v>45889.625</v>
      </c>
      <c r="K97" s="62">
        <v>94.927000000000007</v>
      </c>
    </row>
    <row r="98" spans="10:11" x14ac:dyDescent="0.3">
      <c r="J98" s="126">
        <v>45890.625</v>
      </c>
      <c r="K98" s="62">
        <v>94.682000000000002</v>
      </c>
    </row>
    <row r="99" spans="10:11" x14ac:dyDescent="0.3">
      <c r="J99" s="126">
        <v>45891.625</v>
      </c>
      <c r="K99" s="62">
        <v>94.811999999999998</v>
      </c>
    </row>
    <row r="100" spans="10:11" x14ac:dyDescent="0.3">
      <c r="J100" s="126">
        <v>45894.625</v>
      </c>
      <c r="K100" s="62">
        <v>94.853999999999999</v>
      </c>
    </row>
    <row r="101" spans="10:11" x14ac:dyDescent="0.3">
      <c r="J101" s="126">
        <v>45895.625</v>
      </c>
      <c r="K101" s="62">
        <v>94.569000000000003</v>
      </c>
    </row>
    <row r="102" spans="10:11" x14ac:dyDescent="0.3">
      <c r="J102" s="126">
        <v>45896.625</v>
      </c>
      <c r="K102" s="62">
        <v>94.542000000000002</v>
      </c>
    </row>
    <row r="103" spans="10:11" x14ac:dyDescent="0.3">
      <c r="J103" s="126">
        <v>45897.625</v>
      </c>
      <c r="K103" s="62">
        <v>94.539000000000001</v>
      </c>
    </row>
    <row r="104" spans="10:11" x14ac:dyDescent="0.3">
      <c r="J104" s="126">
        <v>45898.625</v>
      </c>
      <c r="K104" s="62">
        <v>94.376000000000005</v>
      </c>
    </row>
    <row r="105" spans="10:11" x14ac:dyDescent="0.3">
      <c r="J105" s="126">
        <v>45902.625</v>
      </c>
      <c r="K105" s="62">
        <v>94.259</v>
      </c>
    </row>
    <row r="106" spans="10:11" x14ac:dyDescent="0.3">
      <c r="J106" s="126">
        <v>45903.625</v>
      </c>
      <c r="K106" s="62">
        <v>94.162999999999997</v>
      </c>
    </row>
    <row r="107" spans="10:11" x14ac:dyDescent="0.3">
      <c r="J107" s="126">
        <v>45904.625</v>
      </c>
      <c r="K107" s="62">
        <v>94.207999999999998</v>
      </c>
    </row>
    <row r="108" spans="10:11" x14ac:dyDescent="0.3">
      <c r="J108" s="126">
        <v>45905.625</v>
      </c>
      <c r="K108" s="62">
        <v>94.412000000000006</v>
      </c>
    </row>
    <row r="109" spans="10:11" x14ac:dyDescent="0.3">
      <c r="J109" s="126">
        <v>45908.625</v>
      </c>
      <c r="K109" s="62">
        <v>94.566000000000003</v>
      </c>
    </row>
    <row r="110" spans="10:11" x14ac:dyDescent="0.3">
      <c r="J110" s="126">
        <v>45909.625</v>
      </c>
      <c r="K110" s="62">
        <v>94.63</v>
      </c>
    </row>
    <row r="111" spans="10:11" x14ac:dyDescent="0.3">
      <c r="J111" s="126">
        <v>45910.625</v>
      </c>
      <c r="K111" s="62">
        <v>94.74</v>
      </c>
    </row>
    <row r="112" spans="10:11" x14ac:dyDescent="0.3">
      <c r="J112" s="126">
        <v>45911.625</v>
      </c>
      <c r="K112" s="62">
        <v>94.674999999999997</v>
      </c>
    </row>
    <row r="113" spans="10:11" x14ac:dyDescent="0.3">
      <c r="J113" s="126">
        <v>45912.625</v>
      </c>
      <c r="K113" s="62">
        <v>94.858999999999995</v>
      </c>
    </row>
    <row r="114" spans="10:11" x14ac:dyDescent="0.3">
      <c r="J114" s="126">
        <v>45915.625</v>
      </c>
      <c r="K114" s="62">
        <v>94.914000000000001</v>
      </c>
    </row>
    <row r="115" spans="10:11" x14ac:dyDescent="0.3">
      <c r="J115" s="126">
        <v>45916.625</v>
      </c>
      <c r="K115" s="62">
        <v>94.938000000000002</v>
      </c>
    </row>
    <row r="116" spans="10:11" x14ac:dyDescent="0.3">
      <c r="J116" s="126">
        <v>45917.625</v>
      </c>
      <c r="K116" s="62">
        <v>94.878</v>
      </c>
    </row>
    <row r="117" spans="10:11" x14ac:dyDescent="0.3">
      <c r="J117" s="126">
        <v>45918.625</v>
      </c>
      <c r="K117" s="62">
        <v>94.921999999999997</v>
      </c>
    </row>
    <row r="118" spans="10:11" x14ac:dyDescent="0.3">
      <c r="J118" s="126">
        <v>45919.625</v>
      </c>
      <c r="K118" s="62">
        <v>94.891999999999996</v>
      </c>
    </row>
    <row r="119" spans="10:11" x14ac:dyDescent="0.3">
      <c r="J119" s="126">
        <v>45922.625</v>
      </c>
      <c r="K119" s="62">
        <v>94.825999999999993</v>
      </c>
    </row>
    <row r="120" spans="10:11" x14ac:dyDescent="0.3">
      <c r="J120" s="126">
        <v>45923.625</v>
      </c>
      <c r="K120" s="62">
        <v>94.789000000000001</v>
      </c>
    </row>
    <row r="121" spans="10:11" x14ac:dyDescent="0.3">
      <c r="J121" s="126">
        <v>45924.625</v>
      </c>
      <c r="K121" s="62">
        <v>94.733999999999995</v>
      </c>
    </row>
    <row r="122" spans="10:11" x14ac:dyDescent="0.3">
      <c r="J122" s="126">
        <v>45925.625</v>
      </c>
      <c r="K122" s="62">
        <v>94.597999999999999</v>
      </c>
    </row>
    <row r="123" spans="10:11" x14ac:dyDescent="0.3">
      <c r="J123" s="126">
        <v>45926.625</v>
      </c>
      <c r="K123" s="62">
        <v>94.596000000000004</v>
      </c>
    </row>
    <row r="124" spans="10:11" x14ac:dyDescent="0.3">
      <c r="J124" s="126">
        <v>45929.625</v>
      </c>
      <c r="K124" s="62">
        <v>94.68</v>
      </c>
    </row>
    <row r="125" spans="10:11" x14ac:dyDescent="0.3">
      <c r="J125" s="126">
        <v>45930.625</v>
      </c>
      <c r="K125" s="62">
        <v>94.614999999999995</v>
      </c>
    </row>
    <row r="126" spans="10:11" x14ac:dyDescent="0.3">
      <c r="J126" s="126">
        <v>45931.625</v>
      </c>
      <c r="K126" s="62">
        <v>94.775999999999996</v>
      </c>
    </row>
    <row r="127" spans="10:11" x14ac:dyDescent="0.3">
      <c r="J127" s="126">
        <v>45932.625</v>
      </c>
      <c r="K127" s="62">
        <v>94.875</v>
      </c>
    </row>
    <row r="128" spans="10:11" x14ac:dyDescent="0.3">
      <c r="J128" s="126">
        <v>45933.625</v>
      </c>
      <c r="K128" s="62">
        <v>94.998000000000005</v>
      </c>
    </row>
    <row r="129" spans="10:11" x14ac:dyDescent="0.3">
      <c r="J129" s="126">
        <v>45936.625</v>
      </c>
      <c r="K129" s="62">
        <v>94.927999999999997</v>
      </c>
    </row>
    <row r="130" spans="10:11" x14ac:dyDescent="0.3">
      <c r="J130" s="126">
        <v>45937.625</v>
      </c>
      <c r="K130" s="62">
        <v>94.911000000000001</v>
      </c>
    </row>
    <row r="131" spans="10:11" x14ac:dyDescent="0.3">
      <c r="J131" s="126">
        <v>45938.625</v>
      </c>
      <c r="K131" s="62">
        <v>94.834000000000003</v>
      </c>
    </row>
    <row r="132" spans="10:11" x14ac:dyDescent="0.3">
      <c r="J132" s="126">
        <v>45939.625</v>
      </c>
      <c r="K132" s="62">
        <v>94.65</v>
      </c>
    </row>
    <row r="133" spans="10:11" x14ac:dyDescent="0.3">
      <c r="J133" s="126">
        <v>45944.625</v>
      </c>
      <c r="K133" s="62">
        <v>94.346999999999994</v>
      </c>
    </row>
    <row r="134" spans="10:11" x14ac:dyDescent="0.3">
      <c r="J134" s="126">
        <v>45945.625</v>
      </c>
      <c r="K134" s="62">
        <v>94.986999999999995</v>
      </c>
    </row>
    <row r="135" spans="10:11" x14ac:dyDescent="0.3">
      <c r="J135" s="126">
        <v>45946.625</v>
      </c>
      <c r="K135" s="62">
        <v>95.355000000000004</v>
      </c>
    </row>
    <row r="136" spans="10:11" x14ac:dyDescent="0.3">
      <c r="J136" s="126">
        <v>45947.625</v>
      </c>
      <c r="K136" s="62">
        <v>95.215000000000003</v>
      </c>
    </row>
  </sheetData>
  <mergeCells count="2">
    <mergeCell ref="B12:D12"/>
    <mergeCell ref="E12:G12"/>
  </mergeCells>
  <conditionalFormatting sqref="M1:M7 H8:H1048576">
    <cfRule type="cellIs" dxfId="23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33"/>
  <sheetViews>
    <sheetView topLeftCell="A5" zoomScale="80" zoomScaleNormal="80" workbookViewId="0">
      <selection activeCell="A26" sqref="A26:A33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10.4414062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1.88671875" style="54" bestFit="1" customWidth="1"/>
    <col min="15" max="15" width="9.109375"/>
    <col min="16" max="16" width="15.6640625" style="54" hidden="1" customWidth="1"/>
    <col min="17" max="17" width="8.88671875" style="54" hidden="1" customWidth="1"/>
    <col min="18" max="18" width="15.6640625" style="54" hidden="1" customWidth="1"/>
    <col min="19" max="19" width="8.88671875" style="54" hidden="1" customWidth="1"/>
    <col min="20" max="20" width="15.6640625" style="54" hidden="1" customWidth="1"/>
    <col min="21" max="21" width="8.88671875" style="54" hidden="1" customWidth="1"/>
    <col min="22" max="22" width="15.6640625" style="54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P1" s="53"/>
      <c r="Q1" s="1"/>
      <c r="R1" s="1"/>
      <c r="S1" s="1"/>
      <c r="T1" s="1"/>
      <c r="U1" s="1"/>
      <c r="V1" s="1"/>
    </row>
    <row r="2" spans="1:23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127" t="s">
        <v>101</v>
      </c>
      <c r="H2" s="128">
        <v>0.625</v>
      </c>
      <c r="P2" s="27" t="s">
        <v>0</v>
      </c>
      <c r="Q2" s="1"/>
      <c r="R2" s="44" t="s">
        <v>1</v>
      </c>
      <c r="S2" s="2"/>
      <c r="T2" s="28" t="s">
        <v>1</v>
      </c>
      <c r="U2" s="1"/>
      <c r="V2" s="72" t="s">
        <v>0</v>
      </c>
    </row>
    <row r="3" spans="1:23" x14ac:dyDescent="0.3">
      <c r="A3" s="15" t="s">
        <v>32</v>
      </c>
      <c r="B3" s="64" t="s">
        <v>44</v>
      </c>
      <c r="C3" s="73" t="s">
        <v>45</v>
      </c>
      <c r="D3" s="73" t="s">
        <v>46</v>
      </c>
      <c r="E3" s="65" t="s">
        <v>47</v>
      </c>
      <c r="P3" s="126" cm="1">
        <f t="array" ref="P3:Q33">_xll.BDH(B4, "LAST_PRICE", "01/01/2025 15:00:00", "01/01/2035 16:00:00", "BarSize=60", "BarType=T", "RecurDaily=True", "TZ=New_York")</f>
        <v>45903.625</v>
      </c>
      <c r="Q3" s="46">
        <v>99.248999999999995</v>
      </c>
      <c r="R3" s="126" cm="1">
        <f t="array" ref="R3:S117">_xll.BDH(C4, "LAST_PRICE", "01/01/2025 15:00:00", "01/01/2035 16:00:00", "BarSize=60", "BarType=T", "RecurDaily=True", "TZ=New_York")</f>
        <v>45783.625</v>
      </c>
      <c r="S3" s="46">
        <v>99.515625</v>
      </c>
      <c r="T3" s="126" cm="1">
        <f t="array" ref="T3:U133">_xll.BDH(D4, "LAST_PRICE", "01/01/2025 15:00:00", "01/01/2035 16:00:00", "BarSize=60", "BarType=T", "RecurDaily=True", "TZ=New_York")</f>
        <v>45751.625</v>
      </c>
      <c r="U3" s="1">
        <v>89.697000000000003</v>
      </c>
      <c r="V3" s="126" cm="1">
        <f t="array" ref="V3:W115">_xll.BDH(E4, "LAST_PRICE", "01/01/2025 15:00:00", "01/01/2035 16:00:00", "BarSize=60", "BarType=T", "RecurDaily=True", "TZ=New_York")</f>
        <v>45785.625</v>
      </c>
      <c r="W3" s="54">
        <v>98.578125</v>
      </c>
    </row>
    <row r="4" spans="1:23" ht="32.25" customHeight="1" x14ac:dyDescent="0.3">
      <c r="A4" s="15" t="s">
        <v>33</v>
      </c>
      <c r="B4" s="66" t="s">
        <v>48</v>
      </c>
      <c r="C4" s="41" t="s">
        <v>49</v>
      </c>
      <c r="D4" s="41" t="s">
        <v>50</v>
      </c>
      <c r="E4" s="42" t="s">
        <v>51</v>
      </c>
      <c r="P4" s="129">
        <v>45904.625</v>
      </c>
      <c r="Q4" s="1">
        <v>99.715000000000003</v>
      </c>
      <c r="R4" s="130">
        <v>45784.625</v>
      </c>
      <c r="S4" s="1">
        <v>99.796875</v>
      </c>
      <c r="T4" s="130">
        <v>45754.625</v>
      </c>
      <c r="U4" s="1">
        <v>87.451999999999998</v>
      </c>
      <c r="V4" s="130">
        <v>45786.625</v>
      </c>
      <c r="W4" s="54">
        <v>98.65625</v>
      </c>
    </row>
    <row r="5" spans="1:23" x14ac:dyDescent="0.3">
      <c r="A5" s="15" t="s">
        <v>8</v>
      </c>
      <c r="B5" s="67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29">
        <v>45905.625</v>
      </c>
      <c r="Q5" s="1">
        <v>100.001</v>
      </c>
      <c r="R5" s="130">
        <v>45785.625</v>
      </c>
      <c r="S5" s="1">
        <v>98.921875</v>
      </c>
      <c r="T5" s="130">
        <v>45755.625</v>
      </c>
      <c r="U5" s="1">
        <v>86.793999999999997</v>
      </c>
      <c r="V5" s="130">
        <v>45789.625</v>
      </c>
      <c r="W5" s="54">
        <v>97.703125</v>
      </c>
    </row>
    <row r="6" spans="1:23" x14ac:dyDescent="0.3">
      <c r="A6" s="15" t="s">
        <v>10</v>
      </c>
      <c r="B6" s="69">
        <v>4.8750000000000002E-2</v>
      </c>
      <c r="C6" s="74">
        <v>4.2500000000000003E-2</v>
      </c>
      <c r="D6" s="74">
        <v>5.3749999999999999E-2</v>
      </c>
      <c r="E6" s="10">
        <v>4.7500000000000001E-2</v>
      </c>
      <c r="P6" s="129">
        <v>45908.625</v>
      </c>
      <c r="Q6" s="1">
        <v>100.20399999999999</v>
      </c>
      <c r="R6" s="130">
        <v>45786.625</v>
      </c>
      <c r="S6" s="1">
        <v>98.984375</v>
      </c>
      <c r="T6" s="130">
        <v>45756.625</v>
      </c>
      <c r="U6" s="1">
        <v>83.867999999999995</v>
      </c>
      <c r="V6" s="130">
        <v>45790.625</v>
      </c>
      <c r="W6" s="54">
        <v>97.296875</v>
      </c>
    </row>
    <row r="7" spans="1:23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P7" s="130">
        <v>45909.625</v>
      </c>
      <c r="Q7" s="1">
        <v>100.259</v>
      </c>
      <c r="R7" s="130">
        <v>45789.625</v>
      </c>
      <c r="S7" s="1">
        <v>98.28125</v>
      </c>
      <c r="T7" s="130">
        <v>45757.625</v>
      </c>
      <c r="U7" s="1">
        <v>84.677999999999997</v>
      </c>
      <c r="V7" s="130">
        <v>45791.625</v>
      </c>
      <c r="W7" s="1">
        <v>96.65625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129">
        <v>45910.625</v>
      </c>
      <c r="Q8" s="54">
        <v>100.4</v>
      </c>
      <c r="R8" s="129">
        <v>45790.625</v>
      </c>
      <c r="S8" s="54">
        <v>98.15625</v>
      </c>
      <c r="T8" s="129">
        <v>45758.625</v>
      </c>
      <c r="U8" s="54">
        <v>83.316000000000003</v>
      </c>
      <c r="V8" s="129">
        <v>45792.625</v>
      </c>
      <c r="W8" s="54">
        <v>97.46875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129">
        <v>45911.625</v>
      </c>
      <c r="Q9" s="54">
        <v>100.831</v>
      </c>
      <c r="R9" s="129">
        <v>45791.625</v>
      </c>
      <c r="S9" s="54">
        <v>97.75</v>
      </c>
      <c r="T9" s="129">
        <v>45761.625</v>
      </c>
      <c r="U9" s="54">
        <v>84.268000000000001</v>
      </c>
      <c r="V9" s="129">
        <v>45793.625</v>
      </c>
      <c r="W9" s="54">
        <v>97.65625</v>
      </c>
    </row>
    <row r="10" spans="1:23" ht="15" thickBot="1" x14ac:dyDescent="0.35">
      <c r="A10" s="16" t="s">
        <v>28</v>
      </c>
      <c r="B10" s="11" cm="1">
        <f t="array" ref="B10">_xll.BDP(B4,"px_last")</f>
        <v>101.355</v>
      </c>
      <c r="C10" s="21" cm="1">
        <f t="array" ref="C10">_xll.BDP(C4,"px_last")</f>
        <v>102.140625</v>
      </c>
      <c r="D10" s="21" cm="1">
        <f t="array" ref="D10">_xll.BDP(D4,"px_last")</f>
        <v>95.192999999999998</v>
      </c>
      <c r="E10" s="22" cm="1">
        <f t="array" ref="E10">_xll.BDP(E4,"px_last")</f>
        <v>102.46875</v>
      </c>
      <c r="F10" s="1"/>
      <c r="G10" s="1"/>
      <c r="H10" s="1"/>
      <c r="I10" s="1"/>
      <c r="J10" s="1"/>
      <c r="K10" s="1"/>
      <c r="L10" s="1"/>
      <c r="M10" s="1"/>
      <c r="N10" s="1"/>
      <c r="P10" s="129">
        <v>45912.625</v>
      </c>
      <c r="Q10" s="54">
        <v>100.739</v>
      </c>
      <c r="R10" s="129">
        <v>45792.625</v>
      </c>
      <c r="S10" s="54">
        <v>98.421875</v>
      </c>
      <c r="T10" s="129">
        <v>45762.625</v>
      </c>
      <c r="U10" s="54">
        <v>85.12</v>
      </c>
      <c r="V10" s="129">
        <v>45796.625</v>
      </c>
      <c r="W10" s="54">
        <v>97.3125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29">
        <v>45915.625</v>
      </c>
      <c r="Q11" s="54">
        <v>100.795</v>
      </c>
      <c r="R11" s="129">
        <v>45793.625</v>
      </c>
      <c r="S11" s="54">
        <v>98.453125</v>
      </c>
      <c r="T11" s="129">
        <v>45763.625</v>
      </c>
      <c r="U11" s="54">
        <v>85.32</v>
      </c>
      <c r="V11" s="129">
        <v>45797.625</v>
      </c>
      <c r="W11" s="54">
        <v>96.609375</v>
      </c>
    </row>
    <row r="12" spans="1:23" ht="15" thickBot="1" x14ac:dyDescent="0.35">
      <c r="A12" s="39" t="s">
        <v>22</v>
      </c>
      <c r="B12" s="153" t="s">
        <v>0</v>
      </c>
      <c r="C12" s="154"/>
      <c r="D12" s="154"/>
      <c r="E12" s="159" t="s">
        <v>1</v>
      </c>
      <c r="F12" s="160"/>
      <c r="G12" s="161"/>
      <c r="H12" s="156" t="s">
        <v>1</v>
      </c>
      <c r="I12" s="157"/>
      <c r="J12" s="158"/>
      <c r="K12" s="162" t="s">
        <v>0</v>
      </c>
      <c r="L12" s="163"/>
      <c r="M12" s="164"/>
      <c r="N12" s="39" t="s">
        <v>16</v>
      </c>
      <c r="P12" s="129">
        <v>45916.625</v>
      </c>
      <c r="Q12" s="54">
        <v>101.098</v>
      </c>
      <c r="R12" s="129">
        <v>45796.625</v>
      </c>
      <c r="S12" s="54">
        <v>98.34375</v>
      </c>
      <c r="T12" s="129">
        <v>45768.625</v>
      </c>
      <c r="U12" s="54">
        <v>85.063999999999993</v>
      </c>
      <c r="V12" s="129">
        <v>45798.625</v>
      </c>
      <c r="W12" s="54">
        <v>94.953125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P13" s="129">
        <v>45917.625</v>
      </c>
      <c r="Q13" s="54">
        <v>100.999</v>
      </c>
      <c r="R13" s="129">
        <v>45797.625</v>
      </c>
      <c r="S13" s="54">
        <v>98.140625</v>
      </c>
      <c r="T13" s="129">
        <v>45769.625</v>
      </c>
      <c r="U13" s="54">
        <v>85.619</v>
      </c>
      <c r="V13" s="129">
        <v>45799.625</v>
      </c>
      <c r="W13" s="54">
        <v>95.421875</v>
      </c>
    </row>
    <row r="14" spans="1:23" x14ac:dyDescent="0.3">
      <c r="A14" s="36">
        <v>45931</v>
      </c>
      <c r="B14" s="45">
        <v>100.65</v>
      </c>
      <c r="C14" s="46"/>
      <c r="D14" s="47"/>
      <c r="E14" s="45">
        <v>100.898</v>
      </c>
      <c r="F14" s="46"/>
      <c r="G14" s="47"/>
      <c r="H14" s="45">
        <v>94.375</v>
      </c>
      <c r="I14" s="46"/>
      <c r="J14" s="47"/>
      <c r="K14" s="45">
        <v>100.297</v>
      </c>
      <c r="L14" s="1"/>
      <c r="M14" s="5"/>
      <c r="N14" s="82">
        <v>0</v>
      </c>
      <c r="P14" s="129">
        <v>45918.625</v>
      </c>
      <c r="Q14" s="54">
        <v>101.124</v>
      </c>
      <c r="R14" s="129">
        <v>45798.625</v>
      </c>
      <c r="S14" s="54">
        <v>97.34375</v>
      </c>
      <c r="T14" s="129">
        <v>45770.625</v>
      </c>
      <c r="U14" s="54">
        <v>87.418000000000006</v>
      </c>
      <c r="V14" s="129">
        <v>45804.625</v>
      </c>
      <c r="W14" s="54">
        <v>96.921875</v>
      </c>
    </row>
    <row r="15" spans="1:23" x14ac:dyDescent="0.3">
      <c r="A15" s="36">
        <v>45932</v>
      </c>
      <c r="B15" s="45">
        <f>VLOOKUP(A15+$H$2,P:Q,2)</f>
        <v>100.93300000000001</v>
      </c>
      <c r="C15" s="31">
        <f t="shared" ref="C15:C20" si="0">(B15-$B$14)/100*$B$5</f>
        <v>39620.000000000175</v>
      </c>
      <c r="D15" s="32">
        <f t="shared" ref="D15:D20" si="1">(A15-$A$14)/360*$B$6*$B$5-(A15-$A$14)/360*$B$7*$B$5*$B$14/100</f>
        <v>240.1408333333336</v>
      </c>
      <c r="E15" s="76">
        <f>VLOOKUP(A15+$H$2,R:S,2)</f>
        <v>101.421875</v>
      </c>
      <c r="F15" s="31">
        <f t="shared" ref="F15:F20" si="2">(E15-$E$14)/100*$C$5</f>
        <v>71247.000000000524</v>
      </c>
      <c r="G15" s="32">
        <f t="shared" ref="G15:G20" si="3">(A15-$A$14)/360*$C$6*$C$5-(A15-$A$14)/360*$C$7*$C$5*$E$14/100</f>
        <v>-6.7944844444439241</v>
      </c>
      <c r="H15" s="4">
        <f>VLOOKUP(A15+$H$2,T:U,2)</f>
        <v>94.884</v>
      </c>
      <c r="I15" s="31">
        <f t="shared" ref="I15:I20" si="4">(H15-$H$14)/100*$D$5</f>
        <v>25450.000000000018</v>
      </c>
      <c r="J15" s="32">
        <f t="shared" ref="J15:J20" si="5">(A15-$A$14)/360*$D$6*$D$5-(A15-$A$14)/360*$D$7*$D$5*$H$14/100</f>
        <v>192.07465277777771</v>
      </c>
      <c r="K15" s="76">
        <f>VLOOKUP(A15+$H$2,V:W,2)</f>
        <v>100.84375</v>
      </c>
      <c r="L15" s="31">
        <f t="shared" ref="L15:L20" si="6">(K15-$K$14)/100*$E$5</f>
        <v>22963.500000000124</v>
      </c>
      <c r="M15" s="32">
        <f t="shared" ref="M15:M20" si="7">(A15-$A$14)/360*$E$6*$E$5-(A15-$A$14)/360*$E$7*$E$5*$K$14/100</f>
        <v>59.20097166666676</v>
      </c>
      <c r="N15" s="82">
        <f t="shared" ref="N15:N20" si="8">C15+D15-F15-G15-I15-J15+L15+M15</f>
        <v>-33999.438363333589</v>
      </c>
      <c r="P15" s="129">
        <v>45919.625</v>
      </c>
      <c r="Q15" s="54">
        <v>101.01</v>
      </c>
      <c r="R15" s="129">
        <v>45799.625</v>
      </c>
      <c r="S15" s="54">
        <v>97.71875</v>
      </c>
      <c r="T15" s="129">
        <v>45771.625</v>
      </c>
      <c r="U15" s="54">
        <v>87.713999999999999</v>
      </c>
      <c r="V15" s="129">
        <v>45805.625</v>
      </c>
      <c r="W15" s="54">
        <v>96.484375</v>
      </c>
    </row>
    <row r="16" spans="1:23" x14ac:dyDescent="0.3">
      <c r="A16" s="36">
        <v>45933</v>
      </c>
      <c r="B16" s="45">
        <f t="shared" ref="B16:B24" si="9">VLOOKUP(A16+$H$2,P:Q,2)</f>
        <v>100.828</v>
      </c>
      <c r="C16" s="31">
        <f t="shared" si="0"/>
        <v>24919.999999999618</v>
      </c>
      <c r="D16" s="32">
        <f t="shared" si="1"/>
        <v>480.28166666666721</v>
      </c>
      <c r="E16" s="76">
        <f t="shared" ref="E16:E24" si="10">VLOOKUP(A16+$H$2,R:S,2)</f>
        <v>101.15625</v>
      </c>
      <c r="F16" s="31">
        <f t="shared" si="2"/>
        <v>35122.000000000524</v>
      </c>
      <c r="G16" s="32">
        <f t="shared" si="3"/>
        <v>-13.588968888887848</v>
      </c>
      <c r="H16" s="4">
        <f t="shared" ref="H16:H24" si="11">VLOOKUP(A16+$H$2,T:U,2)</f>
        <v>94.835999999999999</v>
      </c>
      <c r="I16" s="31">
        <f t="shared" si="4"/>
        <v>23049.999999999927</v>
      </c>
      <c r="J16" s="32">
        <f t="shared" si="5"/>
        <v>384.14930555555543</v>
      </c>
      <c r="K16" s="76">
        <f t="shared" ref="K16:K24" si="12">VLOOKUP(A16+$H$2,V:W,2)</f>
        <v>100.5625</v>
      </c>
      <c r="L16" s="31">
        <f t="shared" si="6"/>
        <v>11151.000000000126</v>
      </c>
      <c r="M16" s="32">
        <f t="shared" si="7"/>
        <v>118.40194333333352</v>
      </c>
      <c r="N16" s="82">
        <f t="shared" si="8"/>
        <v>-21872.876726667379</v>
      </c>
      <c r="P16" s="129">
        <v>45922.625</v>
      </c>
      <c r="Q16" s="54">
        <v>100.876</v>
      </c>
      <c r="R16" s="129">
        <v>45804.625</v>
      </c>
      <c r="S16" s="54">
        <v>98.46875</v>
      </c>
      <c r="T16" s="129">
        <v>45772.625</v>
      </c>
      <c r="U16" s="54">
        <v>88.004999999999995</v>
      </c>
      <c r="V16" s="129">
        <v>45806.625</v>
      </c>
      <c r="W16" s="54">
        <v>97.28125</v>
      </c>
    </row>
    <row r="17" spans="1:23" x14ac:dyDescent="0.3">
      <c r="A17" s="36">
        <v>45936</v>
      </c>
      <c r="B17" s="45">
        <f t="shared" si="9"/>
        <v>100.62</v>
      </c>
      <c r="C17" s="31">
        <f t="shared" si="0"/>
        <v>-4200.0000000001592</v>
      </c>
      <c r="D17" s="32">
        <f t="shared" si="1"/>
        <v>1200.7041666666682</v>
      </c>
      <c r="E17" s="76">
        <f t="shared" si="10"/>
        <v>100.8125</v>
      </c>
      <c r="F17" s="31">
        <f t="shared" si="2"/>
        <v>-11627.999999999474</v>
      </c>
      <c r="G17" s="32">
        <f t="shared" si="3"/>
        <v>-33.972422222220303</v>
      </c>
      <c r="H17" s="4">
        <f t="shared" si="11"/>
        <v>94.5</v>
      </c>
      <c r="I17" s="31">
        <f t="shared" si="4"/>
        <v>6250</v>
      </c>
      <c r="J17" s="32">
        <f t="shared" si="5"/>
        <v>960.37326388888914</v>
      </c>
      <c r="K17" s="76">
        <f t="shared" si="12"/>
        <v>99.8125</v>
      </c>
      <c r="L17" s="31">
        <f t="shared" si="6"/>
        <v>-20348.999999999876</v>
      </c>
      <c r="M17" s="32">
        <f t="shared" si="7"/>
        <v>296.00485833333414</v>
      </c>
      <c r="N17" s="82">
        <f t="shared" si="8"/>
        <v>-18600.691816667229</v>
      </c>
      <c r="P17" s="129">
        <v>45923.625</v>
      </c>
      <c r="Q17" s="54">
        <v>101.107</v>
      </c>
      <c r="R17" s="129">
        <v>45805.625</v>
      </c>
      <c r="S17" s="54">
        <v>98.171875</v>
      </c>
      <c r="T17" s="129">
        <v>45775.625</v>
      </c>
      <c r="U17" s="54">
        <v>87.984999999999999</v>
      </c>
      <c r="V17" s="129">
        <v>45807.625</v>
      </c>
      <c r="W17" s="54">
        <v>97.484375</v>
      </c>
    </row>
    <row r="18" spans="1:23" x14ac:dyDescent="0.3">
      <c r="A18" s="36">
        <v>45937</v>
      </c>
      <c r="B18" s="45">
        <f t="shared" si="9"/>
        <v>100.702</v>
      </c>
      <c r="C18" s="31">
        <f t="shared" si="0"/>
        <v>7279.9999999989486</v>
      </c>
      <c r="D18" s="32">
        <f t="shared" si="1"/>
        <v>1440.8450000000012</v>
      </c>
      <c r="E18" s="76">
        <f t="shared" si="10"/>
        <v>101.078125</v>
      </c>
      <c r="F18" s="31">
        <f t="shared" si="2"/>
        <v>24497.000000000528</v>
      </c>
      <c r="G18" s="32">
        <f t="shared" si="3"/>
        <v>-40.766906666663999</v>
      </c>
      <c r="H18" s="4">
        <f t="shared" si="11"/>
        <v>94.43</v>
      </c>
      <c r="I18" s="31">
        <f t="shared" si="4"/>
        <v>2750.0000000003411</v>
      </c>
      <c r="J18" s="32">
        <f t="shared" si="5"/>
        <v>1152.4479166666674</v>
      </c>
      <c r="K18" s="76">
        <f t="shared" si="12"/>
        <v>100.34375</v>
      </c>
      <c r="L18" s="31">
        <f t="shared" si="6"/>
        <v>1963.5000000001241</v>
      </c>
      <c r="M18" s="32">
        <f t="shared" si="7"/>
        <v>355.20583000000033</v>
      </c>
      <c r="N18" s="82">
        <f t="shared" si="8"/>
        <v>-17319.130180001801</v>
      </c>
      <c r="P18" s="129">
        <v>45924.625</v>
      </c>
      <c r="Q18" s="54">
        <v>100.976</v>
      </c>
      <c r="R18" s="129">
        <v>45806.625</v>
      </c>
      <c r="S18" s="54">
        <v>98.578125</v>
      </c>
      <c r="T18" s="129">
        <v>45776.625</v>
      </c>
      <c r="U18" s="54">
        <v>88.3</v>
      </c>
      <c r="V18" s="129">
        <v>45810.625</v>
      </c>
      <c r="W18" s="54">
        <v>96.5</v>
      </c>
    </row>
    <row r="19" spans="1:23" x14ac:dyDescent="0.3">
      <c r="A19" s="36">
        <v>45938</v>
      </c>
      <c r="B19" s="45">
        <f t="shared" si="9"/>
        <v>100.80800000000001</v>
      </c>
      <c r="C19" s="31">
        <f t="shared" si="0"/>
        <v>22120.000000000175</v>
      </c>
      <c r="D19" s="32">
        <f t="shared" si="1"/>
        <v>1680.9858333333341</v>
      </c>
      <c r="E19" s="76">
        <f t="shared" si="10"/>
        <v>101.0625</v>
      </c>
      <c r="F19" s="31">
        <f t="shared" si="2"/>
        <v>22372.000000000524</v>
      </c>
      <c r="G19" s="32">
        <f t="shared" si="3"/>
        <v>-47.561391111108605</v>
      </c>
      <c r="H19" s="4">
        <f t="shared" si="11"/>
        <v>94.516999999999996</v>
      </c>
      <c r="I19" s="31">
        <f t="shared" si="4"/>
        <v>7099.9999999997954</v>
      </c>
      <c r="J19" s="32">
        <f t="shared" si="5"/>
        <v>1344.5225694444443</v>
      </c>
      <c r="K19" s="76">
        <f t="shared" si="12"/>
        <v>100.390625</v>
      </c>
      <c r="L19" s="31">
        <f t="shared" si="6"/>
        <v>3932.2500000001241</v>
      </c>
      <c r="M19" s="32">
        <f t="shared" si="7"/>
        <v>414.40680166666698</v>
      </c>
      <c r="N19" s="82">
        <f t="shared" si="8"/>
        <v>-2621.318543333357</v>
      </c>
      <c r="P19" s="129">
        <v>45925.625</v>
      </c>
      <c r="Q19" s="54">
        <v>100.703</v>
      </c>
      <c r="R19" s="129">
        <v>45807.625</v>
      </c>
      <c r="S19" s="54">
        <v>98.921875</v>
      </c>
      <c r="T19" s="129">
        <v>45777.625</v>
      </c>
      <c r="U19" s="54">
        <v>88.176000000000002</v>
      </c>
      <c r="V19" s="129">
        <v>45811.625</v>
      </c>
      <c r="W19" s="54">
        <v>96.390625</v>
      </c>
    </row>
    <row r="20" spans="1:23" x14ac:dyDescent="0.3">
      <c r="A20" s="36">
        <v>45939</v>
      </c>
      <c r="B20" s="45">
        <f t="shared" si="9"/>
        <v>100.664</v>
      </c>
      <c r="C20" s="31">
        <f t="shared" si="0"/>
        <v>1959.9999999994113</v>
      </c>
      <c r="D20" s="32">
        <f t="shared" si="1"/>
        <v>1921.1266666666688</v>
      </c>
      <c r="E20" s="76">
        <f t="shared" si="10"/>
        <v>100.984375</v>
      </c>
      <c r="F20" s="31">
        <f t="shared" si="2"/>
        <v>11747.000000000526</v>
      </c>
      <c r="G20" s="32">
        <f t="shared" si="3"/>
        <v>-54.355875555551393</v>
      </c>
      <c r="H20" s="4">
        <f t="shared" si="11"/>
        <v>94.284000000000006</v>
      </c>
      <c r="I20" s="31">
        <f t="shared" si="4"/>
        <v>-4549.999999999699</v>
      </c>
      <c r="J20" s="32">
        <f t="shared" si="5"/>
        <v>1536.5972222222217</v>
      </c>
      <c r="K20" s="76">
        <f t="shared" si="12"/>
        <v>100.359375</v>
      </c>
      <c r="L20" s="31">
        <f t="shared" si="6"/>
        <v>2619.7500000001241</v>
      </c>
      <c r="M20" s="32">
        <f t="shared" si="7"/>
        <v>473.60777333333408</v>
      </c>
      <c r="N20" s="82">
        <f t="shared" si="8"/>
        <v>-1704.7569066679584</v>
      </c>
      <c r="P20" s="129">
        <v>45926.625</v>
      </c>
      <c r="Q20" s="54">
        <v>100.732</v>
      </c>
      <c r="R20" s="129">
        <v>45810.625</v>
      </c>
      <c r="S20" s="54">
        <v>98.453125</v>
      </c>
      <c r="T20" s="129">
        <v>45778.625</v>
      </c>
      <c r="U20" s="54">
        <v>87.49</v>
      </c>
      <c r="V20" s="129">
        <v>45812.625</v>
      </c>
      <c r="W20" s="54">
        <v>97.890625</v>
      </c>
    </row>
    <row r="21" spans="1:23" x14ac:dyDescent="0.3">
      <c r="A21" s="36">
        <v>45940</v>
      </c>
      <c r="B21" s="45">
        <f t="shared" si="9"/>
        <v>100.752</v>
      </c>
      <c r="C21" s="31">
        <f t="shared" ref="C21" si="13">(B21-$B$14)/100*$B$5</f>
        <v>14279.999999998552</v>
      </c>
      <c r="D21" s="32">
        <f t="shared" ref="D21" si="14">(A21-$A$14)/360*$B$6*$B$5-(A21-$A$14)/360*$B$7*$B$5*$B$14/100</f>
        <v>2161.2675000000036</v>
      </c>
      <c r="E21" s="76">
        <f t="shared" si="10"/>
        <v>101.6875</v>
      </c>
      <c r="F21" s="31">
        <f t="shared" ref="F21" si="15">(E21-$E$14)/100*$C$5</f>
        <v>107372.00000000054</v>
      </c>
      <c r="G21" s="32">
        <f t="shared" ref="G21" si="16">(A21-$A$14)/360*$C$6*$C$5-(A21-$A$14)/360*$C$7*$C$5*$E$14/100</f>
        <v>-61.150359999995999</v>
      </c>
      <c r="H21" s="4">
        <f t="shared" si="11"/>
        <v>94.251000000000005</v>
      </c>
      <c r="I21" s="31">
        <f t="shared" ref="I21" si="17">(H21-$H$14)/100*$D$5</f>
        <v>-6199.9999999997617</v>
      </c>
      <c r="J21" s="32">
        <f t="shared" ref="J21" si="18">(A21-$A$14)/360*$D$6*$D$5-(A21-$A$14)/360*$D$7*$D$5*$H$14/100</f>
        <v>1728.6718750000009</v>
      </c>
      <c r="K21" s="76">
        <f t="shared" si="12"/>
        <v>101.828125</v>
      </c>
      <c r="L21" s="31">
        <f t="shared" ref="L21" si="19">(K21-$K$14)/100*$E$5</f>
        <v>64307.250000000124</v>
      </c>
      <c r="M21" s="32">
        <f t="shared" ref="M21" si="20">(A21-$A$14)/360*$E$6*$E$5-(A21-$A$14)/360*$E$7*$E$5*$K$14/100</f>
        <v>532.80874500000118</v>
      </c>
      <c r="N21" s="82">
        <f t="shared" ref="N21" si="21">C21+D21-F21-G21-I21-J21+L21+M21</f>
        <v>-21558.195270002099</v>
      </c>
      <c r="P21" s="129">
        <v>45929.625</v>
      </c>
      <c r="Q21" s="54">
        <v>100.789</v>
      </c>
      <c r="R21" s="129">
        <v>45811.625</v>
      </c>
      <c r="S21" s="54">
        <v>98.34375</v>
      </c>
      <c r="T21" s="129">
        <v>45779.625</v>
      </c>
      <c r="U21" s="54">
        <v>87.135999999999996</v>
      </c>
      <c r="V21" s="129">
        <v>45813.625</v>
      </c>
      <c r="W21" s="54">
        <v>97.953125</v>
      </c>
    </row>
    <row r="22" spans="1:23" x14ac:dyDescent="0.3">
      <c r="A22" s="36">
        <v>45943</v>
      </c>
      <c r="B22" s="45">
        <f t="shared" si="9"/>
        <v>100.752</v>
      </c>
      <c r="C22" s="31">
        <f t="shared" ref="C22" si="22">(B22-$B$14)/100*$B$5</f>
        <v>14279.999999998552</v>
      </c>
      <c r="D22" s="32">
        <f t="shared" ref="D22" si="23">(A22-$A$14)/360*$B$6*$B$5-(A22-$A$14)/360*$B$7*$B$5*$B$14/100</f>
        <v>2881.6900000000023</v>
      </c>
      <c r="E22" s="76">
        <f t="shared" si="10"/>
        <v>101.84375</v>
      </c>
      <c r="F22" s="31">
        <f t="shared" ref="F22" si="24">(E22-$E$14)/100*$C$5</f>
        <v>128622.00000000052</v>
      </c>
      <c r="G22" s="32">
        <f t="shared" ref="G22" si="25">(A22-$A$14)/360*$C$6*$C$5-(A22-$A$14)/360*$C$7*$C$5*$E$14/100</f>
        <v>-81.533813333327998</v>
      </c>
      <c r="H22" s="4">
        <f t="shared" si="11"/>
        <v>94.251000000000005</v>
      </c>
      <c r="I22" s="31">
        <f t="shared" ref="I22" si="26">(H22-$H$14)/100*$D$5</f>
        <v>-6199.9999999997617</v>
      </c>
      <c r="J22" s="32">
        <f t="shared" ref="J22" si="27">(A22-$A$14)/360*$D$6*$D$5-(A22-$A$14)/360*$D$7*$D$5*$H$14/100</f>
        <v>2304.8958333333348</v>
      </c>
      <c r="K22" s="76">
        <f t="shared" si="12"/>
        <v>102.0625</v>
      </c>
      <c r="L22" s="31">
        <f t="shared" ref="L22" si="28">(K22-$K$14)/100*$E$5</f>
        <v>74151.000000000116</v>
      </c>
      <c r="M22" s="32">
        <f t="shared" ref="M22" si="29">(A22-$A$14)/360*$E$6*$E$5-(A22-$A$14)/360*$E$7*$E$5*$K$14/100</f>
        <v>710.41166000000067</v>
      </c>
      <c r="N22" s="82">
        <f t="shared" ref="N22" si="30">C22+D22-F22-G22-I22-J22+L22+M22</f>
        <v>-32622.260360002092</v>
      </c>
      <c r="P22" s="129">
        <v>45930.625</v>
      </c>
      <c r="Q22" s="54">
        <v>100.753</v>
      </c>
      <c r="R22" s="129">
        <v>45812.625</v>
      </c>
      <c r="S22" s="54">
        <v>99.125</v>
      </c>
      <c r="T22" s="129">
        <v>45782.625</v>
      </c>
      <c r="U22" s="54">
        <v>86.95</v>
      </c>
      <c r="V22" s="129">
        <v>45814.625</v>
      </c>
      <c r="W22" s="54">
        <v>96.71875</v>
      </c>
    </row>
    <row r="23" spans="1:23" x14ac:dyDescent="0.3">
      <c r="A23" s="36">
        <v>45944</v>
      </c>
      <c r="B23" s="45">
        <f t="shared" si="9"/>
        <v>101.08</v>
      </c>
      <c r="C23" s="31">
        <f t="shared" ref="C23" si="31">(B23-$B$14)/100*$B$5</f>
        <v>60199.999999998967</v>
      </c>
      <c r="D23" s="32">
        <f t="shared" ref="D23" si="32">(A23-$A$14)/360*$B$6*$B$5-(A23-$A$14)/360*$B$7*$B$5*$B$14/100</f>
        <v>3121.8308333333371</v>
      </c>
      <c r="E23" s="76">
        <f t="shared" si="10"/>
        <v>101.953125</v>
      </c>
      <c r="F23" s="31">
        <f t="shared" ref="F23" si="33">(E23-$E$14)/100*$C$5</f>
        <v>143497.00000000052</v>
      </c>
      <c r="G23" s="32">
        <f t="shared" ref="G23" si="34">(A23-$A$14)/360*$C$6*$C$5-(A23-$A$14)/360*$C$7*$C$5*$E$14/100</f>
        <v>-88.328297777770786</v>
      </c>
      <c r="H23" s="4">
        <f t="shared" si="11"/>
        <v>94.539000000000001</v>
      </c>
      <c r="I23" s="31">
        <f t="shared" ref="I23" si="35">(H23-$H$14)/100*$D$5</f>
        <v>8200.0000000000728</v>
      </c>
      <c r="J23" s="32">
        <f t="shared" ref="J23" si="36">(A23-$A$14)/360*$D$6*$D$5-(A23-$A$14)/360*$D$7*$D$5*$H$14/100</f>
        <v>2496.9704861111104</v>
      </c>
      <c r="K23" s="76">
        <f t="shared" si="12"/>
        <v>102.109375</v>
      </c>
      <c r="L23" s="31">
        <f t="shared" ref="L23" si="37">(K23-$K$14)/100*$E$5</f>
        <v>76119.750000000116</v>
      </c>
      <c r="M23" s="32">
        <f t="shared" ref="M23" si="38">(A23-$A$14)/360*$E$6*$E$5-(A23-$A$14)/360*$E$7*$E$5*$K$14/100</f>
        <v>769.61263166666686</v>
      </c>
      <c r="N23" s="82">
        <f t="shared" ref="N23" si="39">C23+D23-F23-G23-I23-J23+L23+M23</f>
        <v>-13894.448723334845</v>
      </c>
      <c r="P23" s="129">
        <v>45931.625</v>
      </c>
      <c r="Q23" s="54">
        <v>100.90300000000001</v>
      </c>
      <c r="R23" s="129">
        <v>45813.625</v>
      </c>
      <c r="S23" s="54">
        <v>98.859375</v>
      </c>
      <c r="T23" s="129">
        <v>45783.625</v>
      </c>
      <c r="U23" s="54">
        <v>86.616</v>
      </c>
      <c r="V23" s="129">
        <v>45817.625</v>
      </c>
      <c r="W23" s="54">
        <v>96.8125</v>
      </c>
    </row>
    <row r="24" spans="1:23" x14ac:dyDescent="0.3">
      <c r="A24" s="36">
        <v>45945</v>
      </c>
      <c r="B24" s="45">
        <f t="shared" si="9"/>
        <v>101.08</v>
      </c>
      <c r="C24" s="31">
        <f t="shared" ref="C24" si="40">(B24-$B$14)/100*$B$5</f>
        <v>60199.999999998967</v>
      </c>
      <c r="D24" s="32">
        <f t="shared" ref="D24" si="41">(A24-$A$14)/360*$B$6*$B$5-(A24-$A$14)/360*$B$7*$B$5*$B$14/100</f>
        <v>3361.9716666666682</v>
      </c>
      <c r="E24" s="76">
        <f t="shared" si="10"/>
        <v>101.828125</v>
      </c>
      <c r="F24" s="31">
        <f t="shared" ref="F24" si="42">(E24-$E$14)/100*$C$5</f>
        <v>126497.00000000052</v>
      </c>
      <c r="G24" s="32">
        <f t="shared" ref="G24" si="43">(A24-$A$14)/360*$C$6*$C$5-(A24-$A$14)/360*$C$7*$C$5*$E$14/100</f>
        <v>-95.122782222217211</v>
      </c>
      <c r="H24" s="4">
        <f t="shared" si="11"/>
        <v>94.89</v>
      </c>
      <c r="I24" s="31">
        <f t="shared" ref="I24" si="44">(H24-$H$14)/100*$D$5</f>
        <v>25750.000000000025</v>
      </c>
      <c r="J24" s="32">
        <f t="shared" ref="J24" si="45">(A24-$A$14)/360*$D$6*$D$5-(A24-$A$14)/360*$D$7*$D$5*$H$14/100</f>
        <v>2689.0451388888887</v>
      </c>
      <c r="K24" s="76">
        <f t="shared" si="12"/>
        <v>101.890625</v>
      </c>
      <c r="L24" s="31">
        <f t="shared" ref="L24" si="46">(K24-$K$14)/100*$E$5</f>
        <v>66932.250000000131</v>
      </c>
      <c r="M24" s="32">
        <f t="shared" ref="M24" si="47">(A24-$A$14)/360*$E$6*$E$5-(A24-$A$14)/360*$E$7*$E$5*$K$14/100</f>
        <v>828.81360333333396</v>
      </c>
      <c r="N24" s="82">
        <f t="shared" ref="N24" si="48">C24+D24-F24-G24-I24-J24+L24+M24</f>
        <v>-23517.887086668132</v>
      </c>
      <c r="P24" s="129">
        <v>45932.625</v>
      </c>
      <c r="Q24" s="54">
        <v>100.93300000000001</v>
      </c>
      <c r="R24" s="129">
        <v>45814.625</v>
      </c>
      <c r="S24" s="54">
        <v>97.984375</v>
      </c>
      <c r="T24" s="129">
        <v>45784.625</v>
      </c>
      <c r="U24" s="54">
        <v>86.994</v>
      </c>
      <c r="V24" s="129">
        <v>45818.625</v>
      </c>
      <c r="W24" s="54">
        <v>97.265625</v>
      </c>
    </row>
    <row r="25" spans="1:23" x14ac:dyDescent="0.3">
      <c r="A25" s="36">
        <v>45946</v>
      </c>
      <c r="B25" s="45">
        <f t="shared" ref="B25" si="49">VLOOKUP(A25+$H$2,P:Q,2)</f>
        <v>101.307</v>
      </c>
      <c r="C25" s="31">
        <f t="shared" ref="C25:C26" si="50">(B25-$B$14)/100*$B$5</f>
        <v>91979.999999999505</v>
      </c>
      <c r="D25" s="32">
        <f t="shared" ref="D25:D26" si="51">(A25-$A$14)/360*$B$6*$B$5-(A25-$A$14)/360*$B$7*$B$5*$B$14/100</f>
        <v>3602.1124999999993</v>
      </c>
      <c r="E25" s="76">
        <f t="shared" ref="E25" si="52">VLOOKUP(A25+$H$2,R:S,2)</f>
        <v>102.328125</v>
      </c>
      <c r="F25" s="31">
        <f t="shared" ref="F25:F26" si="53">(E25-$E$14)/100*$C$5</f>
        <v>194497.00000000052</v>
      </c>
      <c r="G25" s="32">
        <f t="shared" ref="G25:G26" si="54">(A25-$A$14)/360*$C$6*$C$5-(A25-$A$14)/360*$C$7*$C$5*$E$14/100</f>
        <v>-101.91726666666</v>
      </c>
      <c r="H25" s="4">
        <f t="shared" ref="H25" si="55">VLOOKUP(A25+$H$2,T:U,2)</f>
        <v>94.99</v>
      </c>
      <c r="I25" s="31">
        <f t="shared" ref="I25:I26" si="56">(H25-$H$14)/100*$D$5</f>
        <v>30749.999999999745</v>
      </c>
      <c r="J25" s="32">
        <f t="shared" ref="J25:J26" si="57">(A25-$A$14)/360*$D$6*$D$5-(A25-$A$14)/360*$D$7*$D$5*$H$14/100</f>
        <v>2881.1197916666661</v>
      </c>
      <c r="K25" s="76">
        <f t="shared" ref="K25" si="58">VLOOKUP(A25+$H$2,V:W,2)</f>
        <v>102.65625</v>
      </c>
      <c r="L25" s="31">
        <f t="shared" ref="L25:L26" si="59">(K25-$K$14)/100*$E$5</f>
        <v>99088.500000000131</v>
      </c>
      <c r="M25" s="32">
        <f t="shared" ref="M25:M26" si="60">(A25-$A$14)/360*$E$6*$E$5-(A25-$A$14)/360*$E$7*$E$5*$K$14/100</f>
        <v>888.01457499999924</v>
      </c>
      <c r="N25" s="82">
        <f t="shared" ref="N25:N26" si="61">C25+D25-F25-G25-I25-J25+L25+M25</f>
        <v>-32467.575450000637</v>
      </c>
      <c r="P25" s="129">
        <v>45933.625</v>
      </c>
      <c r="Q25" s="54">
        <v>100.828</v>
      </c>
      <c r="R25" s="129">
        <v>45817.625</v>
      </c>
      <c r="S25" s="54">
        <v>98.109375</v>
      </c>
      <c r="T25" s="129">
        <v>45785.625</v>
      </c>
      <c r="U25" s="54">
        <v>86.653999999999996</v>
      </c>
      <c r="V25" s="129">
        <v>45819.625</v>
      </c>
      <c r="W25" s="54">
        <v>97.515625</v>
      </c>
    </row>
    <row r="26" spans="1:23" x14ac:dyDescent="0.3">
      <c r="A26" s="131">
        <v>45947</v>
      </c>
      <c r="B26" s="45">
        <f>B10</f>
        <v>101.355</v>
      </c>
      <c r="C26" s="31">
        <f t="shared" si="50"/>
        <v>98699.999999999767</v>
      </c>
      <c r="D26" s="32">
        <f t="shared" si="51"/>
        <v>3842.2533333333377</v>
      </c>
      <c r="E26" s="76">
        <f>C10</f>
        <v>102.140625</v>
      </c>
      <c r="F26" s="31">
        <f t="shared" si="53"/>
        <v>168997.00000000052</v>
      </c>
      <c r="G26" s="32">
        <f t="shared" si="54"/>
        <v>-108.71175111110279</v>
      </c>
      <c r="H26" s="4">
        <f>D10</f>
        <v>95.192999999999998</v>
      </c>
      <c r="I26" s="31">
        <f t="shared" si="56"/>
        <v>40899.999999999898</v>
      </c>
      <c r="J26" s="32">
        <f t="shared" si="57"/>
        <v>3073.1944444444434</v>
      </c>
      <c r="K26" s="76">
        <f>E10</f>
        <v>102.46875</v>
      </c>
      <c r="L26" s="31">
        <f t="shared" si="59"/>
        <v>91213.500000000116</v>
      </c>
      <c r="M26" s="32">
        <f t="shared" si="60"/>
        <v>947.21554666666816</v>
      </c>
      <c r="N26" s="82">
        <f t="shared" si="61"/>
        <v>-18158.51381333387</v>
      </c>
      <c r="P26" s="129">
        <v>45936.625</v>
      </c>
      <c r="Q26" s="54">
        <v>100.62</v>
      </c>
      <c r="R26" s="129">
        <v>45818.625</v>
      </c>
      <c r="S26" s="54">
        <v>98.296875</v>
      </c>
      <c r="T26" s="129">
        <v>45786.625</v>
      </c>
      <c r="U26" s="54">
        <v>86.421999999999997</v>
      </c>
      <c r="V26" s="129">
        <v>45820.625</v>
      </c>
      <c r="W26" s="54">
        <v>98.640625</v>
      </c>
    </row>
    <row r="27" spans="1:23" x14ac:dyDescent="0.3">
      <c r="A27" s="131">
        <v>45950</v>
      </c>
      <c r="B27" s="56"/>
      <c r="C27" s="57"/>
      <c r="D27" s="57"/>
      <c r="E27" s="4"/>
      <c r="F27" s="31"/>
      <c r="G27" s="32"/>
      <c r="H27" s="4"/>
      <c r="I27" s="31"/>
      <c r="J27" s="32"/>
      <c r="K27" s="4"/>
      <c r="L27" s="31"/>
      <c r="M27" s="32"/>
      <c r="N27" s="82"/>
      <c r="P27" s="129">
        <v>45937.625</v>
      </c>
      <c r="Q27" s="54">
        <v>100.702</v>
      </c>
      <c r="R27" s="129">
        <v>45819.625</v>
      </c>
      <c r="S27" s="54">
        <v>98.703125</v>
      </c>
      <c r="T27" s="129">
        <v>45789.625</v>
      </c>
      <c r="U27" s="54">
        <v>86.483000000000004</v>
      </c>
      <c r="V27" s="129">
        <v>45821.625</v>
      </c>
      <c r="W27" s="54">
        <v>97.609375</v>
      </c>
    </row>
    <row r="28" spans="1:23" x14ac:dyDescent="0.3">
      <c r="A28" s="131">
        <v>45951</v>
      </c>
      <c r="B28" s="45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2"/>
      <c r="P28" s="129">
        <v>45938.625</v>
      </c>
      <c r="Q28" s="54">
        <v>100.80800000000001</v>
      </c>
      <c r="R28" s="129">
        <v>45820.625</v>
      </c>
      <c r="S28" s="54">
        <v>99.1875</v>
      </c>
      <c r="T28" s="129">
        <v>45790.625</v>
      </c>
      <c r="U28" s="54">
        <v>86.486000000000004</v>
      </c>
      <c r="V28" s="129">
        <v>45824.625</v>
      </c>
      <c r="W28" s="54">
        <v>96.6875</v>
      </c>
    </row>
    <row r="29" spans="1:23" x14ac:dyDescent="0.3">
      <c r="A29" s="131">
        <v>45952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2"/>
      <c r="P29" s="129">
        <v>45939.625</v>
      </c>
      <c r="Q29" s="54">
        <v>100.664</v>
      </c>
      <c r="R29" s="129">
        <v>45821.625</v>
      </c>
      <c r="S29" s="54">
        <v>98.71875</v>
      </c>
      <c r="T29" s="129">
        <v>45791.625</v>
      </c>
      <c r="U29" s="54">
        <v>86.606999999999999</v>
      </c>
      <c r="V29" s="129">
        <v>45825.625</v>
      </c>
      <c r="W29" s="54">
        <v>97.828125</v>
      </c>
    </row>
    <row r="30" spans="1:23" x14ac:dyDescent="0.3">
      <c r="A30" s="131">
        <v>45953</v>
      </c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8"/>
      <c r="P30" s="129">
        <v>45940.625</v>
      </c>
      <c r="Q30" s="54">
        <v>100.752</v>
      </c>
      <c r="R30" s="129">
        <v>45824.625</v>
      </c>
      <c r="S30" s="54">
        <v>98.359375</v>
      </c>
      <c r="T30" s="129">
        <v>45792.625</v>
      </c>
      <c r="U30" s="54">
        <v>86.656999999999996</v>
      </c>
      <c r="V30" s="129">
        <v>45826.625</v>
      </c>
      <c r="W30" s="54">
        <v>97.96875</v>
      </c>
    </row>
    <row r="31" spans="1:23" x14ac:dyDescent="0.3">
      <c r="A31" s="131">
        <v>45954</v>
      </c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129">
        <v>45944.625</v>
      </c>
      <c r="Q31" s="54">
        <v>101.08</v>
      </c>
      <c r="R31" s="129">
        <v>45825.625</v>
      </c>
      <c r="S31" s="54">
        <v>98.90625</v>
      </c>
      <c r="T31" s="129">
        <v>45793.625</v>
      </c>
      <c r="U31" s="54">
        <v>87.087000000000003</v>
      </c>
      <c r="V31" s="129">
        <v>45827.625</v>
      </c>
      <c r="W31" s="54">
        <v>97.828125</v>
      </c>
    </row>
    <row r="32" spans="1:23" x14ac:dyDescent="0.3">
      <c r="A32" s="131">
        <v>45955</v>
      </c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129">
        <v>45945.625</v>
      </c>
      <c r="Q32" s="54">
        <v>101.08</v>
      </c>
      <c r="R32" s="129">
        <v>45826.625</v>
      </c>
      <c r="S32" s="54">
        <v>98.953125</v>
      </c>
      <c r="T32" s="129">
        <v>45796.625</v>
      </c>
      <c r="U32" s="54">
        <v>86.361000000000004</v>
      </c>
      <c r="V32" s="129">
        <v>45828.625</v>
      </c>
      <c r="W32" s="54">
        <v>97.734375</v>
      </c>
    </row>
    <row r="33" spans="1:23" x14ac:dyDescent="0.3">
      <c r="A33" s="131">
        <v>45956</v>
      </c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129">
        <v>45946.625</v>
      </c>
      <c r="Q33" s="54">
        <v>101.307</v>
      </c>
      <c r="R33" s="129">
        <v>45827.625</v>
      </c>
      <c r="S33" s="54">
        <v>98.875</v>
      </c>
      <c r="T33" s="129">
        <v>45797.625</v>
      </c>
      <c r="U33" s="54">
        <v>86.387</v>
      </c>
      <c r="V33" s="129">
        <v>45831.625</v>
      </c>
      <c r="W33" s="54">
        <v>98.03125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R34" s="129">
        <v>45828.625</v>
      </c>
      <c r="S34" s="54">
        <v>98.96875</v>
      </c>
      <c r="T34" s="129">
        <v>45798.625</v>
      </c>
      <c r="U34" s="54">
        <v>85.781000000000006</v>
      </c>
      <c r="V34" s="129">
        <v>45832.625</v>
      </c>
      <c r="W34" s="54">
        <v>98.703125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R35" s="129">
        <v>45831.625</v>
      </c>
      <c r="S35" s="54">
        <v>99.296875</v>
      </c>
      <c r="T35" s="129">
        <v>45799.625</v>
      </c>
      <c r="U35" s="54">
        <v>85.341999999999999</v>
      </c>
      <c r="V35" s="129">
        <v>45833.625</v>
      </c>
      <c r="W35" s="54">
        <v>98.75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R36" s="129">
        <v>45832.625</v>
      </c>
      <c r="S36" s="54">
        <v>99.671875</v>
      </c>
      <c r="T36" s="129">
        <v>45804.625</v>
      </c>
      <c r="U36" s="54">
        <v>86.376999999999995</v>
      </c>
      <c r="V36" s="129">
        <v>45834.625</v>
      </c>
      <c r="W36" s="54">
        <v>99.203125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R37" s="129">
        <v>45833.625</v>
      </c>
      <c r="S37" s="54">
        <v>99.71875</v>
      </c>
      <c r="T37" s="129">
        <v>45805.625</v>
      </c>
      <c r="U37" s="54">
        <v>86.234999999999999</v>
      </c>
      <c r="V37" s="129">
        <v>45835.625</v>
      </c>
      <c r="W37" s="54">
        <v>98.515625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R38" s="129">
        <v>45834.625</v>
      </c>
      <c r="S38" s="54">
        <v>100.0625</v>
      </c>
      <c r="T38" s="129">
        <v>45806.625</v>
      </c>
      <c r="U38" s="54">
        <v>86.704999999999998</v>
      </c>
      <c r="V38" s="129">
        <v>45838.625</v>
      </c>
      <c r="W38" s="54">
        <v>99.453125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R39" s="129">
        <v>45835.625</v>
      </c>
      <c r="S39" s="54">
        <v>99.734375</v>
      </c>
      <c r="T39" s="129">
        <v>45807.625</v>
      </c>
      <c r="U39" s="54">
        <v>86.674999999999997</v>
      </c>
      <c r="V39" s="129">
        <v>45839.625</v>
      </c>
      <c r="W39" s="54">
        <v>99.65625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R40" s="129">
        <v>45838.625</v>
      </c>
      <c r="S40" s="54">
        <v>100.171875</v>
      </c>
      <c r="T40" s="129">
        <v>45810.625</v>
      </c>
      <c r="U40" s="54">
        <v>86.381</v>
      </c>
      <c r="V40" s="129">
        <v>45840.625</v>
      </c>
      <c r="W40" s="54">
        <v>99.015625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R41" s="129">
        <v>45839.625</v>
      </c>
      <c r="S41" s="54">
        <v>100</v>
      </c>
      <c r="T41" s="129">
        <v>45811.625</v>
      </c>
      <c r="U41" s="54">
        <v>86.587999999999994</v>
      </c>
      <c r="V41" s="129">
        <v>45842.625</v>
      </c>
      <c r="W41" s="54">
        <v>98.25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R42" s="129">
        <v>45840.625</v>
      </c>
      <c r="S42" s="54">
        <v>99.734375</v>
      </c>
      <c r="T42" s="129">
        <v>45812.625</v>
      </c>
      <c r="U42" s="54">
        <v>87.248000000000005</v>
      </c>
      <c r="V42" s="129">
        <v>45845.625</v>
      </c>
      <c r="W42" s="54">
        <v>97.375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R43" s="129">
        <v>45842.625</v>
      </c>
      <c r="S43" s="54">
        <v>99.234375</v>
      </c>
      <c r="T43" s="129">
        <v>45813.625</v>
      </c>
      <c r="U43" s="54">
        <v>87.323999999999998</v>
      </c>
      <c r="V43" s="129">
        <v>45846.625</v>
      </c>
      <c r="W43" s="54">
        <v>97.234375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R44" s="129">
        <v>45845.625</v>
      </c>
      <c r="S44" s="54">
        <v>98.9375</v>
      </c>
      <c r="T44" s="129">
        <v>45814.625</v>
      </c>
      <c r="U44" s="54">
        <v>86.8</v>
      </c>
      <c r="V44" s="129">
        <v>45847.625</v>
      </c>
      <c r="W44" s="54">
        <v>98.15625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R45" s="129">
        <v>45846.625</v>
      </c>
      <c r="S45" s="54">
        <v>98.765625</v>
      </c>
      <c r="T45" s="129">
        <v>45817.625</v>
      </c>
      <c r="U45" s="54">
        <v>86.730999999999995</v>
      </c>
      <c r="V45" s="129">
        <v>45848.625</v>
      </c>
      <c r="W45" s="54">
        <v>98.21875</v>
      </c>
    </row>
    <row r="46" spans="1:23" x14ac:dyDescent="0.3">
      <c r="B46" s="58"/>
      <c r="C46" s="58"/>
      <c r="D46" s="58"/>
      <c r="R46" s="129">
        <v>45847.625</v>
      </c>
      <c r="S46" s="54">
        <v>99.296875</v>
      </c>
      <c r="T46" s="129">
        <v>45818.625</v>
      </c>
      <c r="U46" s="54">
        <v>87.043999999999997</v>
      </c>
      <c r="V46" s="129">
        <v>45849.625</v>
      </c>
      <c r="W46" s="54">
        <v>96.828125</v>
      </c>
    </row>
    <row r="47" spans="1:23" x14ac:dyDescent="0.3">
      <c r="B47" s="58"/>
      <c r="C47" s="58"/>
      <c r="D47" s="58"/>
      <c r="R47" s="129">
        <v>45848.625</v>
      </c>
      <c r="S47" s="54">
        <v>99.25</v>
      </c>
      <c r="T47" s="129">
        <v>45819.625</v>
      </c>
      <c r="U47" s="54">
        <v>87.248000000000005</v>
      </c>
      <c r="V47" s="129">
        <v>45852.625</v>
      </c>
      <c r="W47" s="54">
        <v>96.625</v>
      </c>
    </row>
    <row r="48" spans="1:23" x14ac:dyDescent="0.3">
      <c r="B48" s="58"/>
      <c r="C48" s="58"/>
      <c r="D48" s="58"/>
      <c r="R48" s="129">
        <v>45849.625</v>
      </c>
      <c r="S48" s="54">
        <v>98.671875</v>
      </c>
      <c r="T48" s="129">
        <v>45820.625</v>
      </c>
      <c r="U48" s="54">
        <v>87.465999999999994</v>
      </c>
      <c r="V48" s="129">
        <v>45853.625</v>
      </c>
      <c r="W48" s="54">
        <v>95.984375</v>
      </c>
    </row>
    <row r="49" spans="2:23" x14ac:dyDescent="0.3">
      <c r="B49" s="58"/>
      <c r="C49" s="58"/>
      <c r="D49" s="58"/>
      <c r="R49" s="129">
        <v>45852.625</v>
      </c>
      <c r="S49" s="54">
        <v>98.609375</v>
      </c>
      <c r="T49" s="129">
        <v>45821.625</v>
      </c>
      <c r="U49" s="54">
        <v>86.977999999999994</v>
      </c>
      <c r="V49" s="129">
        <v>45854.625</v>
      </c>
      <c r="W49" s="54">
        <v>96.078125</v>
      </c>
    </row>
    <row r="50" spans="2:23" x14ac:dyDescent="0.3">
      <c r="B50" s="58"/>
      <c r="C50" s="58"/>
      <c r="D50" s="58"/>
      <c r="R50" s="129">
        <v>45853.625</v>
      </c>
      <c r="S50" s="54">
        <v>98.171875</v>
      </c>
      <c r="T50" s="129">
        <v>45824.625</v>
      </c>
      <c r="U50" s="54">
        <v>86.965000000000003</v>
      </c>
      <c r="V50" s="129">
        <v>45855.625</v>
      </c>
      <c r="W50" s="54">
        <v>96.0625</v>
      </c>
    </row>
    <row r="51" spans="2:23" x14ac:dyDescent="0.3">
      <c r="B51" s="58"/>
      <c r="C51" s="58"/>
      <c r="D51" s="58"/>
      <c r="R51" s="129">
        <v>45854.625</v>
      </c>
      <c r="S51" s="54">
        <v>98.4375</v>
      </c>
      <c r="T51" s="129">
        <v>45825.625</v>
      </c>
      <c r="U51" s="54">
        <v>87.016999999999996</v>
      </c>
      <c r="V51" s="129">
        <v>45856.625</v>
      </c>
      <c r="W51" s="54">
        <v>96.1875</v>
      </c>
    </row>
    <row r="52" spans="2:23" x14ac:dyDescent="0.3">
      <c r="B52" s="58"/>
      <c r="C52" s="58"/>
      <c r="D52" s="58"/>
      <c r="R52" s="129">
        <v>45855.625</v>
      </c>
      <c r="S52" s="54">
        <v>98.375</v>
      </c>
      <c r="T52" s="129">
        <v>45826.625</v>
      </c>
      <c r="U52" s="54">
        <v>87.179000000000002</v>
      </c>
      <c r="V52" s="129">
        <v>45859.625</v>
      </c>
      <c r="W52" s="54">
        <v>96.953125</v>
      </c>
    </row>
    <row r="53" spans="2:23" x14ac:dyDescent="0.3">
      <c r="B53" s="58"/>
      <c r="C53" s="58"/>
      <c r="D53" s="58"/>
      <c r="R53" s="129">
        <v>45856.625</v>
      </c>
      <c r="S53" s="54">
        <v>98.609375</v>
      </c>
      <c r="T53" s="129">
        <v>45828.625</v>
      </c>
      <c r="U53" s="54">
        <v>87.057000000000002</v>
      </c>
      <c r="V53" s="129">
        <v>45860.625</v>
      </c>
      <c r="W53" s="54">
        <v>97.46875</v>
      </c>
    </row>
    <row r="54" spans="2:23" x14ac:dyDescent="0.3">
      <c r="R54" s="129">
        <v>45859.625</v>
      </c>
      <c r="S54" s="54">
        <v>98.96875</v>
      </c>
      <c r="T54" s="129">
        <v>45831.625</v>
      </c>
      <c r="U54" s="54">
        <v>87.498999999999995</v>
      </c>
      <c r="V54" s="129">
        <v>45861.625</v>
      </c>
      <c r="W54" s="54">
        <v>96.953125</v>
      </c>
    </row>
    <row r="55" spans="2:23" x14ac:dyDescent="0.3">
      <c r="R55" s="129">
        <v>45860.625</v>
      </c>
      <c r="S55" s="54">
        <v>99.28125</v>
      </c>
      <c r="T55" s="129">
        <v>45832.625</v>
      </c>
      <c r="U55" s="54">
        <v>87.813000000000002</v>
      </c>
      <c r="V55" s="129">
        <v>45862.625</v>
      </c>
      <c r="W55" s="54">
        <v>96.8125</v>
      </c>
    </row>
    <row r="56" spans="2:23" x14ac:dyDescent="0.3">
      <c r="R56" s="129">
        <v>45861.625</v>
      </c>
      <c r="S56" s="54">
        <v>98.90625</v>
      </c>
      <c r="T56" s="129">
        <v>45833.625</v>
      </c>
      <c r="U56" s="54">
        <v>88.256</v>
      </c>
      <c r="V56" s="129">
        <v>45863.625</v>
      </c>
      <c r="W56" s="54">
        <v>97.34375</v>
      </c>
    </row>
    <row r="57" spans="2:23" x14ac:dyDescent="0.3">
      <c r="R57" s="129">
        <v>45862.625</v>
      </c>
      <c r="S57" s="54">
        <v>98.734375</v>
      </c>
      <c r="T57" s="129">
        <v>45834.625</v>
      </c>
      <c r="U57" s="54">
        <v>88.537999999999997</v>
      </c>
      <c r="V57" s="129">
        <v>45866.625</v>
      </c>
      <c r="W57" s="54">
        <v>96.765625</v>
      </c>
    </row>
    <row r="58" spans="2:23" x14ac:dyDescent="0.3">
      <c r="R58" s="129">
        <v>45863.625</v>
      </c>
      <c r="S58" s="54">
        <v>98.953125</v>
      </c>
      <c r="T58" s="129">
        <v>45835.625</v>
      </c>
      <c r="U58" s="54">
        <v>88.67</v>
      </c>
      <c r="V58" s="129">
        <v>45867.625</v>
      </c>
      <c r="W58" s="54">
        <v>98.328125</v>
      </c>
    </row>
    <row r="59" spans="2:23" x14ac:dyDescent="0.3">
      <c r="R59" s="129">
        <v>45866.625</v>
      </c>
      <c r="S59" s="54">
        <v>98.71875</v>
      </c>
      <c r="T59" s="129">
        <v>45838.625</v>
      </c>
      <c r="U59" s="54">
        <v>88.741</v>
      </c>
      <c r="V59" s="129">
        <v>45868.625</v>
      </c>
      <c r="W59" s="54">
        <v>97.75</v>
      </c>
    </row>
    <row r="60" spans="2:23" x14ac:dyDescent="0.3">
      <c r="R60" s="129">
        <v>45867.625</v>
      </c>
      <c r="S60" s="54">
        <v>99.4375</v>
      </c>
      <c r="T60" s="129">
        <v>45839.625</v>
      </c>
      <c r="U60" s="54">
        <v>89.156000000000006</v>
      </c>
      <c r="V60" s="129">
        <v>45869.625</v>
      </c>
      <c r="W60" s="54">
        <v>97.828125</v>
      </c>
    </row>
    <row r="61" spans="2:23" x14ac:dyDescent="0.3">
      <c r="R61" s="129">
        <v>45868.625</v>
      </c>
      <c r="S61" s="54">
        <v>99.078125</v>
      </c>
      <c r="T61" s="129">
        <v>45840.625</v>
      </c>
      <c r="U61" s="54">
        <v>89.039000000000001</v>
      </c>
      <c r="V61" s="129">
        <v>45870.625</v>
      </c>
      <c r="W61" s="54">
        <v>99.046875</v>
      </c>
    </row>
    <row r="62" spans="2:23" x14ac:dyDescent="0.3">
      <c r="R62" s="129">
        <v>45869.625</v>
      </c>
      <c r="S62" s="54">
        <v>99.140625</v>
      </c>
      <c r="T62" s="129">
        <v>45845.625</v>
      </c>
      <c r="U62" s="54">
        <v>88.873000000000005</v>
      </c>
      <c r="V62" s="129">
        <v>45873.625</v>
      </c>
      <c r="W62" s="54">
        <v>99.296875</v>
      </c>
    </row>
    <row r="63" spans="2:23" x14ac:dyDescent="0.3">
      <c r="R63" s="129">
        <v>45870.625</v>
      </c>
      <c r="S63" s="54">
        <v>100.296875</v>
      </c>
      <c r="T63" s="129">
        <v>45846.625</v>
      </c>
      <c r="U63" s="54">
        <v>88.649000000000001</v>
      </c>
      <c r="V63" s="129">
        <v>45874.625</v>
      </c>
      <c r="W63" s="54">
        <v>99.625</v>
      </c>
    </row>
    <row r="64" spans="2:23" x14ac:dyDescent="0.3">
      <c r="R64" s="129">
        <v>45873.625</v>
      </c>
      <c r="S64" s="54">
        <v>100.40625</v>
      </c>
      <c r="T64" s="129">
        <v>45847.625</v>
      </c>
      <c r="U64" s="54">
        <v>89.042000000000002</v>
      </c>
      <c r="V64" s="129">
        <v>45875.625</v>
      </c>
      <c r="W64" s="54">
        <v>99</v>
      </c>
    </row>
    <row r="65" spans="18:23" x14ac:dyDescent="0.3">
      <c r="R65" s="129">
        <v>45874.625</v>
      </c>
      <c r="S65" s="54">
        <v>100.390625</v>
      </c>
      <c r="T65" s="129">
        <v>45848.625</v>
      </c>
      <c r="U65" s="54">
        <v>89.186000000000007</v>
      </c>
      <c r="V65" s="129">
        <v>45876.625</v>
      </c>
      <c r="W65" s="54">
        <v>98.84375</v>
      </c>
    </row>
    <row r="66" spans="18:23" x14ac:dyDescent="0.3">
      <c r="R66" s="129">
        <v>45875.625</v>
      </c>
      <c r="S66" s="54">
        <v>100.234375</v>
      </c>
      <c r="T66" s="129">
        <v>45849.625</v>
      </c>
      <c r="U66" s="54">
        <v>88.834000000000003</v>
      </c>
      <c r="V66" s="129">
        <v>45877.625</v>
      </c>
      <c r="W66" s="54">
        <v>98.375</v>
      </c>
    </row>
    <row r="67" spans="18:23" x14ac:dyDescent="0.3">
      <c r="R67" s="129">
        <v>45876.625</v>
      </c>
      <c r="S67" s="54">
        <v>100.171875</v>
      </c>
      <c r="T67" s="129">
        <v>45852.625</v>
      </c>
      <c r="U67" s="54">
        <v>88.548000000000002</v>
      </c>
      <c r="V67" s="129">
        <v>45880.625</v>
      </c>
      <c r="W67" s="54">
        <v>98.46875</v>
      </c>
    </row>
    <row r="68" spans="18:23" x14ac:dyDescent="0.3">
      <c r="R68" s="129">
        <v>45877.625</v>
      </c>
      <c r="S68" s="54">
        <v>99.859375</v>
      </c>
      <c r="T68" s="129">
        <v>45853.625</v>
      </c>
      <c r="U68" s="54">
        <v>88.222999999999999</v>
      </c>
      <c r="V68" s="129">
        <v>45881.625</v>
      </c>
      <c r="W68" s="54">
        <v>97.953125</v>
      </c>
    </row>
    <row r="69" spans="18:23" x14ac:dyDescent="0.3">
      <c r="R69" s="129">
        <v>45880.625</v>
      </c>
      <c r="S69" s="54">
        <v>99.921875</v>
      </c>
      <c r="T69" s="129">
        <v>45854.625</v>
      </c>
      <c r="U69" s="54">
        <v>88.09</v>
      </c>
      <c r="V69" s="129">
        <v>45882.625</v>
      </c>
      <c r="W69" s="54">
        <v>98.765625</v>
      </c>
    </row>
    <row r="70" spans="18:23" x14ac:dyDescent="0.3">
      <c r="R70" s="129">
        <v>45881.625</v>
      </c>
      <c r="S70" s="54">
        <v>99.796875</v>
      </c>
      <c r="T70" s="129">
        <v>45855.625</v>
      </c>
      <c r="U70" s="54">
        <v>88.257000000000005</v>
      </c>
      <c r="V70" s="129">
        <v>45883.625</v>
      </c>
      <c r="W70" s="54">
        <v>98</v>
      </c>
    </row>
    <row r="71" spans="18:23" x14ac:dyDescent="0.3">
      <c r="R71" s="129">
        <v>45882.625</v>
      </c>
      <c r="S71" s="54">
        <v>100.21875</v>
      </c>
      <c r="T71" s="129">
        <v>45856.625</v>
      </c>
      <c r="U71" s="54">
        <v>88.397000000000006</v>
      </c>
      <c r="V71" s="129">
        <v>45884.625</v>
      </c>
      <c r="W71" s="54">
        <v>97.328125</v>
      </c>
    </row>
    <row r="72" spans="18:23" x14ac:dyDescent="0.3">
      <c r="R72" s="129">
        <v>45883.625</v>
      </c>
      <c r="S72" s="54">
        <v>99.8125</v>
      </c>
      <c r="T72" s="129">
        <v>45859.625</v>
      </c>
      <c r="U72" s="54">
        <v>88.954999999999998</v>
      </c>
      <c r="V72" s="129">
        <v>45887.625</v>
      </c>
      <c r="W72" s="54">
        <v>97.015625</v>
      </c>
    </row>
    <row r="73" spans="18:23" x14ac:dyDescent="0.3">
      <c r="R73" s="129">
        <v>45884.625</v>
      </c>
      <c r="S73" s="54">
        <v>99.546875</v>
      </c>
      <c r="T73" s="129">
        <v>45860.625</v>
      </c>
      <c r="U73" s="54">
        <v>89.116</v>
      </c>
      <c r="V73" s="129">
        <v>45888.625</v>
      </c>
      <c r="W73" s="54">
        <v>97.59375</v>
      </c>
    </row>
    <row r="74" spans="18:23" x14ac:dyDescent="0.3">
      <c r="R74" s="129">
        <v>45887.625</v>
      </c>
      <c r="S74" s="54">
        <v>99.421875</v>
      </c>
      <c r="T74" s="129">
        <v>45861.625</v>
      </c>
      <c r="U74" s="54">
        <v>88.831999999999994</v>
      </c>
      <c r="V74" s="129">
        <v>45889.625</v>
      </c>
      <c r="W74" s="54">
        <v>97.75</v>
      </c>
    </row>
    <row r="75" spans="18:23" x14ac:dyDescent="0.3">
      <c r="R75" s="129">
        <v>45888.625</v>
      </c>
      <c r="S75" s="54">
        <v>99.703125</v>
      </c>
      <c r="T75" s="129">
        <v>45862.625</v>
      </c>
      <c r="U75" s="54">
        <v>88.843000000000004</v>
      </c>
      <c r="V75" s="129">
        <v>45890.625</v>
      </c>
      <c r="W75" s="54">
        <v>97.28125</v>
      </c>
    </row>
    <row r="76" spans="18:23" x14ac:dyDescent="0.3">
      <c r="R76" s="129">
        <v>45889.625</v>
      </c>
      <c r="S76" s="54">
        <v>99.828125</v>
      </c>
      <c r="T76" s="129">
        <v>45863.625</v>
      </c>
      <c r="U76" s="54">
        <v>88.879000000000005</v>
      </c>
      <c r="V76" s="129">
        <v>45891.625</v>
      </c>
      <c r="W76" s="54">
        <v>97.90625</v>
      </c>
    </row>
    <row r="77" spans="18:23" x14ac:dyDescent="0.3">
      <c r="R77" s="129">
        <v>45890.625</v>
      </c>
      <c r="S77" s="54">
        <v>99.515625</v>
      </c>
      <c r="T77" s="129">
        <v>45866.625</v>
      </c>
      <c r="U77" s="54">
        <v>89.033000000000001</v>
      </c>
      <c r="V77" s="129">
        <v>45894.625</v>
      </c>
      <c r="W77" s="54">
        <v>97.6875</v>
      </c>
    </row>
    <row r="78" spans="18:23" x14ac:dyDescent="0.3">
      <c r="R78" s="129">
        <v>45891.625</v>
      </c>
      <c r="S78" s="54">
        <v>100.0625</v>
      </c>
      <c r="T78" s="129">
        <v>45867.625</v>
      </c>
      <c r="U78" s="54">
        <v>89.569000000000003</v>
      </c>
      <c r="V78" s="129">
        <v>45895.625</v>
      </c>
      <c r="W78" s="54">
        <v>97.578125</v>
      </c>
    </row>
    <row r="79" spans="18:23" x14ac:dyDescent="0.3">
      <c r="R79" s="129">
        <v>45894.625</v>
      </c>
      <c r="S79" s="54">
        <v>99.890625</v>
      </c>
      <c r="T79" s="129">
        <v>45868.625</v>
      </c>
      <c r="U79" s="54">
        <v>89.222999999999999</v>
      </c>
      <c r="V79" s="129">
        <v>45896.625</v>
      </c>
      <c r="W79" s="54">
        <v>97.4375</v>
      </c>
    </row>
    <row r="80" spans="18:23" x14ac:dyDescent="0.3">
      <c r="R80" s="129">
        <v>45895.625</v>
      </c>
      <c r="S80" s="54">
        <v>100.109375</v>
      </c>
      <c r="T80" s="129">
        <v>45869.625</v>
      </c>
      <c r="U80" s="54">
        <v>89.516999999999996</v>
      </c>
      <c r="V80" s="129">
        <v>45897.625</v>
      </c>
      <c r="W80" s="54">
        <v>98.03125</v>
      </c>
    </row>
    <row r="81" spans="18:23" x14ac:dyDescent="0.3">
      <c r="R81" s="129">
        <v>45896.625</v>
      </c>
      <c r="S81" s="54">
        <v>100.25</v>
      </c>
      <c r="T81" s="129">
        <v>45870.625</v>
      </c>
      <c r="U81" s="54">
        <v>90.073999999999998</v>
      </c>
      <c r="V81" s="129">
        <v>45898.625</v>
      </c>
      <c r="W81" s="54">
        <v>97.328125</v>
      </c>
    </row>
    <row r="82" spans="18:23" x14ac:dyDescent="0.3">
      <c r="R82" s="129">
        <v>45897.625</v>
      </c>
      <c r="S82" s="54">
        <v>100.5</v>
      </c>
      <c r="T82" s="129">
        <v>45873.625</v>
      </c>
      <c r="U82" s="54">
        <v>90.417000000000002</v>
      </c>
      <c r="V82" s="129">
        <v>45901.625</v>
      </c>
      <c r="W82" s="54">
        <v>97.21875</v>
      </c>
    </row>
    <row r="83" spans="18:23" x14ac:dyDescent="0.3">
      <c r="R83" s="129">
        <v>45898.625</v>
      </c>
      <c r="S83" s="54">
        <v>100.359375</v>
      </c>
      <c r="T83" s="129">
        <v>45874.625</v>
      </c>
      <c r="U83" s="54">
        <v>90.712999999999994</v>
      </c>
      <c r="V83" s="129">
        <v>45902.625</v>
      </c>
      <c r="W83" s="54">
        <v>96.625</v>
      </c>
    </row>
    <row r="84" spans="18:23" x14ac:dyDescent="0.3">
      <c r="R84" s="129">
        <v>45901.625</v>
      </c>
      <c r="S84" s="54">
        <v>100.3125</v>
      </c>
      <c r="T84" s="129">
        <v>45875.625</v>
      </c>
      <c r="U84" s="54">
        <v>90.623000000000005</v>
      </c>
      <c r="V84" s="129">
        <v>45903.625</v>
      </c>
      <c r="W84" s="54">
        <v>97.671875</v>
      </c>
    </row>
    <row r="85" spans="18:23" x14ac:dyDescent="0.3">
      <c r="R85" s="129">
        <v>45902.625</v>
      </c>
      <c r="S85" s="54">
        <v>100</v>
      </c>
      <c r="T85" s="129">
        <v>45876.625</v>
      </c>
      <c r="U85" s="54">
        <v>90.69</v>
      </c>
      <c r="V85" s="129">
        <v>45904.625</v>
      </c>
      <c r="W85" s="54">
        <v>98.296875</v>
      </c>
    </row>
    <row r="86" spans="18:23" x14ac:dyDescent="0.3">
      <c r="R86" s="129">
        <v>45903.625</v>
      </c>
      <c r="S86" s="54">
        <v>100.375</v>
      </c>
      <c r="T86" s="129">
        <v>45877.625</v>
      </c>
      <c r="U86" s="54">
        <v>90.384</v>
      </c>
      <c r="V86" s="129">
        <v>45905.625</v>
      </c>
      <c r="W86" s="54">
        <v>99.6875</v>
      </c>
    </row>
    <row r="87" spans="18:23" x14ac:dyDescent="0.3">
      <c r="R87" s="129">
        <v>45904.625</v>
      </c>
      <c r="S87" s="54">
        <v>100.84375</v>
      </c>
      <c r="T87" s="129">
        <v>45880.625</v>
      </c>
      <c r="U87" s="54">
        <v>90.596000000000004</v>
      </c>
      <c r="V87" s="129">
        <v>45908.625</v>
      </c>
      <c r="W87" s="54">
        <v>100.984375</v>
      </c>
    </row>
    <row r="88" spans="18:23" x14ac:dyDescent="0.3">
      <c r="R88" s="129">
        <v>45905.625</v>
      </c>
      <c r="S88" s="54">
        <v>101.421875</v>
      </c>
      <c r="T88" s="129">
        <v>45881.625</v>
      </c>
      <c r="U88" s="54">
        <v>90.510999999999996</v>
      </c>
      <c r="V88" s="129">
        <v>45909.625</v>
      </c>
      <c r="W88" s="54">
        <v>100.421875</v>
      </c>
    </row>
    <row r="89" spans="18:23" x14ac:dyDescent="0.3">
      <c r="R89" s="129">
        <v>45908.625</v>
      </c>
      <c r="S89" s="54">
        <v>101.765625</v>
      </c>
      <c r="T89" s="129">
        <v>45882.625</v>
      </c>
      <c r="U89" s="54">
        <v>91.340999999999994</v>
      </c>
      <c r="V89" s="129">
        <v>45910.625</v>
      </c>
      <c r="W89" s="54">
        <v>100.9375</v>
      </c>
    </row>
    <row r="90" spans="18:23" x14ac:dyDescent="0.3">
      <c r="R90" s="129">
        <v>45909.625</v>
      </c>
      <c r="S90" s="54">
        <v>101.484375</v>
      </c>
      <c r="T90" s="129">
        <v>45883.625</v>
      </c>
      <c r="U90" s="54">
        <v>91.134</v>
      </c>
      <c r="V90" s="129">
        <v>45911.625</v>
      </c>
      <c r="W90" s="54">
        <v>101.609375</v>
      </c>
    </row>
    <row r="91" spans="18:23" x14ac:dyDescent="0.3">
      <c r="R91" s="129">
        <v>45910.625</v>
      </c>
      <c r="S91" s="54">
        <v>101.796875</v>
      </c>
      <c r="T91" s="129">
        <v>45884.625</v>
      </c>
      <c r="U91" s="54">
        <v>91.073999999999998</v>
      </c>
      <c r="V91" s="129">
        <v>45912.625</v>
      </c>
      <c r="W91" s="54">
        <v>101.15625</v>
      </c>
    </row>
    <row r="92" spans="18:23" x14ac:dyDescent="0.3">
      <c r="R92" s="129">
        <v>45911.625</v>
      </c>
      <c r="S92" s="54">
        <v>101.984375</v>
      </c>
      <c r="T92" s="129">
        <v>45887.625</v>
      </c>
      <c r="U92" s="54">
        <v>91.28</v>
      </c>
      <c r="V92" s="129">
        <v>45915.625</v>
      </c>
      <c r="W92" s="54">
        <v>101.421875</v>
      </c>
    </row>
    <row r="93" spans="18:23" x14ac:dyDescent="0.3">
      <c r="R93" s="129">
        <v>45912.625</v>
      </c>
      <c r="S93" s="54">
        <v>101.65625</v>
      </c>
      <c r="T93" s="129">
        <v>45888.625</v>
      </c>
      <c r="U93" s="54">
        <v>91.4</v>
      </c>
      <c r="V93" s="129">
        <v>45916.625</v>
      </c>
      <c r="W93" s="54">
        <v>101.5625</v>
      </c>
    </row>
    <row r="94" spans="18:23" x14ac:dyDescent="0.3">
      <c r="R94" s="129">
        <v>45915.625</v>
      </c>
      <c r="S94" s="54">
        <v>101.828125</v>
      </c>
      <c r="T94" s="129">
        <v>45889.625</v>
      </c>
      <c r="U94" s="54">
        <v>91.606999999999999</v>
      </c>
      <c r="V94" s="129">
        <v>45917.625</v>
      </c>
      <c r="W94" s="54">
        <v>101.375</v>
      </c>
    </row>
    <row r="95" spans="18:23" x14ac:dyDescent="0.3">
      <c r="R95" s="129">
        <v>45916.625</v>
      </c>
      <c r="S95" s="54">
        <v>101.875</v>
      </c>
      <c r="T95" s="129">
        <v>45890.625</v>
      </c>
      <c r="U95" s="54">
        <v>91.453999999999994</v>
      </c>
      <c r="V95" s="129">
        <v>45918.625</v>
      </c>
      <c r="W95" s="54">
        <v>100.328125</v>
      </c>
    </row>
    <row r="96" spans="18:23" x14ac:dyDescent="0.3">
      <c r="R96" s="129">
        <v>45917.625</v>
      </c>
      <c r="S96" s="54">
        <v>101.625</v>
      </c>
      <c r="T96" s="129">
        <v>45891.625</v>
      </c>
      <c r="U96" s="54">
        <v>91.677000000000007</v>
      </c>
      <c r="V96" s="129">
        <v>45919.625</v>
      </c>
      <c r="W96" s="54">
        <v>100.109375</v>
      </c>
    </row>
    <row r="97" spans="18:23" x14ac:dyDescent="0.3">
      <c r="R97" s="129">
        <v>45918.625</v>
      </c>
      <c r="S97" s="54">
        <v>101.234375</v>
      </c>
      <c r="T97" s="129">
        <v>45894.625</v>
      </c>
      <c r="U97" s="54">
        <v>91.754000000000005</v>
      </c>
      <c r="V97" s="129">
        <v>45922.625</v>
      </c>
      <c r="W97" s="54">
        <v>99.734375</v>
      </c>
    </row>
    <row r="98" spans="18:23" x14ac:dyDescent="0.3">
      <c r="R98" s="129">
        <v>45919.625</v>
      </c>
      <c r="S98" s="54">
        <v>101.140625</v>
      </c>
      <c r="T98" s="129">
        <v>45895.625</v>
      </c>
      <c r="U98" s="54">
        <v>91.52</v>
      </c>
      <c r="V98" s="129">
        <v>45923.625</v>
      </c>
      <c r="W98" s="54">
        <v>100.4375</v>
      </c>
    </row>
    <row r="99" spans="18:23" x14ac:dyDescent="0.3">
      <c r="R99" s="129">
        <v>45922.625</v>
      </c>
      <c r="S99" s="54">
        <v>100.953125</v>
      </c>
      <c r="T99" s="129">
        <v>45896.625</v>
      </c>
      <c r="U99" s="54">
        <v>91.337000000000003</v>
      </c>
      <c r="V99" s="129">
        <v>45924.625</v>
      </c>
      <c r="W99" s="54">
        <v>100</v>
      </c>
    </row>
    <row r="100" spans="18:23" x14ac:dyDescent="0.3">
      <c r="R100" s="129">
        <v>45923.625</v>
      </c>
      <c r="S100" s="54">
        <v>101.265625</v>
      </c>
      <c r="T100" s="129">
        <v>45897.625</v>
      </c>
      <c r="U100" s="54">
        <v>91.617999999999995</v>
      </c>
      <c r="V100" s="129">
        <v>45925.625</v>
      </c>
      <c r="W100" s="54">
        <v>100.015625</v>
      </c>
    </row>
    <row r="101" spans="18:23" x14ac:dyDescent="0.3">
      <c r="R101" s="129">
        <v>45924.625</v>
      </c>
      <c r="S101" s="54">
        <v>100.984375</v>
      </c>
      <c r="T101" s="129">
        <v>45898.625</v>
      </c>
      <c r="U101" s="54">
        <v>91.227000000000004</v>
      </c>
      <c r="V101" s="129">
        <v>45926.625</v>
      </c>
      <c r="W101" s="54">
        <v>99.890625</v>
      </c>
    </row>
    <row r="102" spans="18:23" x14ac:dyDescent="0.3">
      <c r="R102" s="129">
        <v>45925.625</v>
      </c>
      <c r="S102" s="54">
        <v>100.78125</v>
      </c>
      <c r="T102" s="129">
        <v>45902.625</v>
      </c>
      <c r="U102" s="54">
        <v>90.741</v>
      </c>
      <c r="V102" s="129">
        <v>45929.625</v>
      </c>
      <c r="W102" s="54">
        <v>100.65625</v>
      </c>
    </row>
    <row r="103" spans="18:23" x14ac:dyDescent="0.3">
      <c r="R103" s="129">
        <v>45926.625</v>
      </c>
      <c r="S103" s="54">
        <v>100.6875</v>
      </c>
      <c r="T103" s="129">
        <v>45903.625</v>
      </c>
      <c r="U103" s="54">
        <v>90.899000000000001</v>
      </c>
      <c r="V103" s="129">
        <v>45930.625</v>
      </c>
      <c r="W103" s="54">
        <v>100.359375</v>
      </c>
    </row>
    <row r="104" spans="18:23" x14ac:dyDescent="0.3">
      <c r="R104" s="129">
        <v>45929.625</v>
      </c>
      <c r="S104" s="54">
        <v>100.984375</v>
      </c>
      <c r="T104" s="129">
        <v>45904.625</v>
      </c>
      <c r="U104" s="54">
        <v>91.533000000000001</v>
      </c>
      <c r="V104" s="129">
        <v>45931.625</v>
      </c>
      <c r="W104" s="54">
        <v>100.5625</v>
      </c>
    </row>
    <row r="105" spans="18:23" x14ac:dyDescent="0.3">
      <c r="R105" s="129">
        <v>45930.625</v>
      </c>
      <c r="S105" s="54">
        <v>100.953125</v>
      </c>
      <c r="T105" s="129">
        <v>45905.625</v>
      </c>
      <c r="U105" s="54">
        <v>92.209000000000003</v>
      </c>
      <c r="V105" s="129">
        <v>45932.625</v>
      </c>
      <c r="W105" s="54">
        <v>100.84375</v>
      </c>
    </row>
    <row r="106" spans="18:23" x14ac:dyDescent="0.3">
      <c r="R106" s="129">
        <v>45931.625</v>
      </c>
      <c r="S106" s="54">
        <v>101.296875</v>
      </c>
      <c r="T106" s="129">
        <v>45908.625</v>
      </c>
      <c r="U106" s="54">
        <v>92.653999999999996</v>
      </c>
      <c r="V106" s="129">
        <v>45933.625</v>
      </c>
      <c r="W106" s="54">
        <v>100.5625</v>
      </c>
    </row>
    <row r="107" spans="18:23" x14ac:dyDescent="0.3">
      <c r="R107" s="129">
        <v>45932.625</v>
      </c>
      <c r="S107" s="54">
        <v>101.421875</v>
      </c>
      <c r="T107" s="129">
        <v>45909.625</v>
      </c>
      <c r="U107" s="54">
        <v>92.697999999999993</v>
      </c>
      <c r="V107" s="129">
        <v>45936.625</v>
      </c>
      <c r="W107" s="54">
        <v>99.8125</v>
      </c>
    </row>
    <row r="108" spans="18:23" x14ac:dyDescent="0.3">
      <c r="R108" s="129">
        <v>45933.625</v>
      </c>
      <c r="S108" s="54">
        <v>101.15625</v>
      </c>
      <c r="T108" s="129">
        <v>45910.625</v>
      </c>
      <c r="U108" s="54">
        <v>92.921000000000006</v>
      </c>
      <c r="V108" s="129">
        <v>45937.625</v>
      </c>
      <c r="W108" s="54">
        <v>100.34375</v>
      </c>
    </row>
    <row r="109" spans="18:23" x14ac:dyDescent="0.3">
      <c r="R109" s="129">
        <v>45936.625</v>
      </c>
      <c r="S109" s="54">
        <v>100.8125</v>
      </c>
      <c r="T109" s="129">
        <v>45911.625</v>
      </c>
      <c r="U109" s="54">
        <v>93.498999999999995</v>
      </c>
      <c r="V109" s="129">
        <v>45938.625</v>
      </c>
      <c r="W109" s="54">
        <v>100.390625</v>
      </c>
    </row>
    <row r="110" spans="18:23" x14ac:dyDescent="0.3">
      <c r="R110" s="129">
        <v>45937.625</v>
      </c>
      <c r="S110" s="54">
        <v>101.078125</v>
      </c>
      <c r="T110" s="129">
        <v>45912.625</v>
      </c>
      <c r="U110" s="54">
        <v>93.632000000000005</v>
      </c>
      <c r="V110" s="129">
        <v>45939.625</v>
      </c>
      <c r="W110" s="54">
        <v>100.359375</v>
      </c>
    </row>
    <row r="111" spans="18:23" x14ac:dyDescent="0.3">
      <c r="R111" s="129">
        <v>45938.625</v>
      </c>
      <c r="S111" s="54">
        <v>101.0625</v>
      </c>
      <c r="T111" s="129">
        <v>45915.625</v>
      </c>
      <c r="U111" s="54">
        <v>93.965000000000003</v>
      </c>
      <c r="V111" s="129">
        <v>45940.625</v>
      </c>
      <c r="W111" s="54">
        <v>101.828125</v>
      </c>
    </row>
    <row r="112" spans="18:23" x14ac:dyDescent="0.3">
      <c r="R112" s="129">
        <v>45939.625</v>
      </c>
      <c r="S112" s="54">
        <v>100.984375</v>
      </c>
      <c r="T112" s="129">
        <v>45916.625</v>
      </c>
      <c r="U112" s="54">
        <v>94.453000000000003</v>
      </c>
      <c r="V112" s="129">
        <v>45943.625</v>
      </c>
      <c r="W112" s="54">
        <v>102.0625</v>
      </c>
    </row>
    <row r="113" spans="18:23" x14ac:dyDescent="0.3">
      <c r="R113" s="129">
        <v>45940.625</v>
      </c>
      <c r="S113" s="54">
        <v>101.6875</v>
      </c>
      <c r="T113" s="129">
        <v>45917.625</v>
      </c>
      <c r="U113" s="54">
        <v>94.53</v>
      </c>
      <c r="V113" s="129">
        <v>45944.625</v>
      </c>
      <c r="W113" s="54">
        <v>102.109375</v>
      </c>
    </row>
    <row r="114" spans="18:23" x14ac:dyDescent="0.3">
      <c r="R114" s="129">
        <v>45943.625</v>
      </c>
      <c r="S114" s="54">
        <v>101.84375</v>
      </c>
      <c r="T114" s="129">
        <v>45918.625</v>
      </c>
      <c r="U114" s="54">
        <v>94.84</v>
      </c>
      <c r="V114" s="129">
        <v>45945.625</v>
      </c>
      <c r="W114" s="54">
        <v>101.890625</v>
      </c>
    </row>
    <row r="115" spans="18:23" x14ac:dyDescent="0.3">
      <c r="R115" s="129">
        <v>45944.625</v>
      </c>
      <c r="S115" s="54">
        <v>101.953125</v>
      </c>
      <c r="T115" s="129">
        <v>45919.625</v>
      </c>
      <c r="U115" s="54">
        <v>94.754999999999995</v>
      </c>
      <c r="V115" s="129">
        <v>45946.625</v>
      </c>
      <c r="W115" s="54">
        <v>102.65625</v>
      </c>
    </row>
    <row r="116" spans="18:23" x14ac:dyDescent="0.3">
      <c r="R116" s="129">
        <v>45945.625</v>
      </c>
      <c r="S116" s="54">
        <v>101.828125</v>
      </c>
      <c r="T116" s="129">
        <v>45922.625</v>
      </c>
      <c r="U116" s="54">
        <v>94.643000000000001</v>
      </c>
    </row>
    <row r="117" spans="18:23" x14ac:dyDescent="0.3">
      <c r="R117" s="129">
        <v>45946.625</v>
      </c>
      <c r="S117" s="54">
        <v>102.328125</v>
      </c>
      <c r="T117" s="129">
        <v>45923.625</v>
      </c>
      <c r="U117" s="54">
        <v>94.569000000000003</v>
      </c>
    </row>
    <row r="118" spans="18:23" x14ac:dyDescent="0.3">
      <c r="T118" s="129">
        <v>45924.625</v>
      </c>
      <c r="U118" s="54">
        <v>94.546000000000006</v>
      </c>
    </row>
    <row r="119" spans="18:23" x14ac:dyDescent="0.3">
      <c r="T119" s="129">
        <v>45925.625</v>
      </c>
      <c r="U119" s="54">
        <v>94.403999999999996</v>
      </c>
    </row>
    <row r="120" spans="18:23" x14ac:dyDescent="0.3">
      <c r="T120" s="129">
        <v>45926.625</v>
      </c>
      <c r="U120" s="54">
        <v>94.427999999999997</v>
      </c>
    </row>
    <row r="121" spans="18:23" x14ac:dyDescent="0.3">
      <c r="T121" s="129">
        <v>45929.625</v>
      </c>
      <c r="U121" s="54">
        <v>94.834999999999994</v>
      </c>
    </row>
    <row r="122" spans="18:23" x14ac:dyDescent="0.3">
      <c r="T122" s="129">
        <v>45930.625</v>
      </c>
      <c r="U122" s="54">
        <v>94.778000000000006</v>
      </c>
    </row>
    <row r="123" spans="18:23" x14ac:dyDescent="0.3">
      <c r="T123" s="129">
        <v>45931.625</v>
      </c>
      <c r="U123" s="54">
        <v>94.77</v>
      </c>
    </row>
    <row r="124" spans="18:23" x14ac:dyDescent="0.3">
      <c r="T124" s="129">
        <v>45932.625</v>
      </c>
      <c r="U124" s="54">
        <v>94.884</v>
      </c>
    </row>
    <row r="125" spans="18:23" x14ac:dyDescent="0.3">
      <c r="T125" s="129">
        <v>45933.625</v>
      </c>
      <c r="U125" s="54">
        <v>94.835999999999999</v>
      </c>
    </row>
    <row r="126" spans="18:23" x14ac:dyDescent="0.3">
      <c r="T126" s="129">
        <v>45936.625</v>
      </c>
      <c r="U126" s="54">
        <v>94.5</v>
      </c>
    </row>
    <row r="127" spans="18:23" x14ac:dyDescent="0.3">
      <c r="T127" s="129">
        <v>45937.625</v>
      </c>
      <c r="U127" s="54">
        <v>94.43</v>
      </c>
    </row>
    <row r="128" spans="18:23" x14ac:dyDescent="0.3">
      <c r="T128" s="129">
        <v>45938.625</v>
      </c>
      <c r="U128" s="54">
        <v>94.516999999999996</v>
      </c>
    </row>
    <row r="129" spans="20:21" x14ac:dyDescent="0.3">
      <c r="T129" s="129">
        <v>45939.625</v>
      </c>
      <c r="U129" s="54">
        <v>94.284000000000006</v>
      </c>
    </row>
    <row r="130" spans="20:21" x14ac:dyDescent="0.3">
      <c r="T130" s="129">
        <v>45940.625</v>
      </c>
      <c r="U130" s="54">
        <v>94.251000000000005</v>
      </c>
    </row>
    <row r="131" spans="20:21" x14ac:dyDescent="0.3">
      <c r="T131" s="129">
        <v>45944.625</v>
      </c>
      <c r="U131" s="54">
        <v>94.539000000000001</v>
      </c>
    </row>
    <row r="132" spans="20:21" x14ac:dyDescent="0.3">
      <c r="T132" s="129">
        <v>45945.625</v>
      </c>
      <c r="U132" s="54">
        <v>94.89</v>
      </c>
    </row>
    <row r="133" spans="20:21" x14ac:dyDescent="0.3">
      <c r="T133" s="129">
        <v>45946.625</v>
      </c>
      <c r="U133" s="54">
        <v>94.99</v>
      </c>
    </row>
  </sheetData>
  <mergeCells count="4">
    <mergeCell ref="E12:G12"/>
    <mergeCell ref="H12:J12"/>
    <mergeCell ref="B12:D12"/>
    <mergeCell ref="K12:M12"/>
  </mergeCells>
  <conditionalFormatting sqref="W1:W7 N8:N1048576">
    <cfRule type="cellIs" dxfId="22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M143"/>
  <sheetViews>
    <sheetView zoomScale="80" zoomScaleNormal="80" workbookViewId="0">
      <selection activeCell="A24" sqref="A24:A31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52</v>
      </c>
      <c r="C3" s="5" t="s">
        <v>53</v>
      </c>
      <c r="J3" s="126" cm="1">
        <f t="array" ref="J3:K20">_xll.BDH(B4, "LAST_PRICE", "01/01/2025 15:00:00", "01/01/2035 16:00:00", "BarSize=60", "BarType=T", "RecurDaily=True", "TZ=London")</f>
        <v>45775.625</v>
      </c>
      <c r="K3" s="1">
        <v>108.07</v>
      </c>
      <c r="L3" s="126" cm="1">
        <f t="array" ref="L3:M143">_xll.BDH(C4, "LAST_PRICE", "01/01/2025 15:00:00", "01/01/2035 16:00:00", "BarSize=60", "BarType=T", "RecurDaily=True", "TZ=London")</f>
        <v>45751.625</v>
      </c>
      <c r="M3" s="46">
        <v>65.454999999999998</v>
      </c>
    </row>
    <row r="4" spans="1:13" ht="32.25" customHeight="1" x14ac:dyDescent="0.3">
      <c r="A4" s="15" t="s">
        <v>33</v>
      </c>
      <c r="B4" s="41" t="s">
        <v>54</v>
      </c>
      <c r="C4" s="42" t="s">
        <v>55</v>
      </c>
      <c r="I4" s="1"/>
      <c r="J4" s="130">
        <v>45783.625</v>
      </c>
      <c r="K4" s="1">
        <v>108.39</v>
      </c>
      <c r="L4" s="130">
        <v>45754.625</v>
      </c>
      <c r="M4" s="1">
        <v>67.227000000000004</v>
      </c>
    </row>
    <row r="5" spans="1:13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J5" s="130">
        <v>45784.625</v>
      </c>
      <c r="K5" s="1">
        <v>108.005</v>
      </c>
      <c r="L5" s="130">
        <v>45755.625</v>
      </c>
      <c r="M5" s="1">
        <v>64.382000000000005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30">
        <v>45785.625</v>
      </c>
      <c r="K6" s="1">
        <v>105.084</v>
      </c>
      <c r="L6" s="130">
        <v>45756.625</v>
      </c>
      <c r="M6" s="1">
        <v>69.218999999999994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30">
        <v>45793.625</v>
      </c>
      <c r="K7" s="1">
        <v>93.7</v>
      </c>
      <c r="L7" s="130">
        <v>45757.625</v>
      </c>
      <c r="M7" s="1">
        <v>62.83</v>
      </c>
    </row>
    <row r="8" spans="1:13" x14ac:dyDescent="0.3">
      <c r="A8" s="15" t="s">
        <v>14</v>
      </c>
      <c r="B8" s="1">
        <v>4.8499999999999996</v>
      </c>
      <c r="C8" s="5">
        <v>5.01</v>
      </c>
      <c r="I8" s="1"/>
      <c r="J8" s="130">
        <v>45796.625</v>
      </c>
      <c r="K8" s="1">
        <v>95.147000000000006</v>
      </c>
      <c r="L8" s="130">
        <v>45758.625</v>
      </c>
      <c r="M8" s="1">
        <v>67.215000000000003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6">
        <v>45798.625</v>
      </c>
      <c r="K9" s="3">
        <v>93.870999999999995</v>
      </c>
      <c r="L9" s="126">
        <v>45761.625</v>
      </c>
      <c r="M9" s="3">
        <v>65.281000000000006</v>
      </c>
    </row>
    <row r="10" spans="1:13" ht="15" thickBot="1" x14ac:dyDescent="0.35">
      <c r="A10" s="16" t="s">
        <v>28</v>
      </c>
      <c r="B10" s="21" cm="1">
        <f t="array" ref="B10">_xll.BDP(B4,"px_last")</f>
        <v>92.660420000000002</v>
      </c>
      <c r="C10" s="22" cm="1">
        <f t="array" ref="C10">_xll.BDP(C4,"px_last")</f>
        <v>46.97945</v>
      </c>
      <c r="E10" s="1"/>
      <c r="F10" s="1"/>
      <c r="G10" s="1"/>
      <c r="H10" s="1"/>
      <c r="I10" s="1"/>
      <c r="J10" s="126">
        <v>45799.625</v>
      </c>
      <c r="K10" s="3">
        <v>96.894999999999996</v>
      </c>
      <c r="L10" s="126">
        <v>45762.625</v>
      </c>
      <c r="M10" s="3">
        <v>63.697000000000003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45807.625</v>
      </c>
      <c r="K11" s="3">
        <v>92.738</v>
      </c>
      <c r="L11" s="126">
        <v>45763.625</v>
      </c>
      <c r="M11" s="3">
        <v>63.674999999999997</v>
      </c>
    </row>
    <row r="12" spans="1:13" ht="15" thickBot="1" x14ac:dyDescent="0.35">
      <c r="A12" s="39" t="s">
        <v>22</v>
      </c>
      <c r="B12" s="153" t="s">
        <v>0</v>
      </c>
      <c r="C12" s="154"/>
      <c r="D12" s="155"/>
      <c r="E12" s="156" t="s">
        <v>1</v>
      </c>
      <c r="F12" s="157"/>
      <c r="G12" s="158"/>
      <c r="H12" s="100" t="s">
        <v>16</v>
      </c>
      <c r="I12" s="1"/>
      <c r="J12" s="126">
        <v>45810.625</v>
      </c>
      <c r="K12" s="3">
        <v>93.031999999999996</v>
      </c>
      <c r="L12" s="126">
        <v>45764.625</v>
      </c>
      <c r="M12" s="3">
        <v>62.619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9"/>
      <c r="I13" s="1"/>
      <c r="J13" s="126">
        <v>45812.625</v>
      </c>
      <c r="K13" s="3">
        <v>93.441000000000003</v>
      </c>
      <c r="L13" s="126">
        <v>45765.625</v>
      </c>
      <c r="M13" s="3">
        <v>63.17</v>
      </c>
    </row>
    <row r="14" spans="1:13" x14ac:dyDescent="0.3">
      <c r="A14" s="36">
        <v>45933</v>
      </c>
      <c r="B14" s="45">
        <v>90</v>
      </c>
      <c r="C14" s="46"/>
      <c r="D14" s="47"/>
      <c r="E14" s="45">
        <v>45</v>
      </c>
      <c r="F14" s="1"/>
      <c r="G14" s="5"/>
      <c r="H14" s="82">
        <v>0</v>
      </c>
      <c r="I14" s="1"/>
      <c r="J14" s="126">
        <v>45814.625</v>
      </c>
      <c r="K14" s="3">
        <v>93.037000000000006</v>
      </c>
      <c r="L14" s="126">
        <v>45768.625</v>
      </c>
      <c r="M14" s="3">
        <v>63.274999999999999</v>
      </c>
    </row>
    <row r="15" spans="1:13" x14ac:dyDescent="0.3">
      <c r="A15" s="36">
        <v>45936</v>
      </c>
      <c r="B15" s="45">
        <f t="shared" ref="B15:B22" si="0">VLOOKUP(A15+$F$2,J:K,2)</f>
        <v>92.26</v>
      </c>
      <c r="C15" s="31">
        <f t="shared" ref="C15" si="1">-1*(B15-$B$14)*10^-4*$B$8*$B$5</f>
        <v>-21922.000000000047</v>
      </c>
      <c r="D15" s="32">
        <f t="shared" ref="D15" si="2">$B$6*(A15-$A$14)/360*$B$5</f>
        <v>1666.6666666666665</v>
      </c>
      <c r="E15" s="46">
        <f t="shared" ref="E15:E22" si="3">VLOOKUP(A15+$F$2,L:M,2)</f>
        <v>46.19</v>
      </c>
      <c r="F15" s="31">
        <f t="shared" ref="F15" si="4">-1*(E15-$E$14)*10^-4*$C$8*$C$5</f>
        <v>-23251.409999999953</v>
      </c>
      <c r="G15" s="32">
        <f t="shared" ref="G15" si="5">$C$6*(A15-$A$14)/360*$C$5</f>
        <v>3250</v>
      </c>
      <c r="H15" s="82">
        <f t="shared" ref="H15:H20" si="6">C15+D15-F15-G15</f>
        <v>-253.92333333342685</v>
      </c>
      <c r="I15" s="1"/>
      <c r="J15" s="126">
        <v>45838.625</v>
      </c>
      <c r="K15" s="3">
        <v>90.674000000000007</v>
      </c>
      <c r="L15" s="126">
        <v>45769.625</v>
      </c>
      <c r="M15" s="3">
        <v>64.602000000000004</v>
      </c>
    </row>
    <row r="16" spans="1:13" x14ac:dyDescent="0.3">
      <c r="A16" s="36">
        <v>45937</v>
      </c>
      <c r="B16" s="45">
        <f t="shared" si="0"/>
        <v>92.26</v>
      </c>
      <c r="C16" s="31">
        <f t="shared" ref="C16" si="7">-1*(B16-$B$14)*10^-4*$B$8*$B$5</f>
        <v>-21922.000000000047</v>
      </c>
      <c r="D16" s="32">
        <f t="shared" ref="D16" si="8">$B$6*(A16-$A$14)/360*$B$5</f>
        <v>2222.2222222222222</v>
      </c>
      <c r="E16" s="46">
        <f t="shared" si="3"/>
        <v>46.366</v>
      </c>
      <c r="F16" s="31">
        <f t="shared" ref="F16" si="9">-1*(E16-$E$14)*10^-4*$C$8*$C$5</f>
        <v>-26690.27399999999</v>
      </c>
      <c r="G16" s="32">
        <f t="shared" ref="G16:G21" si="10">$C$6*(A16-$A$14)/360*$C$5</f>
        <v>4333.3333333333339</v>
      </c>
      <c r="H16" s="82">
        <f t="shared" si="6"/>
        <v>2657.1628888888317</v>
      </c>
      <c r="I16" s="1"/>
      <c r="J16" s="126">
        <v>45839.625</v>
      </c>
      <c r="K16" s="3">
        <v>90.614999999999995</v>
      </c>
      <c r="L16" s="126">
        <v>45770.625</v>
      </c>
      <c r="M16" s="3">
        <v>60.945</v>
      </c>
    </row>
    <row r="17" spans="1:13" x14ac:dyDescent="0.3">
      <c r="A17" s="36">
        <v>45938</v>
      </c>
      <c r="B17" s="45">
        <f t="shared" si="0"/>
        <v>92.656000000000006</v>
      </c>
      <c r="C17" s="31">
        <f t="shared" ref="C17" si="11">-1*(B17-$B$14)*10^-4*$B$8*$B$5</f>
        <v>-25763.200000000055</v>
      </c>
      <c r="D17" s="32">
        <f t="shared" ref="D17" si="12">$B$6*(A17-$A$14)/360*$B$5</f>
        <v>2777.7777777777778</v>
      </c>
      <c r="E17" s="46">
        <f t="shared" si="3"/>
        <v>46.357999999999997</v>
      </c>
      <c r="F17" s="31">
        <f t="shared" ref="F17" si="13">-1*(E17-$E$14)*10^-4*$C$8*$C$5</f>
        <v>-26533.961999999938</v>
      </c>
      <c r="G17" s="32">
        <f t="shared" si="10"/>
        <v>5416.666666666667</v>
      </c>
      <c r="H17" s="82">
        <f t="shared" si="6"/>
        <v>-1868.1268888890072</v>
      </c>
      <c r="I17" s="1"/>
      <c r="J17" s="126">
        <v>45917.625</v>
      </c>
      <c r="K17" s="3">
        <v>83.296999999999997</v>
      </c>
      <c r="L17" s="126">
        <v>45771.625</v>
      </c>
      <c r="M17" s="3">
        <v>60.899000000000001</v>
      </c>
    </row>
    <row r="18" spans="1:13" x14ac:dyDescent="0.3">
      <c r="A18" s="36">
        <v>45939</v>
      </c>
      <c r="B18" s="45">
        <f t="shared" si="0"/>
        <v>92.656000000000006</v>
      </c>
      <c r="C18" s="31">
        <f t="shared" ref="C18" si="14">-1*(B18-$B$14)*10^-4*$B$8*$B$5</f>
        <v>-25763.200000000055</v>
      </c>
      <c r="D18" s="32">
        <f t="shared" ref="D18" si="15">$B$6*(A18-$A$14)/360*$B$5</f>
        <v>3333.333333333333</v>
      </c>
      <c r="E18" s="46">
        <f t="shared" si="3"/>
        <v>46.667999999999999</v>
      </c>
      <c r="F18" s="31">
        <f t="shared" ref="F18" si="16">-1*(E18-$E$14)*10^-4*$C$8*$C$5</f>
        <v>-32591.051999999985</v>
      </c>
      <c r="G18" s="32">
        <f t="shared" si="10"/>
        <v>6500</v>
      </c>
      <c r="H18" s="82">
        <f t="shared" si="6"/>
        <v>3661.185333333262</v>
      </c>
      <c r="I18" s="1"/>
      <c r="J18" s="126">
        <v>45931.625</v>
      </c>
      <c r="K18" s="3">
        <v>93.594999999999999</v>
      </c>
      <c r="L18" s="126">
        <v>45772.625</v>
      </c>
      <c r="M18" s="3">
        <v>59.497</v>
      </c>
    </row>
    <row r="19" spans="1:13" x14ac:dyDescent="0.3">
      <c r="A19" s="36">
        <v>45940</v>
      </c>
      <c r="B19" s="45">
        <f t="shared" si="0"/>
        <v>92.656000000000006</v>
      </c>
      <c r="C19" s="31">
        <f t="shared" ref="C19" si="17">-1*(B19-$B$14)*10^-4*$B$8*$B$5</f>
        <v>-25763.200000000055</v>
      </c>
      <c r="D19" s="32">
        <f t="shared" ref="D19" si="18">$B$6*(A19-$A$14)/360*$B$5</f>
        <v>3888.8888888888891</v>
      </c>
      <c r="E19" s="46">
        <f t="shared" si="3"/>
        <v>46.917000000000002</v>
      </c>
      <c r="F19" s="31">
        <f t="shared" ref="F19" si="19">-1*(E19-$E$14)*10^-4*$C$8*$C$5</f>
        <v>-37456.263000000028</v>
      </c>
      <c r="G19" s="32">
        <f t="shared" si="10"/>
        <v>7583.3333333333339</v>
      </c>
      <c r="H19" s="82">
        <f t="shared" si="6"/>
        <v>7998.6185555555294</v>
      </c>
      <c r="I19" s="1"/>
      <c r="J19" s="126">
        <v>45932.625</v>
      </c>
      <c r="K19" s="3">
        <v>92.26</v>
      </c>
      <c r="L19" s="126">
        <v>45775.625</v>
      </c>
      <c r="M19" s="3">
        <v>59.72</v>
      </c>
    </row>
    <row r="20" spans="1:13" x14ac:dyDescent="0.3">
      <c r="A20" s="36">
        <v>45943</v>
      </c>
      <c r="B20" s="45">
        <f t="shared" si="0"/>
        <v>92.656000000000006</v>
      </c>
      <c r="C20" s="31">
        <f t="shared" ref="C20" si="20">-1*(B20-$B$14)*10^-4*$B$8*$B$5</f>
        <v>-25763.200000000055</v>
      </c>
      <c r="D20" s="32">
        <f t="shared" ref="D20" si="21">$B$6*(A20-$A$14)/360*$B$5</f>
        <v>5555.5555555555557</v>
      </c>
      <c r="E20" s="46">
        <f t="shared" si="3"/>
        <v>47.828000000000003</v>
      </c>
      <c r="F20" s="31">
        <f t="shared" ref="F20" si="22">-1*(E20-$E$14)*10^-4*$C$8*$C$5</f>
        <v>-55256.292000000059</v>
      </c>
      <c r="G20" s="32">
        <f t="shared" si="10"/>
        <v>10833.333333333334</v>
      </c>
      <c r="H20" s="82">
        <f t="shared" si="6"/>
        <v>24215.314222222223</v>
      </c>
      <c r="I20" s="1"/>
      <c r="J20" s="126">
        <v>45938.625</v>
      </c>
      <c r="K20" s="3">
        <v>92.656000000000006</v>
      </c>
      <c r="L20" s="126">
        <v>45776.625</v>
      </c>
      <c r="M20" s="3">
        <v>60.067999999999998</v>
      </c>
    </row>
    <row r="21" spans="1:13" x14ac:dyDescent="0.3">
      <c r="A21" s="36">
        <v>45944</v>
      </c>
      <c r="B21" s="45">
        <f t="shared" si="0"/>
        <v>92.656000000000006</v>
      </c>
      <c r="C21" s="31">
        <f t="shared" ref="C21" si="23">-1*(B21-$B$14)*10^-4*$B$8*$B$5</f>
        <v>-25763.200000000055</v>
      </c>
      <c r="D21" s="32">
        <f t="shared" ref="D21" si="24">$B$6*(A21-$A$14)/360*$B$5</f>
        <v>6111.1111111111113</v>
      </c>
      <c r="E21" s="46">
        <f t="shared" si="3"/>
        <v>47.908000000000001</v>
      </c>
      <c r="F21" s="31">
        <f t="shared" ref="F21" si="25">-1*(E21-$E$14)*10^-4*$C$8*$C$5</f>
        <v>-56819.412000000026</v>
      </c>
      <c r="G21" s="32">
        <f t="shared" si="10"/>
        <v>11916.666666666666</v>
      </c>
      <c r="H21" s="82">
        <f t="shared" ref="H21" si="26">C21+D21-F21-G21</f>
        <v>25250.656444444416</v>
      </c>
      <c r="I21" s="1"/>
      <c r="L21" s="126">
        <v>45777.625</v>
      </c>
      <c r="M21" s="3">
        <v>61.241</v>
      </c>
    </row>
    <row r="22" spans="1:13" x14ac:dyDescent="0.3">
      <c r="A22" s="36">
        <v>45945</v>
      </c>
      <c r="B22" s="45">
        <f t="shared" si="0"/>
        <v>92.656000000000006</v>
      </c>
      <c r="C22" s="31">
        <f t="shared" ref="C22" si="27">-1*(B22-$B$14)*10^-4*$B$8*$B$5</f>
        <v>-25763.200000000055</v>
      </c>
      <c r="D22" s="32">
        <f t="shared" ref="D22" si="28">$B$6*(A22-$A$14)/360*$B$5</f>
        <v>6666.6666666666661</v>
      </c>
      <c r="E22" s="46">
        <f t="shared" si="3"/>
        <v>45.886000000000003</v>
      </c>
      <c r="F22" s="31">
        <f t="shared" ref="F22" si="29">-1*(E22-$E$14)*10^-4*$C$8*$C$5</f>
        <v>-17311.554000000055</v>
      </c>
      <c r="G22" s="32">
        <f t="shared" ref="G22" si="30">$C$6*(A22-$A$14)/360*$C$5</f>
        <v>13000</v>
      </c>
      <c r="H22" s="82">
        <f t="shared" ref="H22" si="31">C22+D22-F22-G22</f>
        <v>-14784.979333333336</v>
      </c>
      <c r="I22" s="1"/>
      <c r="L22" s="126">
        <v>45778.625</v>
      </c>
      <c r="M22" s="3">
        <v>60.576000000000001</v>
      </c>
    </row>
    <row r="23" spans="1:13" x14ac:dyDescent="0.3">
      <c r="A23" s="36">
        <v>45946</v>
      </c>
      <c r="B23" s="45">
        <f t="shared" ref="B23" si="32">VLOOKUP(A23+$F$2,J:K,2)</f>
        <v>92.656000000000006</v>
      </c>
      <c r="C23" s="31">
        <f t="shared" ref="C23:C24" si="33">-1*(B23-$B$14)*10^-4*$B$8*$B$5</f>
        <v>-25763.200000000055</v>
      </c>
      <c r="D23" s="32">
        <f t="shared" ref="D23:D24" si="34">$B$6*(A23-$A$14)/360*$B$5</f>
        <v>7222.2222222222226</v>
      </c>
      <c r="E23" s="46">
        <f t="shared" ref="E23" si="35">VLOOKUP(A23+$F$2,L:M,2)</f>
        <v>45.503</v>
      </c>
      <c r="F23" s="31">
        <f t="shared" ref="F23:F24" si="36">-1*(E23-$E$14)*10^-4*$C$8*$C$5</f>
        <v>-9828.117000000002</v>
      </c>
      <c r="G23" s="32">
        <f t="shared" ref="G23:G24" si="37">$C$6*(A23-$A$14)/360*$C$5</f>
        <v>14083.333333333334</v>
      </c>
      <c r="H23" s="82">
        <f t="shared" ref="H23:H24" si="38">C23+D23-F23-G23</f>
        <v>-22796.194111111166</v>
      </c>
      <c r="I23" s="1"/>
      <c r="L23" s="126">
        <v>45779.625</v>
      </c>
      <c r="M23" s="3">
        <v>59.521999999999998</v>
      </c>
    </row>
    <row r="24" spans="1:13" x14ac:dyDescent="0.3">
      <c r="A24" s="131">
        <v>45947</v>
      </c>
      <c r="B24" s="45">
        <f>B10</f>
        <v>92.660420000000002</v>
      </c>
      <c r="C24" s="31">
        <f t="shared" si="33"/>
        <v>-25806.074000000019</v>
      </c>
      <c r="D24" s="32">
        <f t="shared" si="34"/>
        <v>7777.7777777777783</v>
      </c>
      <c r="E24" s="46">
        <f>C10</f>
        <v>46.97945</v>
      </c>
      <c r="F24" s="31">
        <f t="shared" si="36"/>
        <v>-38676.473549999995</v>
      </c>
      <c r="G24" s="32">
        <f t="shared" si="37"/>
        <v>15166.666666666668</v>
      </c>
      <c r="H24" s="82">
        <f t="shared" si="38"/>
        <v>5481.5106611110859</v>
      </c>
      <c r="I24" s="1"/>
      <c r="L24" s="126">
        <v>45782.625</v>
      </c>
      <c r="M24" s="3">
        <v>59.442999999999998</v>
      </c>
    </row>
    <row r="25" spans="1:13" x14ac:dyDescent="0.3">
      <c r="A25" s="131">
        <v>45950</v>
      </c>
      <c r="B25" s="45"/>
      <c r="C25" s="31"/>
      <c r="D25" s="32"/>
      <c r="E25" s="45"/>
      <c r="F25" s="31"/>
      <c r="G25" s="32"/>
      <c r="H25" s="82"/>
      <c r="I25" s="1"/>
      <c r="L25" s="126">
        <v>45783.625</v>
      </c>
      <c r="M25" s="3">
        <v>59.381999999999998</v>
      </c>
    </row>
    <row r="26" spans="1:13" x14ac:dyDescent="0.3">
      <c r="A26" s="131">
        <v>45951</v>
      </c>
      <c r="B26" s="45"/>
      <c r="C26" s="31"/>
      <c r="D26" s="32"/>
      <c r="E26" s="45"/>
      <c r="F26" s="31"/>
      <c r="G26" s="32"/>
      <c r="H26" s="82"/>
      <c r="I26" s="1"/>
      <c r="L26" s="126">
        <v>45784.625</v>
      </c>
      <c r="M26" s="3">
        <v>58.87</v>
      </c>
    </row>
    <row r="27" spans="1:13" x14ac:dyDescent="0.3">
      <c r="A27" s="131">
        <v>45952</v>
      </c>
      <c r="B27" s="59"/>
      <c r="C27" s="60"/>
      <c r="D27" s="61"/>
      <c r="E27" s="4"/>
      <c r="F27" s="31"/>
      <c r="G27" s="32"/>
      <c r="H27" s="82"/>
      <c r="I27" s="1"/>
      <c r="L27" s="126">
        <v>45785.625</v>
      </c>
      <c r="M27" s="3">
        <v>58.057000000000002</v>
      </c>
    </row>
    <row r="28" spans="1:13" x14ac:dyDescent="0.3">
      <c r="A28" s="131">
        <v>45953</v>
      </c>
      <c r="B28" s="45"/>
      <c r="C28" s="31"/>
      <c r="D28" s="32"/>
      <c r="E28" s="4"/>
      <c r="F28" s="31"/>
      <c r="G28" s="32"/>
      <c r="H28" s="82"/>
      <c r="I28" s="1"/>
      <c r="L28" s="126">
        <v>45786.625</v>
      </c>
      <c r="M28" s="3">
        <v>57.448</v>
      </c>
    </row>
    <row r="29" spans="1:13" x14ac:dyDescent="0.3">
      <c r="A29" s="131">
        <v>45954</v>
      </c>
      <c r="B29" s="45"/>
      <c r="C29" s="31"/>
      <c r="D29" s="32"/>
      <c r="E29" s="4"/>
      <c r="F29" s="31"/>
      <c r="G29" s="32"/>
      <c r="H29" s="82"/>
      <c r="I29" s="1"/>
      <c r="L29" s="126">
        <v>45789.625</v>
      </c>
      <c r="M29" s="3">
        <v>56.378</v>
      </c>
    </row>
    <row r="30" spans="1:13" x14ac:dyDescent="0.3">
      <c r="A30" s="131">
        <v>45955</v>
      </c>
      <c r="B30" s="45"/>
      <c r="C30" s="31"/>
      <c r="D30" s="32"/>
      <c r="E30" s="4"/>
      <c r="F30" s="31"/>
      <c r="G30" s="32"/>
      <c r="H30" s="82"/>
      <c r="I30" s="1"/>
      <c r="L30" s="126">
        <v>45790.625</v>
      </c>
      <c r="M30" s="3">
        <v>53.453000000000003</v>
      </c>
    </row>
    <row r="31" spans="1:13" x14ac:dyDescent="0.3">
      <c r="A31" s="131">
        <v>45956</v>
      </c>
      <c r="B31" s="45"/>
      <c r="C31" s="31"/>
      <c r="D31" s="32"/>
      <c r="E31" s="4"/>
      <c r="F31" s="31"/>
      <c r="G31" s="32"/>
      <c r="H31" s="82"/>
      <c r="I31" s="1"/>
      <c r="L31" s="126">
        <v>45791.625</v>
      </c>
      <c r="M31" s="3">
        <v>53.988</v>
      </c>
    </row>
    <row r="32" spans="1:13" x14ac:dyDescent="0.3">
      <c r="A32" s="15"/>
      <c r="B32" s="45"/>
      <c r="C32" s="31"/>
      <c r="D32" s="32"/>
      <c r="E32" s="4"/>
      <c r="F32" s="31"/>
      <c r="G32" s="32"/>
      <c r="H32" s="82"/>
      <c r="I32" s="1"/>
      <c r="L32" s="126">
        <v>45792.625</v>
      </c>
      <c r="M32" s="3">
        <v>54.762</v>
      </c>
    </row>
    <row r="33" spans="1:13" x14ac:dyDescent="0.3">
      <c r="A33" s="15"/>
      <c r="B33" s="45"/>
      <c r="C33" s="31"/>
      <c r="D33" s="32"/>
      <c r="E33" s="4"/>
      <c r="F33" s="31"/>
      <c r="G33" s="32"/>
      <c r="H33" s="82"/>
      <c r="I33" s="1"/>
      <c r="L33" s="126">
        <v>45793.625</v>
      </c>
      <c r="M33" s="3">
        <v>54.014000000000003</v>
      </c>
    </row>
    <row r="34" spans="1:13" x14ac:dyDescent="0.3">
      <c r="A34" s="15"/>
      <c r="B34" s="45"/>
      <c r="C34" s="31"/>
      <c r="D34" s="32"/>
      <c r="E34" s="4"/>
      <c r="F34" s="31"/>
      <c r="G34" s="32"/>
      <c r="H34" s="82"/>
      <c r="I34" s="1"/>
      <c r="L34" s="126">
        <v>45796.625</v>
      </c>
      <c r="M34" s="3">
        <v>54.042000000000002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L35" s="126">
        <v>45797.625</v>
      </c>
      <c r="M35" s="3">
        <v>53.8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L36" s="126">
        <v>45798.625</v>
      </c>
      <c r="M36" s="3">
        <v>53.773000000000003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L37" s="126">
        <v>45799.625</v>
      </c>
      <c r="M37" s="3">
        <v>54.58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L38" s="126">
        <v>45800.625</v>
      </c>
      <c r="M38" s="3">
        <v>55.301000000000002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L39" s="126">
        <v>45803.625</v>
      </c>
      <c r="M39" s="3">
        <v>55.465000000000003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L40" s="126">
        <v>45804.625</v>
      </c>
      <c r="M40" s="3">
        <v>53.786999999999999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L41" s="126">
        <v>45805.625</v>
      </c>
      <c r="M41" s="3">
        <v>52.703000000000003</v>
      </c>
    </row>
    <row r="42" spans="1:13" x14ac:dyDescent="0.3">
      <c r="B42" s="62"/>
      <c r="C42" s="62"/>
      <c r="D42" s="62"/>
      <c r="F42" s="60"/>
      <c r="G42" s="60"/>
      <c r="H42" s="60"/>
      <c r="L42" s="126">
        <v>45806.625</v>
      </c>
      <c r="M42" s="3">
        <v>51.826000000000001</v>
      </c>
    </row>
    <row r="43" spans="1:13" x14ac:dyDescent="0.3">
      <c r="B43" s="62"/>
      <c r="C43" s="62"/>
      <c r="D43" s="62"/>
      <c r="F43" s="60"/>
      <c r="G43" s="60"/>
      <c r="H43" s="60"/>
      <c r="L43" s="126">
        <v>45807.625</v>
      </c>
      <c r="M43" s="3">
        <v>52.076999999999998</v>
      </c>
    </row>
    <row r="44" spans="1:13" x14ac:dyDescent="0.3">
      <c r="B44" s="62"/>
      <c r="C44" s="62"/>
      <c r="D44" s="62"/>
      <c r="F44" s="60"/>
      <c r="G44" s="60"/>
      <c r="H44" s="60"/>
      <c r="L44" s="126">
        <v>45810.625</v>
      </c>
      <c r="M44" s="3">
        <v>51.999000000000002</v>
      </c>
    </row>
    <row r="45" spans="1:13" x14ac:dyDescent="0.3">
      <c r="B45" s="62"/>
      <c r="C45" s="62"/>
      <c r="D45" s="62"/>
      <c r="F45" s="60"/>
      <c r="G45" s="60"/>
      <c r="H45" s="60"/>
      <c r="L45" s="126">
        <v>45811.625</v>
      </c>
      <c r="M45" s="3">
        <v>51.923999999999999</v>
      </c>
    </row>
    <row r="46" spans="1:13" x14ac:dyDescent="0.3">
      <c r="B46" s="62"/>
      <c r="C46" s="62"/>
      <c r="D46" s="62"/>
      <c r="L46" s="126">
        <v>45812.625</v>
      </c>
      <c r="M46" s="3">
        <v>50.991</v>
      </c>
    </row>
    <row r="47" spans="1:13" x14ac:dyDescent="0.3">
      <c r="B47" s="62"/>
      <c r="C47" s="62"/>
      <c r="D47" s="62"/>
      <c r="L47" s="126">
        <v>45813.625</v>
      </c>
      <c r="M47" s="3">
        <v>51.46</v>
      </c>
    </row>
    <row r="48" spans="1:13" x14ac:dyDescent="0.3">
      <c r="B48" s="62"/>
      <c r="C48" s="62"/>
      <c r="D48" s="62"/>
      <c r="L48" s="126">
        <v>45814.625</v>
      </c>
      <c r="M48" s="3">
        <v>50.575000000000003</v>
      </c>
    </row>
    <row r="49" spans="2:13" x14ac:dyDescent="0.3">
      <c r="B49" s="62"/>
      <c r="C49" s="62"/>
      <c r="D49" s="62"/>
      <c r="L49" s="126">
        <v>45817.625</v>
      </c>
      <c r="M49" s="3">
        <v>50.07</v>
      </c>
    </row>
    <row r="50" spans="2:13" x14ac:dyDescent="0.3">
      <c r="B50" s="62"/>
      <c r="C50" s="62"/>
      <c r="D50" s="62"/>
      <c r="L50" s="126">
        <v>45818.625</v>
      </c>
      <c r="M50" s="3">
        <v>49.826999999999998</v>
      </c>
    </row>
    <row r="51" spans="2:13" x14ac:dyDescent="0.3">
      <c r="B51" s="62"/>
      <c r="C51" s="62"/>
      <c r="D51" s="62"/>
      <c r="L51" s="126">
        <v>45819.625</v>
      </c>
      <c r="M51" s="3">
        <v>49.567</v>
      </c>
    </row>
    <row r="52" spans="2:13" x14ac:dyDescent="0.3">
      <c r="B52" s="62"/>
      <c r="C52" s="62"/>
      <c r="D52" s="62"/>
      <c r="L52" s="126">
        <v>45820.625</v>
      </c>
      <c r="M52" s="3">
        <v>49.652999999999999</v>
      </c>
    </row>
    <row r="53" spans="2:13" x14ac:dyDescent="0.3">
      <c r="B53" s="62"/>
      <c r="C53" s="62"/>
      <c r="D53" s="62"/>
      <c r="L53" s="126">
        <v>45821.625</v>
      </c>
      <c r="M53" s="3">
        <v>51.447000000000003</v>
      </c>
    </row>
    <row r="54" spans="2:13" x14ac:dyDescent="0.3">
      <c r="L54" s="126">
        <v>45824.625</v>
      </c>
      <c r="M54" s="3">
        <v>50.210999999999999</v>
      </c>
    </row>
    <row r="55" spans="2:13" x14ac:dyDescent="0.3">
      <c r="L55" s="126">
        <v>45825.625</v>
      </c>
      <c r="M55" s="3">
        <v>50.256</v>
      </c>
    </row>
    <row r="56" spans="2:13" x14ac:dyDescent="0.3">
      <c r="L56" s="126">
        <v>45826.625</v>
      </c>
      <c r="M56" s="3">
        <v>50.328000000000003</v>
      </c>
    </row>
    <row r="57" spans="2:13" x14ac:dyDescent="0.3">
      <c r="L57" s="126">
        <v>45827.625</v>
      </c>
      <c r="M57" s="3">
        <v>51.09</v>
      </c>
    </row>
    <row r="58" spans="2:13" x14ac:dyDescent="0.3">
      <c r="L58" s="126">
        <v>45828.625</v>
      </c>
      <c r="M58" s="3">
        <v>50.98</v>
      </c>
    </row>
    <row r="59" spans="2:13" x14ac:dyDescent="0.3">
      <c r="L59" s="126">
        <v>45831.625</v>
      </c>
      <c r="M59" s="3">
        <v>51.106000000000002</v>
      </c>
    </row>
    <row r="60" spans="2:13" x14ac:dyDescent="0.3">
      <c r="L60" s="126">
        <v>45832.625</v>
      </c>
      <c r="M60" s="3">
        <v>48.530999999999999</v>
      </c>
    </row>
    <row r="61" spans="2:13" x14ac:dyDescent="0.3">
      <c r="L61" s="126">
        <v>45833.625</v>
      </c>
      <c r="M61" s="3">
        <v>48.798000000000002</v>
      </c>
    </row>
    <row r="62" spans="2:13" x14ac:dyDescent="0.3">
      <c r="L62" s="126">
        <v>45834.625</v>
      </c>
      <c r="M62" s="3">
        <v>48.734999999999999</v>
      </c>
    </row>
    <row r="63" spans="2:13" x14ac:dyDescent="0.3">
      <c r="L63" s="126">
        <v>45835.625</v>
      </c>
      <c r="M63" s="3">
        <v>47.646000000000001</v>
      </c>
    </row>
    <row r="64" spans="2:13" x14ac:dyDescent="0.3">
      <c r="L64" s="126">
        <v>45838.625</v>
      </c>
      <c r="M64" s="3">
        <v>47.832999999999998</v>
      </c>
    </row>
    <row r="65" spans="12:13" x14ac:dyDescent="0.3">
      <c r="L65" s="126">
        <v>45839.625</v>
      </c>
      <c r="M65" s="3">
        <v>47.801000000000002</v>
      </c>
    </row>
    <row r="66" spans="12:13" x14ac:dyDescent="0.3">
      <c r="L66" s="126">
        <v>45840.625</v>
      </c>
      <c r="M66" s="3">
        <v>47.194000000000003</v>
      </c>
    </row>
    <row r="67" spans="12:13" x14ac:dyDescent="0.3">
      <c r="L67" s="126">
        <v>45841.625</v>
      </c>
      <c r="M67" s="3">
        <v>47.182000000000002</v>
      </c>
    </row>
    <row r="68" spans="12:13" x14ac:dyDescent="0.3">
      <c r="L68" s="126">
        <v>45842.625</v>
      </c>
      <c r="M68" s="3">
        <v>47.551000000000002</v>
      </c>
    </row>
    <row r="69" spans="12:13" x14ac:dyDescent="0.3">
      <c r="L69" s="126">
        <v>45845.625</v>
      </c>
      <c r="M69" s="3">
        <v>47.372</v>
      </c>
    </row>
    <row r="70" spans="12:13" x14ac:dyDescent="0.3">
      <c r="L70" s="126">
        <v>45846.625</v>
      </c>
      <c r="M70" s="3">
        <v>47.015000000000001</v>
      </c>
    </row>
    <row r="71" spans="12:13" x14ac:dyDescent="0.3">
      <c r="L71" s="126">
        <v>45847.625</v>
      </c>
      <c r="M71" s="3">
        <v>47.259</v>
      </c>
    </row>
    <row r="72" spans="12:13" x14ac:dyDescent="0.3">
      <c r="L72" s="126">
        <v>45848.625</v>
      </c>
      <c r="M72" s="3">
        <v>46.771000000000001</v>
      </c>
    </row>
    <row r="73" spans="12:13" x14ac:dyDescent="0.3">
      <c r="L73" s="126">
        <v>45849.625</v>
      </c>
      <c r="M73" s="3">
        <v>47.335999999999999</v>
      </c>
    </row>
    <row r="74" spans="12:13" x14ac:dyDescent="0.3">
      <c r="L74" s="126">
        <v>45852.625</v>
      </c>
      <c r="M74" s="3">
        <v>47.235999999999997</v>
      </c>
    </row>
    <row r="75" spans="12:13" x14ac:dyDescent="0.3">
      <c r="L75" s="126">
        <v>45853.625</v>
      </c>
      <c r="M75" s="3">
        <v>47.542999999999999</v>
      </c>
    </row>
    <row r="76" spans="12:13" x14ac:dyDescent="0.3">
      <c r="L76" s="126">
        <v>45854.625</v>
      </c>
      <c r="M76" s="3">
        <v>47.863999999999997</v>
      </c>
    </row>
    <row r="77" spans="12:13" x14ac:dyDescent="0.3">
      <c r="L77" s="126">
        <v>45855.625</v>
      </c>
      <c r="M77" s="3">
        <v>47.286999999999999</v>
      </c>
    </row>
    <row r="78" spans="12:13" x14ac:dyDescent="0.3">
      <c r="L78" s="126">
        <v>45856.625</v>
      </c>
      <c r="M78" s="3">
        <v>46.664999999999999</v>
      </c>
    </row>
    <row r="79" spans="12:13" x14ac:dyDescent="0.3">
      <c r="L79" s="126">
        <v>45859.625</v>
      </c>
      <c r="M79" s="3">
        <v>46.798000000000002</v>
      </c>
    </row>
    <row r="80" spans="12:13" x14ac:dyDescent="0.3">
      <c r="L80" s="126">
        <v>45860.625</v>
      </c>
      <c r="M80" s="3">
        <v>47.064999999999998</v>
      </c>
    </row>
    <row r="81" spans="12:13" x14ac:dyDescent="0.3">
      <c r="L81" s="126">
        <v>45861.625</v>
      </c>
      <c r="M81" s="3">
        <v>46.191000000000003</v>
      </c>
    </row>
    <row r="82" spans="12:13" x14ac:dyDescent="0.3">
      <c r="L82" s="126">
        <v>45862.625</v>
      </c>
      <c r="M82" s="3">
        <v>46.113</v>
      </c>
    </row>
    <row r="83" spans="12:13" x14ac:dyDescent="0.3">
      <c r="L83" s="126">
        <v>45863.625</v>
      </c>
      <c r="M83" s="3">
        <v>45.887</v>
      </c>
    </row>
    <row r="84" spans="12:13" x14ac:dyDescent="0.3">
      <c r="L84" s="126">
        <v>45866.625</v>
      </c>
      <c r="M84" s="3">
        <v>45.268000000000001</v>
      </c>
    </row>
    <row r="85" spans="12:13" x14ac:dyDescent="0.3">
      <c r="L85" s="126">
        <v>45867.625</v>
      </c>
      <c r="M85" s="3">
        <v>45.021000000000001</v>
      </c>
    </row>
    <row r="86" spans="12:13" x14ac:dyDescent="0.3">
      <c r="L86" s="126">
        <v>45868.625</v>
      </c>
      <c r="M86" s="3">
        <v>45.497999999999998</v>
      </c>
    </row>
    <row r="87" spans="12:13" x14ac:dyDescent="0.3">
      <c r="L87" s="126">
        <v>45869.625</v>
      </c>
      <c r="M87" s="3">
        <v>45.439</v>
      </c>
    </row>
    <row r="88" spans="12:13" x14ac:dyDescent="0.3">
      <c r="L88" s="126">
        <v>45870.625</v>
      </c>
      <c r="M88" s="3">
        <v>46.853000000000002</v>
      </c>
    </row>
    <row r="89" spans="12:13" x14ac:dyDescent="0.3">
      <c r="L89" s="126">
        <v>45873.625</v>
      </c>
      <c r="M89" s="3">
        <v>46.91</v>
      </c>
    </row>
    <row r="90" spans="12:13" x14ac:dyDescent="0.3">
      <c r="L90" s="126">
        <v>45874.625</v>
      </c>
      <c r="M90" s="3">
        <v>45.616999999999997</v>
      </c>
    </row>
    <row r="91" spans="12:13" x14ac:dyDescent="0.3">
      <c r="L91" s="126">
        <v>45875.625</v>
      </c>
      <c r="M91" s="3">
        <v>46.472000000000001</v>
      </c>
    </row>
    <row r="92" spans="12:13" x14ac:dyDescent="0.3">
      <c r="L92" s="126">
        <v>45876.625</v>
      </c>
      <c r="M92" s="3">
        <v>45.741999999999997</v>
      </c>
    </row>
    <row r="93" spans="12:13" x14ac:dyDescent="0.3">
      <c r="L93" s="126">
        <v>45877.625</v>
      </c>
      <c r="M93" s="3">
        <v>45.639000000000003</v>
      </c>
    </row>
    <row r="94" spans="12:13" x14ac:dyDescent="0.3">
      <c r="L94" s="126">
        <v>45880.625</v>
      </c>
      <c r="M94" s="3">
        <v>45.212000000000003</v>
      </c>
    </row>
    <row r="95" spans="12:13" x14ac:dyDescent="0.3">
      <c r="L95" s="126">
        <v>45881.625</v>
      </c>
      <c r="M95" s="3">
        <v>44.905000000000001</v>
      </c>
    </row>
    <row r="96" spans="12:13" x14ac:dyDescent="0.3">
      <c r="L96" s="126">
        <v>45882.625</v>
      </c>
      <c r="M96" s="3">
        <v>44.164999999999999</v>
      </c>
    </row>
    <row r="97" spans="12:13" x14ac:dyDescent="0.3">
      <c r="L97" s="126">
        <v>45883.625</v>
      </c>
      <c r="M97" s="3">
        <v>43.07</v>
      </c>
    </row>
    <row r="98" spans="12:13" x14ac:dyDescent="0.3">
      <c r="L98" s="126">
        <v>45884.625</v>
      </c>
      <c r="M98" s="3">
        <v>42.658000000000001</v>
      </c>
    </row>
    <row r="99" spans="12:13" x14ac:dyDescent="0.3">
      <c r="L99" s="126">
        <v>45887.625</v>
      </c>
      <c r="M99" s="3">
        <v>42.69</v>
      </c>
    </row>
    <row r="100" spans="12:13" x14ac:dyDescent="0.3">
      <c r="L100" s="126">
        <v>45888.625</v>
      </c>
      <c r="M100" s="3">
        <v>43.34</v>
      </c>
    </row>
    <row r="101" spans="12:13" x14ac:dyDescent="0.3">
      <c r="L101" s="126">
        <v>45889.625</v>
      </c>
      <c r="M101" s="3">
        <v>43.088999999999999</v>
      </c>
    </row>
    <row r="102" spans="12:13" x14ac:dyDescent="0.3">
      <c r="L102" s="126">
        <v>45890.625</v>
      </c>
      <c r="M102" s="3">
        <v>43.530999999999999</v>
      </c>
    </row>
    <row r="103" spans="12:13" x14ac:dyDescent="0.3">
      <c r="L103" s="126">
        <v>45891.625</v>
      </c>
      <c r="M103" s="3">
        <v>43.149000000000001</v>
      </c>
    </row>
    <row r="104" spans="12:13" x14ac:dyDescent="0.3">
      <c r="L104" s="126">
        <v>45894.625</v>
      </c>
      <c r="M104" s="3">
        <v>42.863999999999997</v>
      </c>
    </row>
    <row r="105" spans="12:13" x14ac:dyDescent="0.3">
      <c r="L105" s="126">
        <v>45895.625</v>
      </c>
      <c r="M105" s="3">
        <v>44.186</v>
      </c>
    </row>
    <row r="106" spans="12:13" x14ac:dyDescent="0.3">
      <c r="L106" s="126">
        <v>45896.625</v>
      </c>
      <c r="M106" s="3">
        <v>45.048999999999999</v>
      </c>
    </row>
    <row r="107" spans="12:13" x14ac:dyDescent="0.3">
      <c r="L107" s="126">
        <v>45897.625</v>
      </c>
      <c r="M107" s="3">
        <v>46.148000000000003</v>
      </c>
    </row>
    <row r="108" spans="12:13" x14ac:dyDescent="0.3">
      <c r="L108" s="126">
        <v>45898.625</v>
      </c>
      <c r="M108" s="3">
        <v>46.421999999999997</v>
      </c>
    </row>
    <row r="109" spans="12:13" x14ac:dyDescent="0.3">
      <c r="L109" s="126">
        <v>45901.625</v>
      </c>
      <c r="M109" s="3">
        <v>46.432000000000002</v>
      </c>
    </row>
    <row r="110" spans="12:13" x14ac:dyDescent="0.3">
      <c r="L110" s="126">
        <v>45902.625</v>
      </c>
      <c r="M110" s="3">
        <v>48.558999999999997</v>
      </c>
    </row>
    <row r="111" spans="12:13" x14ac:dyDescent="0.3">
      <c r="L111" s="126">
        <v>45903.625</v>
      </c>
      <c r="M111" s="3">
        <v>48.46</v>
      </c>
    </row>
    <row r="112" spans="12:13" x14ac:dyDescent="0.3">
      <c r="L112" s="126">
        <v>45904.625</v>
      </c>
      <c r="M112" s="3">
        <v>47.35</v>
      </c>
    </row>
    <row r="113" spans="12:13" x14ac:dyDescent="0.3">
      <c r="L113" s="126">
        <v>45905.625</v>
      </c>
      <c r="M113" s="3">
        <v>46.287999999999997</v>
      </c>
    </row>
    <row r="114" spans="12:13" x14ac:dyDescent="0.3">
      <c r="L114" s="126">
        <v>45908.625</v>
      </c>
      <c r="M114" s="3">
        <v>46.375</v>
      </c>
    </row>
    <row r="115" spans="12:13" x14ac:dyDescent="0.3">
      <c r="L115" s="126">
        <v>45909.625</v>
      </c>
      <c r="M115" s="3">
        <v>45.290999999999997</v>
      </c>
    </row>
    <row r="116" spans="12:13" x14ac:dyDescent="0.3">
      <c r="L116" s="126">
        <v>45910.625</v>
      </c>
      <c r="M116" s="3">
        <v>44.817</v>
      </c>
    </row>
    <row r="117" spans="12:13" x14ac:dyDescent="0.3">
      <c r="L117" s="126">
        <v>45911.625</v>
      </c>
      <c r="M117" s="3">
        <v>43.853000000000002</v>
      </c>
    </row>
    <row r="118" spans="12:13" x14ac:dyDescent="0.3">
      <c r="L118" s="126">
        <v>45912.625</v>
      </c>
      <c r="M118" s="3">
        <v>43.271000000000001</v>
      </c>
    </row>
    <row r="119" spans="12:13" x14ac:dyDescent="0.3">
      <c r="L119" s="126">
        <v>45915.625</v>
      </c>
      <c r="M119" s="3">
        <v>42.829000000000001</v>
      </c>
    </row>
    <row r="120" spans="12:13" x14ac:dyDescent="0.3">
      <c r="L120" s="126">
        <v>45916.625</v>
      </c>
      <c r="M120" s="3">
        <v>42.984000000000002</v>
      </c>
    </row>
    <row r="121" spans="12:13" x14ac:dyDescent="0.3">
      <c r="L121" s="126">
        <v>45917.625</v>
      </c>
      <c r="M121" s="3">
        <v>43.191000000000003</v>
      </c>
    </row>
    <row r="122" spans="12:13" x14ac:dyDescent="0.3">
      <c r="L122" s="126">
        <v>45918.625</v>
      </c>
      <c r="M122" s="3">
        <v>42.176000000000002</v>
      </c>
    </row>
    <row r="123" spans="12:13" x14ac:dyDescent="0.3">
      <c r="L123" s="126">
        <v>45919.625</v>
      </c>
      <c r="M123" s="3">
        <v>42.023000000000003</v>
      </c>
    </row>
    <row r="124" spans="12:13" x14ac:dyDescent="0.3">
      <c r="L124" s="126">
        <v>45922.625</v>
      </c>
      <c r="M124" s="3">
        <v>47.085000000000001</v>
      </c>
    </row>
    <row r="125" spans="12:13" x14ac:dyDescent="0.3">
      <c r="L125" s="126">
        <v>45923.625</v>
      </c>
      <c r="M125" s="3">
        <v>46.759</v>
      </c>
    </row>
    <row r="126" spans="12:13" x14ac:dyDescent="0.3">
      <c r="L126" s="126">
        <v>45924.625</v>
      </c>
      <c r="M126" s="3">
        <v>46.57</v>
      </c>
    </row>
    <row r="127" spans="12:13" x14ac:dyDescent="0.3">
      <c r="L127" s="126">
        <v>45925.625</v>
      </c>
      <c r="M127" s="3">
        <v>46.603999999999999</v>
      </c>
    </row>
    <row r="128" spans="12:13" x14ac:dyDescent="0.3">
      <c r="L128" s="126">
        <v>45926.625</v>
      </c>
      <c r="M128" s="3">
        <v>47.268999999999998</v>
      </c>
    </row>
    <row r="129" spans="12:13" x14ac:dyDescent="0.3">
      <c r="L129" s="126">
        <v>45929.625</v>
      </c>
      <c r="M129" s="3">
        <v>46.972000000000001</v>
      </c>
    </row>
    <row r="130" spans="12:13" x14ac:dyDescent="0.3">
      <c r="L130" s="126">
        <v>45930.625</v>
      </c>
      <c r="M130" s="3">
        <v>46.463999999999999</v>
      </c>
    </row>
    <row r="131" spans="12:13" x14ac:dyDescent="0.3">
      <c r="L131" s="126">
        <v>45931.625</v>
      </c>
      <c r="M131" s="3">
        <v>46.284999999999997</v>
      </c>
    </row>
    <row r="132" spans="12:13" x14ac:dyDescent="0.3">
      <c r="L132" s="126">
        <v>45932.625</v>
      </c>
      <c r="M132" s="3">
        <v>45.938000000000002</v>
      </c>
    </row>
    <row r="133" spans="12:13" x14ac:dyDescent="0.3">
      <c r="L133" s="126">
        <v>45933.625</v>
      </c>
      <c r="M133" s="3">
        <v>45.588000000000001</v>
      </c>
    </row>
    <row r="134" spans="12:13" x14ac:dyDescent="0.3">
      <c r="L134" s="126">
        <v>45936.625</v>
      </c>
      <c r="M134" s="3">
        <v>46.19</v>
      </c>
    </row>
    <row r="135" spans="12:13" x14ac:dyDescent="0.3">
      <c r="L135" s="126">
        <v>45937.625</v>
      </c>
      <c r="M135" s="3">
        <v>46.366</v>
      </c>
    </row>
    <row r="136" spans="12:13" x14ac:dyDescent="0.3">
      <c r="L136" s="126">
        <v>45938.625</v>
      </c>
      <c r="M136" s="3">
        <v>46.357999999999997</v>
      </c>
    </row>
    <row r="137" spans="12:13" x14ac:dyDescent="0.3">
      <c r="L137" s="126">
        <v>45939.625</v>
      </c>
      <c r="M137" s="3">
        <v>46.667999999999999</v>
      </c>
    </row>
    <row r="138" spans="12:13" x14ac:dyDescent="0.3">
      <c r="L138" s="126">
        <v>45940.625</v>
      </c>
      <c r="M138" s="3">
        <v>46.917000000000002</v>
      </c>
    </row>
    <row r="139" spans="12:13" x14ac:dyDescent="0.3">
      <c r="L139" s="126">
        <v>45943.625</v>
      </c>
      <c r="M139" s="3">
        <v>47.828000000000003</v>
      </c>
    </row>
    <row r="140" spans="12:13" x14ac:dyDescent="0.3">
      <c r="L140" s="126">
        <v>45944.625</v>
      </c>
      <c r="M140" s="3">
        <v>47.908000000000001</v>
      </c>
    </row>
    <row r="141" spans="12:13" x14ac:dyDescent="0.3">
      <c r="L141" s="126">
        <v>45945.625</v>
      </c>
      <c r="M141" s="3">
        <v>45.886000000000003</v>
      </c>
    </row>
    <row r="142" spans="12:13" x14ac:dyDescent="0.3">
      <c r="L142" s="126">
        <v>45946.625</v>
      </c>
      <c r="M142" s="3">
        <v>45.503</v>
      </c>
    </row>
    <row r="143" spans="12:13" x14ac:dyDescent="0.3">
      <c r="L143" s="126">
        <v>45947.625</v>
      </c>
      <c r="M143" s="3">
        <v>47.009</v>
      </c>
    </row>
  </sheetData>
  <mergeCells count="2">
    <mergeCell ref="B12:D12"/>
    <mergeCell ref="E12:G12"/>
  </mergeCells>
  <conditionalFormatting sqref="H12:H34">
    <cfRule type="cellIs" dxfId="21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140"/>
  <sheetViews>
    <sheetView zoomScale="80" zoomScaleNormal="80" workbookViewId="0">
      <selection activeCell="C25" sqref="A1:XFD1048576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8.8867187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3" style="54" bestFit="1" customWidth="1"/>
    <col min="15" max="15" width="9.109375"/>
    <col min="16" max="16" width="10.5546875" style="75" hidden="1" customWidth="1"/>
    <col min="17" max="17" width="6" style="54" hidden="1" customWidth="1"/>
    <col min="18" max="18" width="10.5546875" style="75" hidden="1" customWidth="1"/>
    <col min="19" max="19" width="8.88671875" style="54" hidden="1" customWidth="1"/>
    <col min="20" max="20" width="15.77734375" style="125" hidden="1" customWidth="1"/>
    <col min="21" max="21" width="8.88671875" style="54" hidden="1" customWidth="1"/>
    <col min="22" max="22" width="10.5546875" style="75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P1" s="53"/>
      <c r="Q1" s="1"/>
      <c r="R1" s="53"/>
      <c r="S1" s="1"/>
      <c r="T1" s="122"/>
      <c r="U1" s="1"/>
      <c r="V1" s="53"/>
    </row>
    <row r="2" spans="1:23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0.625</v>
      </c>
      <c r="J2" s="1"/>
      <c r="K2" s="53"/>
      <c r="L2" s="1"/>
      <c r="M2" s="53"/>
      <c r="P2" s="102" t="s">
        <v>0</v>
      </c>
      <c r="Q2" s="1"/>
      <c r="R2" s="103" t="s">
        <v>1</v>
      </c>
      <c r="S2" s="2"/>
      <c r="T2" s="123" t="s">
        <v>1</v>
      </c>
      <c r="U2" s="1"/>
      <c r="V2" s="101" t="s">
        <v>0</v>
      </c>
    </row>
    <row r="3" spans="1:23" x14ac:dyDescent="0.3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75"/>
      <c r="H3" s="1"/>
      <c r="I3" s="53"/>
      <c r="J3" s="1"/>
      <c r="K3" s="53"/>
      <c r="L3" s="1"/>
      <c r="M3" s="53"/>
      <c r="P3" s="52" cm="1">
        <f t="array" ref="P3:Q137">_xll.BDH(B4, "LAST_PRICE", "01/01/2025 15:00:00", "01/01/2035 16:00:00", "BarSize=60", "BarType=T", "RecurDaily=True", "TZ=London")</f>
        <v>45751.625</v>
      </c>
      <c r="Q3" s="1">
        <v>90.08</v>
      </c>
      <c r="R3" s="52" cm="1">
        <f t="array" ref="R3:S140">_xll.BDH(C4, "LAST_PRICE", "01/01/2025 15:00:00", "01/01/2035 16:00:00", "BarSize=60", "BarType=T", "RecurDaily=True", "TZ=London")</f>
        <v>45751.625</v>
      </c>
      <c r="S3" s="46">
        <v>101.578</v>
      </c>
      <c r="T3" s="124" cm="1">
        <f t="array" ref="T3:U129">_xll.BDH(D4, "LAST_PRICE", "01/01/2025 15:00:00", "01/01/2035 16:00:00", "BarSize=60", "BarType=T", "RecurDaily=True", "TZ=London")</f>
        <v>45751.625</v>
      </c>
      <c r="U3" s="1">
        <v>119.31</v>
      </c>
      <c r="V3" s="52" cm="1">
        <f t="array" ref="V3:W76">_xll.BDH(E4, "LAST_PRICE", "01/01/2025 15:00:00", "01/01/2035 16:00:00", "BarSize=60", "BarType=T", "RecurDaily=True", "TZ=London")</f>
        <v>45846.625</v>
      </c>
      <c r="W3" s="54">
        <v>99.76</v>
      </c>
    </row>
    <row r="4" spans="1:23" ht="32.25" customHeight="1" x14ac:dyDescent="0.3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53"/>
      <c r="H4" s="1"/>
      <c r="I4" s="53"/>
      <c r="J4" s="1"/>
      <c r="K4" s="53"/>
      <c r="L4" s="1"/>
      <c r="M4" s="53"/>
      <c r="P4" s="75">
        <v>45754.625</v>
      </c>
      <c r="Q4" s="54">
        <v>89.41</v>
      </c>
      <c r="R4" s="75">
        <v>45754.625</v>
      </c>
      <c r="S4" s="54">
        <v>101.506</v>
      </c>
      <c r="T4" s="125">
        <v>45754.625</v>
      </c>
      <c r="U4" s="54">
        <v>118.7</v>
      </c>
      <c r="V4" s="75">
        <v>45847.625</v>
      </c>
      <c r="W4" s="54">
        <v>99.84</v>
      </c>
    </row>
    <row r="5" spans="1:23" x14ac:dyDescent="0.3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5">
        <v>45755.625</v>
      </c>
      <c r="Q5" s="54">
        <v>90.07</v>
      </c>
      <c r="R5" s="75">
        <v>45755.625</v>
      </c>
      <c r="S5" s="54">
        <v>101.324</v>
      </c>
      <c r="T5" s="125">
        <v>45755.625</v>
      </c>
      <c r="U5" s="54">
        <v>119.1</v>
      </c>
      <c r="V5" s="75">
        <v>45848.625</v>
      </c>
      <c r="W5" s="54">
        <v>99.671999999999997</v>
      </c>
    </row>
    <row r="6" spans="1:23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5">
        <v>45756.625</v>
      </c>
      <c r="Q6" s="54">
        <v>89.53</v>
      </c>
      <c r="R6" s="75">
        <v>45756.625</v>
      </c>
      <c r="S6" s="54">
        <v>101.774</v>
      </c>
      <c r="T6" s="125">
        <v>45756.625</v>
      </c>
      <c r="U6" s="54">
        <v>118.82</v>
      </c>
      <c r="V6" s="75">
        <v>45849.625</v>
      </c>
      <c r="W6" s="54">
        <v>99.567999999999998</v>
      </c>
    </row>
    <row r="7" spans="1:23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P7" s="75">
        <v>45757.625</v>
      </c>
      <c r="Q7" s="54">
        <v>90.4</v>
      </c>
      <c r="R7" s="75">
        <v>45757.625</v>
      </c>
      <c r="S7" s="54">
        <v>101.46299999999999</v>
      </c>
      <c r="T7" s="125">
        <v>45757.625</v>
      </c>
      <c r="U7" s="54">
        <v>119.32</v>
      </c>
      <c r="V7" s="75">
        <v>45852.625</v>
      </c>
      <c r="W7" s="54">
        <v>99.611999999999995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5">
        <v>45758.625</v>
      </c>
      <c r="Q8" s="54">
        <v>89.87</v>
      </c>
      <c r="R8" s="75">
        <v>45758.625</v>
      </c>
      <c r="S8" s="54">
        <v>101.64700000000001</v>
      </c>
      <c r="T8" s="125">
        <v>45758.625</v>
      </c>
      <c r="U8" s="54">
        <v>119.4</v>
      </c>
      <c r="V8" s="75">
        <v>45853.625</v>
      </c>
      <c r="W8" s="54">
        <v>99.713999999999999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5">
        <v>45761.625</v>
      </c>
      <c r="Q9" s="54">
        <v>90.77</v>
      </c>
      <c r="R9" s="75">
        <v>45761.625</v>
      </c>
      <c r="S9" s="54">
        <v>101.59</v>
      </c>
      <c r="T9" s="125">
        <v>45761.625</v>
      </c>
      <c r="U9" s="54">
        <v>119.64</v>
      </c>
      <c r="V9" s="75">
        <v>45854.625</v>
      </c>
      <c r="W9" s="54">
        <v>99.841999999999999</v>
      </c>
    </row>
    <row r="10" spans="1:23" ht="15" thickBot="1" x14ac:dyDescent="0.35">
      <c r="A10" s="16" t="s">
        <v>28</v>
      </c>
      <c r="B10" s="11" cm="1">
        <f t="array" ref="B10">_xll.BDP(B4,"px_last")</f>
        <v>92.06</v>
      </c>
      <c r="C10" s="21" cm="1">
        <f t="array" ref="C10">_xll.BDP(C4,"px_last")</f>
        <v>101.251</v>
      </c>
      <c r="D10" s="21" cm="1">
        <f t="array" ref="D10">_xll.BDP(D4,"px_last")</f>
        <v>121.45</v>
      </c>
      <c r="E10" s="22" cm="1">
        <f t="array" ref="E10">_xll.BDP(E4,"px_last")</f>
        <v>100.146</v>
      </c>
      <c r="F10" s="1"/>
      <c r="G10" s="1"/>
      <c r="H10" s="1"/>
      <c r="I10" s="1"/>
      <c r="J10" s="1"/>
      <c r="K10" s="1"/>
      <c r="L10" s="1"/>
      <c r="M10" s="1"/>
      <c r="N10" s="1"/>
      <c r="P10" s="75">
        <v>45762.625</v>
      </c>
      <c r="Q10" s="54">
        <v>91.01</v>
      </c>
      <c r="R10" s="75">
        <v>45762.625</v>
      </c>
      <c r="S10" s="54">
        <v>101.6</v>
      </c>
      <c r="T10" s="125">
        <v>45762.625</v>
      </c>
      <c r="U10" s="54">
        <v>119.88</v>
      </c>
      <c r="V10" s="75">
        <v>45855.625</v>
      </c>
      <c r="W10" s="54">
        <v>99.9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5">
        <v>45763.625</v>
      </c>
      <c r="Q11" s="54">
        <v>91.18</v>
      </c>
      <c r="R11" s="75">
        <v>45763.625</v>
      </c>
      <c r="S11" s="54">
        <v>101.705</v>
      </c>
      <c r="T11" s="125">
        <v>45763.625</v>
      </c>
      <c r="U11" s="54">
        <v>120.07</v>
      </c>
      <c r="V11" s="75">
        <v>45856.625</v>
      </c>
      <c r="W11" s="54">
        <v>99.805999999999997</v>
      </c>
    </row>
    <row r="12" spans="1:23" ht="15" thickBot="1" x14ac:dyDescent="0.35">
      <c r="A12" s="39" t="s">
        <v>22</v>
      </c>
      <c r="B12" s="153" t="s">
        <v>0</v>
      </c>
      <c r="C12" s="154"/>
      <c r="D12" s="154"/>
      <c r="E12" s="159" t="s">
        <v>1</v>
      </c>
      <c r="F12" s="160"/>
      <c r="G12" s="161"/>
      <c r="H12" s="156" t="s">
        <v>1</v>
      </c>
      <c r="I12" s="157"/>
      <c r="J12" s="158"/>
      <c r="K12" s="162" t="s">
        <v>0</v>
      </c>
      <c r="L12" s="163"/>
      <c r="M12" s="164"/>
      <c r="N12" s="39" t="s">
        <v>16</v>
      </c>
      <c r="P12" s="75">
        <v>45764.625</v>
      </c>
      <c r="Q12" s="54">
        <v>91.48</v>
      </c>
      <c r="R12" s="75">
        <v>45764.625</v>
      </c>
      <c r="S12" s="54">
        <v>101.895</v>
      </c>
      <c r="T12" s="125">
        <v>45764.625</v>
      </c>
      <c r="U12" s="54">
        <v>120.5</v>
      </c>
      <c r="V12" s="75">
        <v>45859.625</v>
      </c>
      <c r="W12" s="54">
        <v>100.142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P13" s="75">
        <v>45769.625</v>
      </c>
      <c r="Q13" s="54">
        <v>91.4</v>
      </c>
      <c r="R13" s="75">
        <v>45769.625</v>
      </c>
      <c r="S13" s="54">
        <v>101.94</v>
      </c>
      <c r="T13" s="125">
        <v>45769.625</v>
      </c>
      <c r="U13" s="54">
        <v>120.54</v>
      </c>
      <c r="V13" s="75">
        <v>45860.625</v>
      </c>
      <c r="W13" s="54">
        <v>100.247</v>
      </c>
    </row>
    <row r="14" spans="1:23" x14ac:dyDescent="0.3">
      <c r="A14" s="36">
        <v>45937</v>
      </c>
      <c r="B14" s="76">
        <v>92.37</v>
      </c>
      <c r="C14" s="46"/>
      <c r="D14" s="47"/>
      <c r="E14" s="76">
        <v>100.9</v>
      </c>
      <c r="F14" s="1"/>
      <c r="G14" s="5"/>
      <c r="H14" s="76">
        <v>120.9</v>
      </c>
      <c r="I14" s="1"/>
      <c r="J14" s="5"/>
      <c r="K14" s="76">
        <v>99.48</v>
      </c>
      <c r="L14" s="1"/>
      <c r="M14" s="5"/>
      <c r="N14" s="82">
        <v>0</v>
      </c>
      <c r="P14" s="75">
        <v>45770.625</v>
      </c>
      <c r="Q14" s="54">
        <v>92.29</v>
      </c>
      <c r="R14" s="75">
        <v>45770.625</v>
      </c>
      <c r="S14" s="54">
        <v>101.694</v>
      </c>
      <c r="T14" s="125">
        <v>45770.625</v>
      </c>
      <c r="U14" s="54">
        <v>120.5</v>
      </c>
      <c r="V14" s="75">
        <v>45861.625</v>
      </c>
      <c r="W14" s="54">
        <v>100.22499999999999</v>
      </c>
    </row>
    <row r="15" spans="1:23" x14ac:dyDescent="0.3">
      <c r="A15" s="36">
        <v>45938</v>
      </c>
      <c r="B15" s="76">
        <f>VLOOKUP($A15+$I$2,P$3:Q$500,2)</f>
        <v>92.12</v>
      </c>
      <c r="C15" s="31">
        <f t="shared" ref="C15:C20" si="0">(B15/$B$14-1)*$B$5</f>
        <v>-67662.66103713226</v>
      </c>
      <c r="D15" s="32">
        <f t="shared" ref="D15:D20" si="1">-1*(A15-$A$14)/360*$B$7*$B$5</f>
        <v>-2937.5</v>
      </c>
      <c r="E15" s="76">
        <f>VLOOKUP($A15+$I$2,R$3:S$500,2)</f>
        <v>100.99299999999999</v>
      </c>
      <c r="F15" s="31">
        <f t="shared" ref="F15:F20" si="2">(E15-$E$14)/100*$C$5</f>
        <v>18599.999999997865</v>
      </c>
      <c r="G15" s="32">
        <f t="shared" ref="G15:G20" si="3">(A15-$A$14)/360*$C$6*$C$5-(A15-$A$14)/360*$C$7*$C$5*$E$14/100</f>
        <v>-1037.8166666666666</v>
      </c>
      <c r="H15" s="76">
        <f>VLOOKUP($A15+$I$2,T$3:U$500,2)</f>
        <v>121.12</v>
      </c>
      <c r="I15" s="31">
        <f t="shared" ref="I15:I20" si="4">(H15/$H$14-1)*$D$5</f>
        <v>78246.484698095475</v>
      </c>
      <c r="J15" s="32">
        <f t="shared" ref="J15:J20" si="5">-1*(A15-$A$14)/360*$D$7*$D$5</f>
        <v>-5052.5</v>
      </c>
      <c r="K15" s="76">
        <f>VLOOKUP($A15+$I$2,V$3:W$500,2)</f>
        <v>99.673000000000002</v>
      </c>
      <c r="L15" s="31">
        <f t="shared" ref="L15:L20" si="6">(K15-$K$14)/100*$E$5</f>
        <v>79129.999999999112</v>
      </c>
      <c r="M15" s="32">
        <f t="shared" ref="M15:M20" si="7">(A15-$A$14)/360*$E$6*$E$5-(A15-$A$14)/360*$E$7*$E$5*$K$14/100</f>
        <v>-2286.8934444444453</v>
      </c>
      <c r="N15" s="82">
        <f t="shared" ref="N15:N20" si="8">C15+D15-F15-G15-I15-J15+L15+M15</f>
        <v>-84513.222513004264</v>
      </c>
      <c r="P15" s="75">
        <v>45771.625</v>
      </c>
      <c r="Q15" s="54">
        <v>92.32</v>
      </c>
      <c r="R15" s="75">
        <v>45771.625</v>
      </c>
      <c r="S15" s="54">
        <v>101.90300000000001</v>
      </c>
      <c r="T15" s="125">
        <v>45771.625</v>
      </c>
      <c r="U15" s="54">
        <v>120.87</v>
      </c>
      <c r="V15" s="75">
        <v>45862.625</v>
      </c>
      <c r="W15" s="54">
        <v>99.679000000000002</v>
      </c>
    </row>
    <row r="16" spans="1:23" x14ac:dyDescent="0.3">
      <c r="A16" s="36">
        <v>45939</v>
      </c>
      <c r="B16" s="76">
        <f t="shared" ref="B16:B20" si="9">VLOOKUP($A16+$I$2,P$3:Q$500,2)</f>
        <v>92</v>
      </c>
      <c r="C16" s="31">
        <f t="shared" si="0"/>
        <v>-100140.7383349584</v>
      </c>
      <c r="D16" s="32">
        <f t="shared" si="1"/>
        <v>-5875</v>
      </c>
      <c r="E16" s="76">
        <f t="shared" ref="E16:E20" si="10">VLOOKUP($A16+$I$2,R$3:S$500,2)</f>
        <v>100.934</v>
      </c>
      <c r="F16" s="31">
        <f t="shared" si="2"/>
        <v>6799.9999999983629</v>
      </c>
      <c r="G16" s="32">
        <f t="shared" si="3"/>
        <v>-2075.6333333333332</v>
      </c>
      <c r="H16" s="76">
        <f t="shared" ref="H16:H20" si="11">VLOOKUP($A16+$I$2,T$3:U$500,2)</f>
        <v>120.99</v>
      </c>
      <c r="I16" s="31">
        <f t="shared" si="4"/>
        <v>32009.92555830484</v>
      </c>
      <c r="J16" s="32">
        <f t="shared" si="5"/>
        <v>-10105</v>
      </c>
      <c r="K16" s="76">
        <f t="shared" ref="K16:K20" si="12">VLOOKUP($A16+$I$2,V$3:W$500,2)</f>
        <v>99.552999999999997</v>
      </c>
      <c r="L16" s="31">
        <f t="shared" si="6"/>
        <v>29929.99999999725</v>
      </c>
      <c r="M16" s="32">
        <f t="shared" si="7"/>
        <v>-4573.7868888888906</v>
      </c>
      <c r="N16" s="82">
        <f t="shared" si="8"/>
        <v>-107288.81744881991</v>
      </c>
      <c r="P16" s="75">
        <v>45772.625</v>
      </c>
      <c r="Q16" s="54">
        <v>92.35</v>
      </c>
      <c r="R16" s="75">
        <v>45772.625</v>
      </c>
      <c r="S16" s="54">
        <v>101.78100000000001</v>
      </c>
      <c r="T16" s="125">
        <v>45772.625</v>
      </c>
      <c r="U16" s="54">
        <v>120.71</v>
      </c>
      <c r="V16" s="75">
        <v>45863.625</v>
      </c>
      <c r="W16" s="54">
        <v>99.524000000000001</v>
      </c>
    </row>
    <row r="17" spans="1:23" x14ac:dyDescent="0.3">
      <c r="A17" s="36">
        <v>45940</v>
      </c>
      <c r="B17" s="76">
        <f t="shared" si="9"/>
        <v>91.78</v>
      </c>
      <c r="C17" s="31">
        <f t="shared" si="0"/>
        <v>-159683.88004763413</v>
      </c>
      <c r="D17" s="32">
        <f t="shared" si="1"/>
        <v>-8812.4999999999982</v>
      </c>
      <c r="E17" s="76">
        <f t="shared" si="10"/>
        <v>101.017</v>
      </c>
      <c r="F17" s="31">
        <f t="shared" si="2"/>
        <v>23399.999999998046</v>
      </c>
      <c r="G17" s="32">
        <f t="shared" si="3"/>
        <v>-3113.45</v>
      </c>
      <c r="H17" s="76">
        <f t="shared" si="11"/>
        <v>121</v>
      </c>
      <c r="I17" s="31">
        <f t="shared" si="4"/>
        <v>35566.583953676287</v>
      </c>
      <c r="J17" s="32">
        <f t="shared" si="5"/>
        <v>-15157.499999999998</v>
      </c>
      <c r="K17" s="76">
        <f t="shared" si="12"/>
        <v>99.754000000000005</v>
      </c>
      <c r="L17" s="31">
        <f t="shared" si="6"/>
        <v>112340.00000000036</v>
      </c>
      <c r="M17" s="32">
        <f t="shared" si="7"/>
        <v>-6860.6803333333337</v>
      </c>
      <c r="N17" s="82">
        <f t="shared" si="8"/>
        <v>-103712.69433464142</v>
      </c>
      <c r="P17" s="75">
        <v>45776.625</v>
      </c>
      <c r="Q17" s="54">
        <v>92.23</v>
      </c>
      <c r="R17" s="75">
        <v>45775.625</v>
      </c>
      <c r="S17" s="54">
        <v>101.74299999999999</v>
      </c>
      <c r="T17" s="125">
        <v>45775.625</v>
      </c>
      <c r="U17" s="54">
        <v>120.57</v>
      </c>
      <c r="V17" s="75">
        <v>45866.625</v>
      </c>
      <c r="W17" s="54">
        <v>99.715000000000003</v>
      </c>
    </row>
    <row r="18" spans="1:23" x14ac:dyDescent="0.3">
      <c r="A18" s="36">
        <v>45943</v>
      </c>
      <c r="B18" s="76">
        <f t="shared" si="9"/>
        <v>91.79</v>
      </c>
      <c r="C18" s="31">
        <f t="shared" si="0"/>
        <v>-156977.37360614861</v>
      </c>
      <c r="D18" s="32">
        <f t="shared" si="1"/>
        <v>-17624.999999999996</v>
      </c>
      <c r="E18" s="76">
        <f t="shared" si="10"/>
        <v>101.122</v>
      </c>
      <c r="F18" s="31">
        <f t="shared" si="2"/>
        <v>44399.999999998843</v>
      </c>
      <c r="G18" s="32">
        <f t="shared" si="3"/>
        <v>-6226.9</v>
      </c>
      <c r="H18" s="76">
        <f t="shared" si="11"/>
        <v>121.1</v>
      </c>
      <c r="I18" s="31">
        <f t="shared" si="4"/>
        <v>71133.16790736212</v>
      </c>
      <c r="J18" s="32">
        <f t="shared" si="5"/>
        <v>-30314.999999999996</v>
      </c>
      <c r="K18" s="76">
        <f t="shared" si="12"/>
        <v>99.923000000000002</v>
      </c>
      <c r="L18" s="31">
        <f t="shared" si="6"/>
        <v>181629.9999999991</v>
      </c>
      <c r="M18" s="32">
        <f t="shared" si="7"/>
        <v>-13721.360666666667</v>
      </c>
      <c r="N18" s="82">
        <f t="shared" si="8"/>
        <v>-85685.002180177136</v>
      </c>
      <c r="P18" s="75">
        <v>45777.625</v>
      </c>
      <c r="Q18" s="54">
        <v>91.86</v>
      </c>
      <c r="R18" s="75">
        <v>45776.625</v>
      </c>
      <c r="S18" s="54">
        <v>101.75</v>
      </c>
      <c r="T18" s="125">
        <v>45777.625</v>
      </c>
      <c r="U18" s="54">
        <v>120.56</v>
      </c>
      <c r="V18" s="75">
        <v>45867.625</v>
      </c>
      <c r="W18" s="54">
        <v>99.623999999999995</v>
      </c>
    </row>
    <row r="19" spans="1:23" x14ac:dyDescent="0.3">
      <c r="A19" s="36">
        <v>45944</v>
      </c>
      <c r="B19" s="76">
        <f t="shared" si="9"/>
        <v>91.85</v>
      </c>
      <c r="C19" s="31">
        <f t="shared" si="0"/>
        <v>-140738.33495724108</v>
      </c>
      <c r="D19" s="32">
        <f t="shared" si="1"/>
        <v>-20562.5</v>
      </c>
      <c r="E19" s="76">
        <f t="shared" si="10"/>
        <v>101.13800000000001</v>
      </c>
      <c r="F19" s="31">
        <f t="shared" si="2"/>
        <v>47599.999999999905</v>
      </c>
      <c r="G19" s="32">
        <f t="shared" si="3"/>
        <v>-7264.7166666666653</v>
      </c>
      <c r="H19" s="76">
        <f t="shared" si="11"/>
        <v>121.2</v>
      </c>
      <c r="I19" s="31">
        <f t="shared" si="4"/>
        <v>106699.75186103841</v>
      </c>
      <c r="J19" s="32">
        <f t="shared" si="5"/>
        <v>-35367.5</v>
      </c>
      <c r="K19" s="76">
        <f t="shared" si="12"/>
        <v>99.977999999999994</v>
      </c>
      <c r="L19" s="31">
        <f t="shared" si="6"/>
        <v>204179.9999999961</v>
      </c>
      <c r="M19" s="32">
        <f t="shared" si="7"/>
        <v>-16008.254111111117</v>
      </c>
      <c r="N19" s="82">
        <f t="shared" si="8"/>
        <v>-84796.624262727753</v>
      </c>
      <c r="P19" s="75">
        <v>45778.625</v>
      </c>
      <c r="Q19" s="54">
        <v>92.17</v>
      </c>
      <c r="R19" s="75">
        <v>45777.625</v>
      </c>
      <c r="S19" s="54">
        <v>101.923</v>
      </c>
      <c r="T19" s="125">
        <v>45778.625</v>
      </c>
      <c r="U19" s="54">
        <v>120.75</v>
      </c>
      <c r="V19" s="75">
        <v>45868.625</v>
      </c>
      <c r="W19" s="54">
        <v>99.552999999999997</v>
      </c>
    </row>
    <row r="20" spans="1:23" x14ac:dyDescent="0.3">
      <c r="A20" s="36">
        <v>45945</v>
      </c>
      <c r="B20" s="76">
        <f t="shared" si="9"/>
        <v>92.38</v>
      </c>
      <c r="C20" s="31">
        <f t="shared" si="0"/>
        <v>2706.5064414855124</v>
      </c>
      <c r="D20" s="32">
        <f t="shared" si="1"/>
        <v>-23500</v>
      </c>
      <c r="E20" s="76">
        <f t="shared" si="10"/>
        <v>101.23699999999999</v>
      </c>
      <c r="F20" s="31">
        <f t="shared" si="2"/>
        <v>67399.999999997817</v>
      </c>
      <c r="G20" s="32">
        <f t="shared" si="3"/>
        <v>-8302.5333333333328</v>
      </c>
      <c r="H20" s="76">
        <f t="shared" si="11"/>
        <v>121.62</v>
      </c>
      <c r="I20" s="31">
        <f t="shared" si="4"/>
        <v>256079.40446650557</v>
      </c>
      <c r="J20" s="32">
        <f t="shared" si="5"/>
        <v>-40420</v>
      </c>
      <c r="K20" s="76">
        <f t="shared" si="12"/>
        <v>100.18899999999999</v>
      </c>
      <c r="L20" s="31">
        <f t="shared" si="6"/>
        <v>290689.99999999546</v>
      </c>
      <c r="M20" s="32">
        <f t="shared" si="7"/>
        <v>-18295.147555555563</v>
      </c>
      <c r="N20" s="82">
        <f t="shared" si="8"/>
        <v>-23155.512247244649</v>
      </c>
      <c r="P20" s="75">
        <v>45779.625</v>
      </c>
      <c r="Q20" s="54">
        <v>92.25</v>
      </c>
      <c r="R20" s="75">
        <v>45779.625</v>
      </c>
      <c r="S20" s="54">
        <v>101.658</v>
      </c>
      <c r="T20" s="125">
        <v>45779.625</v>
      </c>
      <c r="U20" s="54">
        <v>120.42</v>
      </c>
      <c r="V20" s="75">
        <v>45869.625</v>
      </c>
      <c r="W20" s="54">
        <v>99.549000000000007</v>
      </c>
    </row>
    <row r="21" spans="1:23" x14ac:dyDescent="0.3">
      <c r="A21" s="36">
        <v>45946</v>
      </c>
      <c r="B21" s="76">
        <f t="shared" ref="B21" si="13">VLOOKUP($A21+$I$2,P$3:Q$500,2)</f>
        <v>92.23</v>
      </c>
      <c r="C21" s="31">
        <f t="shared" ref="C21:C22" si="14">(B21/$B$14-1)*$B$5</f>
        <v>-37891.090180794396</v>
      </c>
      <c r="D21" s="32">
        <f t="shared" ref="D21:D22" si="15">-1*(A21-$A$14)/360*$B$7*$B$5</f>
        <v>-26437.5</v>
      </c>
      <c r="E21" s="76">
        <f t="shared" ref="E21" si="16">VLOOKUP($A21+$I$2,R$3:S$500,2)</f>
        <v>101.221</v>
      </c>
      <c r="F21" s="31">
        <f t="shared" ref="F21:F22" si="17">(E21-$E$14)/100*$C$5</f>
        <v>64199.999999999585</v>
      </c>
      <c r="G21" s="32">
        <f t="shared" ref="G21:G22" si="18">(A21-$A$14)/360*$C$6*$C$5-(A21-$A$14)/360*$C$7*$C$5*$E$14/100</f>
        <v>-9340.3499999999967</v>
      </c>
      <c r="H21" s="76">
        <f t="shared" ref="H21" si="19">VLOOKUP($A21+$I$2,T$3:U$500,2)</f>
        <v>121.6</v>
      </c>
      <c r="I21" s="31">
        <f t="shared" ref="I21:I22" si="20">(H21/$H$14-1)*$D$5</f>
        <v>248966.08767576268</v>
      </c>
      <c r="J21" s="32">
        <f t="shared" ref="J21:J22" si="21">-1*(A21-$A$14)/360*$D$7*$D$5</f>
        <v>-45472.5</v>
      </c>
      <c r="K21" s="76">
        <f t="shared" ref="K21" si="22">VLOOKUP($A21+$I$2,V$3:W$500,2)</f>
        <v>100.14700000000001</v>
      </c>
      <c r="L21" s="31">
        <f t="shared" ref="L21:L22" si="23">(K21-$K$14)/100*$E$5</f>
        <v>273470.00000000064</v>
      </c>
      <c r="M21" s="32">
        <f t="shared" ref="M21:M22" si="24">(A21-$A$14)/360*$E$6*$E$5-(A21-$A$14)/360*$E$7*$E$5*$K$14/100</f>
        <v>-20582.041000000005</v>
      </c>
      <c r="N21" s="82">
        <f t="shared" ref="N21:N22" si="25">C21+D21-F21-G21-I21-J21+L21+M21</f>
        <v>-69793.868856556044</v>
      </c>
      <c r="P21" s="75">
        <v>45783.625</v>
      </c>
      <c r="Q21" s="54">
        <v>92.25</v>
      </c>
      <c r="R21" s="75">
        <v>45782.625</v>
      </c>
      <c r="S21" s="54">
        <v>101.652</v>
      </c>
      <c r="T21" s="125">
        <v>45783.625</v>
      </c>
      <c r="U21" s="54">
        <v>120.4</v>
      </c>
      <c r="V21" s="75">
        <v>45870.625</v>
      </c>
      <c r="W21" s="54">
        <v>99.751000000000005</v>
      </c>
    </row>
    <row r="22" spans="1:23" x14ac:dyDescent="0.3">
      <c r="A22" s="131">
        <v>45947</v>
      </c>
      <c r="B22" s="76">
        <f>B10</f>
        <v>92.06</v>
      </c>
      <c r="C22" s="31">
        <f t="shared" si="14"/>
        <v>-83901.699686045322</v>
      </c>
      <c r="D22" s="32">
        <f t="shared" si="15"/>
        <v>-29374.999999999996</v>
      </c>
      <c r="E22" s="76">
        <f>C10</f>
        <v>101.251</v>
      </c>
      <c r="F22" s="31">
        <f t="shared" si="17"/>
        <v>70199.999999999825</v>
      </c>
      <c r="G22" s="32">
        <f t="shared" si="18"/>
        <v>-10378.166666666664</v>
      </c>
      <c r="H22" s="76">
        <f>D10</f>
        <v>121.45</v>
      </c>
      <c r="I22" s="31">
        <f t="shared" si="20"/>
        <v>195616.21174523869</v>
      </c>
      <c r="J22" s="32">
        <f t="shared" si="21"/>
        <v>-50524.999999999993</v>
      </c>
      <c r="K22" s="76">
        <f>E10</f>
        <v>100.146</v>
      </c>
      <c r="L22" s="31">
        <f t="shared" si="23"/>
        <v>273059.99999999866</v>
      </c>
      <c r="M22" s="32">
        <f t="shared" si="24"/>
        <v>-22868.93444444444</v>
      </c>
      <c r="N22" s="82">
        <f t="shared" si="25"/>
        <v>-67998.679209062961</v>
      </c>
      <c r="P22" s="75">
        <v>45784.625</v>
      </c>
      <c r="Q22" s="54">
        <v>92.3</v>
      </c>
      <c r="R22" s="75">
        <v>45783.625</v>
      </c>
      <c r="S22" s="54">
        <v>101.666</v>
      </c>
      <c r="T22" s="125">
        <v>45785.625</v>
      </c>
      <c r="U22" s="54">
        <v>120.69</v>
      </c>
      <c r="V22" s="75">
        <v>45873.625</v>
      </c>
      <c r="W22" s="54">
        <v>99.884</v>
      </c>
    </row>
    <row r="23" spans="1:23" x14ac:dyDescent="0.3">
      <c r="A23" s="131">
        <v>45950</v>
      </c>
      <c r="B23" s="45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2"/>
      <c r="P23" s="75">
        <v>45785.625</v>
      </c>
      <c r="Q23" s="54">
        <v>92.52</v>
      </c>
      <c r="R23" s="75">
        <v>45784.625</v>
      </c>
      <c r="S23" s="54">
        <v>101.788</v>
      </c>
      <c r="T23" s="125">
        <v>45786.625</v>
      </c>
      <c r="U23" s="54">
        <v>120.68</v>
      </c>
      <c r="V23" s="75">
        <v>45874.625</v>
      </c>
      <c r="W23" s="54">
        <v>99.923000000000002</v>
      </c>
    </row>
    <row r="24" spans="1:23" x14ac:dyDescent="0.3">
      <c r="A24" s="131">
        <v>45951</v>
      </c>
      <c r="B24" s="45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2"/>
      <c r="P24" s="75">
        <v>45786.625</v>
      </c>
      <c r="Q24" s="54">
        <v>92.56</v>
      </c>
      <c r="R24" s="75">
        <v>45785.625</v>
      </c>
      <c r="S24" s="54">
        <v>101.69499999999999</v>
      </c>
      <c r="T24" s="125">
        <v>45789.625</v>
      </c>
      <c r="U24" s="54">
        <v>120.3</v>
      </c>
      <c r="V24" s="75">
        <v>45875.625</v>
      </c>
      <c r="W24" s="54">
        <v>99.869</v>
      </c>
    </row>
    <row r="25" spans="1:23" x14ac:dyDescent="0.3">
      <c r="A25" s="131">
        <v>45952</v>
      </c>
      <c r="B25" s="45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2"/>
      <c r="P25" s="75">
        <v>45789.625</v>
      </c>
      <c r="Q25" s="54">
        <v>92.85</v>
      </c>
      <c r="R25" s="75">
        <v>45786.625</v>
      </c>
      <c r="S25" s="54">
        <v>101.578</v>
      </c>
      <c r="T25" s="125">
        <v>45790.625</v>
      </c>
      <c r="U25" s="54">
        <v>120.31</v>
      </c>
      <c r="V25" s="75">
        <v>45876.625</v>
      </c>
      <c r="W25" s="54">
        <v>99.838999999999999</v>
      </c>
    </row>
    <row r="26" spans="1:23" x14ac:dyDescent="0.3">
      <c r="A26" s="131">
        <v>45953</v>
      </c>
      <c r="B26" s="45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2"/>
      <c r="P26" s="75">
        <v>45790.625</v>
      </c>
      <c r="Q26" s="54">
        <v>93.02</v>
      </c>
      <c r="R26" s="75">
        <v>45789.625</v>
      </c>
      <c r="S26" s="54">
        <v>101.15600000000001</v>
      </c>
      <c r="T26" s="125">
        <v>45791.625</v>
      </c>
      <c r="U26" s="54">
        <v>120.27</v>
      </c>
      <c r="V26" s="75">
        <v>45877.625</v>
      </c>
      <c r="W26" s="54">
        <v>99.611000000000004</v>
      </c>
    </row>
    <row r="27" spans="1:23" x14ac:dyDescent="0.3">
      <c r="A27" s="131">
        <v>45954</v>
      </c>
      <c r="B27" s="56"/>
      <c r="C27" s="57"/>
      <c r="D27" s="57"/>
      <c r="E27" s="4"/>
      <c r="F27" s="31"/>
      <c r="G27" s="32"/>
      <c r="H27" s="4"/>
      <c r="I27" s="31"/>
      <c r="J27" s="32"/>
      <c r="K27" s="4"/>
      <c r="L27" s="31"/>
      <c r="M27" s="32"/>
      <c r="N27" s="82"/>
      <c r="P27" s="75">
        <v>45791.625</v>
      </c>
      <c r="Q27" s="54">
        <v>92.87</v>
      </c>
      <c r="R27" s="75">
        <v>45790.625</v>
      </c>
      <c r="S27" s="54">
        <v>101.125</v>
      </c>
      <c r="T27" s="125">
        <v>45792.625</v>
      </c>
      <c r="U27" s="54">
        <v>120.4</v>
      </c>
      <c r="V27" s="75">
        <v>45880.625</v>
      </c>
      <c r="W27" s="54">
        <v>99.561999999999998</v>
      </c>
    </row>
    <row r="28" spans="1:23" x14ac:dyDescent="0.3">
      <c r="A28" s="131">
        <v>45955</v>
      </c>
      <c r="B28" s="45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2"/>
      <c r="P28" s="75">
        <v>45792.625</v>
      </c>
      <c r="Q28" s="54">
        <v>92.74</v>
      </c>
      <c r="R28" s="75">
        <v>45791.625</v>
      </c>
      <c r="S28" s="54">
        <v>101.087</v>
      </c>
      <c r="T28" s="125">
        <v>45793.625</v>
      </c>
      <c r="U28" s="54">
        <v>120.73</v>
      </c>
      <c r="V28" s="75">
        <v>45881.625</v>
      </c>
      <c r="W28" s="54">
        <v>99.405000000000001</v>
      </c>
    </row>
    <row r="29" spans="1:23" x14ac:dyDescent="0.3">
      <c r="A29" s="131">
        <v>45956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2"/>
      <c r="P29" s="75">
        <v>45793.625</v>
      </c>
      <c r="Q29" s="54">
        <v>92.96</v>
      </c>
      <c r="R29" s="75">
        <v>45792.625</v>
      </c>
      <c r="S29" s="54">
        <v>101.241</v>
      </c>
      <c r="T29" s="125">
        <v>45796.625</v>
      </c>
      <c r="U29" s="54">
        <v>120.66</v>
      </c>
      <c r="V29" s="75">
        <v>45882.625</v>
      </c>
      <c r="W29" s="54">
        <v>99.745000000000005</v>
      </c>
    </row>
    <row r="30" spans="1:23" x14ac:dyDescent="0.3">
      <c r="A30" s="55"/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2"/>
      <c r="P30" s="75">
        <v>45796.625</v>
      </c>
      <c r="Q30" s="54">
        <v>92.89</v>
      </c>
      <c r="R30" s="75">
        <v>45793.625</v>
      </c>
      <c r="S30" s="54">
        <v>101.34</v>
      </c>
      <c r="T30" s="125">
        <v>45797.625</v>
      </c>
      <c r="U30" s="54">
        <v>120.68</v>
      </c>
      <c r="V30" s="75">
        <v>45883.625</v>
      </c>
      <c r="W30" s="54">
        <v>99.620999999999995</v>
      </c>
    </row>
    <row r="31" spans="1:23" x14ac:dyDescent="0.3">
      <c r="A31" s="55"/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75">
        <v>45797.625</v>
      </c>
      <c r="Q31" s="54">
        <v>93.05</v>
      </c>
      <c r="R31" s="75">
        <v>45796.625</v>
      </c>
      <c r="S31" s="54">
        <v>101.408</v>
      </c>
      <c r="T31" s="125">
        <v>45798.625</v>
      </c>
      <c r="U31" s="54">
        <v>120.59</v>
      </c>
      <c r="V31" s="75">
        <v>45884.625</v>
      </c>
      <c r="W31" s="54">
        <v>99.375</v>
      </c>
    </row>
    <row r="32" spans="1:23" x14ac:dyDescent="0.3">
      <c r="A32" s="15"/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75">
        <v>45798.625</v>
      </c>
      <c r="Q32" s="54">
        <v>92.95</v>
      </c>
      <c r="R32" s="75">
        <v>45797.625</v>
      </c>
      <c r="S32" s="54">
        <v>101.352</v>
      </c>
      <c r="T32" s="125">
        <v>45799.625</v>
      </c>
      <c r="U32" s="54">
        <v>120.57</v>
      </c>
      <c r="V32" s="75">
        <v>45887.625</v>
      </c>
      <c r="W32" s="54">
        <v>99.388999999999996</v>
      </c>
    </row>
    <row r="33" spans="1:23" x14ac:dyDescent="0.3">
      <c r="A33" s="15"/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75">
        <v>45799.625</v>
      </c>
      <c r="Q33" s="54">
        <v>92.82</v>
      </c>
      <c r="R33" s="75">
        <v>45798.625</v>
      </c>
      <c r="S33" s="54">
        <v>101.282</v>
      </c>
      <c r="T33" s="125">
        <v>45800.625</v>
      </c>
      <c r="U33" s="54">
        <v>120.79</v>
      </c>
      <c r="V33" s="75">
        <v>45888.625</v>
      </c>
      <c r="W33" s="54">
        <v>99.484999999999999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75">
        <v>45800.625</v>
      </c>
      <c r="Q34" s="54">
        <v>92.47</v>
      </c>
      <c r="R34" s="75">
        <v>45799.625</v>
      </c>
      <c r="S34" s="54">
        <v>101.363</v>
      </c>
      <c r="T34" s="125">
        <v>45804.625</v>
      </c>
      <c r="U34" s="54">
        <v>121.1</v>
      </c>
      <c r="V34" s="75">
        <v>45889.625</v>
      </c>
      <c r="W34" s="54">
        <v>99.653999999999996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75">
        <v>45804.625</v>
      </c>
      <c r="Q35" s="54">
        <v>93.11</v>
      </c>
      <c r="R35" s="75">
        <v>45800.625</v>
      </c>
      <c r="S35" s="54">
        <v>101.581</v>
      </c>
      <c r="T35" s="125">
        <v>45805.625</v>
      </c>
      <c r="U35" s="54">
        <v>120.98</v>
      </c>
      <c r="V35" s="75">
        <v>45890.625</v>
      </c>
      <c r="W35" s="54">
        <v>99.468999999999994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75">
        <v>45805.625</v>
      </c>
      <c r="Q36" s="54">
        <v>93.01</v>
      </c>
      <c r="R36" s="75">
        <v>45803.625</v>
      </c>
      <c r="S36" s="54">
        <v>101.53100000000001</v>
      </c>
      <c r="T36" s="125">
        <v>45806.625</v>
      </c>
      <c r="U36" s="54">
        <v>121.25</v>
      </c>
      <c r="V36" s="75">
        <v>45891.625</v>
      </c>
      <c r="W36" s="54">
        <v>99.596000000000004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P37" s="75">
        <v>45806.625</v>
      </c>
      <c r="Q37" s="54">
        <v>93.33</v>
      </c>
      <c r="R37" s="75">
        <v>45804.625</v>
      </c>
      <c r="S37" s="54">
        <v>101.529</v>
      </c>
      <c r="T37" s="125">
        <v>45810.625</v>
      </c>
      <c r="U37" s="54">
        <v>121.27</v>
      </c>
      <c r="V37" s="75">
        <v>45894.625</v>
      </c>
      <c r="W37" s="54">
        <v>99.394999999999996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P38" s="75">
        <v>45807.625</v>
      </c>
      <c r="Q38" s="54">
        <v>93.44</v>
      </c>
      <c r="R38" s="75">
        <v>45805.625</v>
      </c>
      <c r="S38" s="54">
        <v>101.491</v>
      </c>
      <c r="T38" s="125">
        <v>45811.625</v>
      </c>
      <c r="U38" s="54">
        <v>121.47</v>
      </c>
      <c r="V38" s="75">
        <v>45895.625</v>
      </c>
      <c r="W38" s="54">
        <v>99.643000000000001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P39" s="75">
        <v>45810.625</v>
      </c>
      <c r="Q39" s="54">
        <v>93.5</v>
      </c>
      <c r="R39" s="75">
        <v>45806.625</v>
      </c>
      <c r="S39" s="54">
        <v>101.58</v>
      </c>
      <c r="T39" s="125">
        <v>45812.625</v>
      </c>
      <c r="U39" s="54">
        <v>121.35</v>
      </c>
      <c r="V39" s="75">
        <v>45896.625</v>
      </c>
      <c r="W39" s="54">
        <v>99.801000000000002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P40" s="75">
        <v>45811.625</v>
      </c>
      <c r="Q40" s="54">
        <v>93.62</v>
      </c>
      <c r="R40" s="75">
        <v>45807.625</v>
      </c>
      <c r="S40" s="54">
        <v>101.56</v>
      </c>
      <c r="T40" s="125">
        <v>45813.625</v>
      </c>
      <c r="U40" s="54">
        <v>121.02</v>
      </c>
      <c r="V40" s="75">
        <v>45897.625</v>
      </c>
      <c r="W40" s="54">
        <v>99.775999999999996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P41" s="75">
        <v>45812.625</v>
      </c>
      <c r="Q41" s="54">
        <v>93.7</v>
      </c>
      <c r="R41" s="75">
        <v>45810.625</v>
      </c>
      <c r="S41" s="54">
        <v>101.574</v>
      </c>
      <c r="T41" s="125">
        <v>45814.625</v>
      </c>
      <c r="U41" s="54">
        <v>121.27</v>
      </c>
      <c r="V41" s="75">
        <v>45898.625</v>
      </c>
      <c r="W41" s="54">
        <v>99.783000000000001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P42" s="75">
        <v>45813.625</v>
      </c>
      <c r="Q42" s="54">
        <v>93.55</v>
      </c>
      <c r="R42" s="75">
        <v>45811.625</v>
      </c>
      <c r="S42" s="54">
        <v>101.60599999999999</v>
      </c>
      <c r="T42" s="125">
        <v>45817.625</v>
      </c>
      <c r="U42" s="54">
        <v>121.32</v>
      </c>
      <c r="V42" s="75">
        <v>45901.625</v>
      </c>
      <c r="W42" s="54">
        <v>99.632000000000005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P43" s="75">
        <v>45814.625</v>
      </c>
      <c r="Q43" s="54">
        <v>93.7</v>
      </c>
      <c r="R43" s="75">
        <v>45812.625</v>
      </c>
      <c r="S43" s="54">
        <v>101.54</v>
      </c>
      <c r="T43" s="125">
        <v>45818.625</v>
      </c>
      <c r="U43" s="54">
        <v>121.52</v>
      </c>
      <c r="V43" s="75">
        <v>45902.625</v>
      </c>
      <c r="W43" s="54">
        <v>99.481999999999999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P44" s="75">
        <v>45817.625</v>
      </c>
      <c r="Q44" s="54">
        <v>93.62</v>
      </c>
      <c r="R44" s="75">
        <v>45813.625</v>
      </c>
      <c r="S44" s="54">
        <v>101.26</v>
      </c>
      <c r="T44" s="125">
        <v>45819.625</v>
      </c>
      <c r="U44" s="54">
        <v>121.56</v>
      </c>
      <c r="V44" s="75">
        <v>45903.625</v>
      </c>
      <c r="W44" s="54">
        <v>99.596000000000004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P45" s="75">
        <v>45818.625</v>
      </c>
      <c r="Q45" s="54">
        <v>93.67</v>
      </c>
      <c r="R45" s="75">
        <v>45814.625</v>
      </c>
      <c r="S45" s="54">
        <v>101.29900000000001</v>
      </c>
      <c r="T45" s="125">
        <v>45820.625</v>
      </c>
      <c r="U45" s="54">
        <v>121.7</v>
      </c>
      <c r="V45" s="75">
        <v>45904.625</v>
      </c>
      <c r="W45" s="54">
        <v>99.653999999999996</v>
      </c>
    </row>
    <row r="46" spans="1:23" x14ac:dyDescent="0.3">
      <c r="B46" s="58"/>
      <c r="C46" s="58"/>
      <c r="D46" s="58"/>
      <c r="P46" s="75">
        <v>45819.625</v>
      </c>
      <c r="Q46" s="54">
        <v>93.76</v>
      </c>
      <c r="R46" s="75">
        <v>45817.625</v>
      </c>
      <c r="S46" s="54">
        <v>101.297</v>
      </c>
      <c r="T46" s="125">
        <v>45821.625</v>
      </c>
      <c r="U46" s="54">
        <v>121.38</v>
      </c>
      <c r="V46" s="75">
        <v>45905.625</v>
      </c>
      <c r="W46" s="54">
        <v>99.900999999999996</v>
      </c>
    </row>
    <row r="47" spans="1:23" x14ac:dyDescent="0.3">
      <c r="B47" s="58"/>
      <c r="C47" s="58"/>
      <c r="D47" s="58"/>
      <c r="P47" s="75">
        <v>45820.625</v>
      </c>
      <c r="Q47" s="54">
        <v>93.76</v>
      </c>
      <c r="R47" s="75">
        <v>45818.625</v>
      </c>
      <c r="S47" s="54">
        <v>101.38500000000001</v>
      </c>
      <c r="T47" s="125">
        <v>45825.625</v>
      </c>
      <c r="U47" s="54">
        <v>121.5</v>
      </c>
      <c r="V47" s="75">
        <v>45908.625</v>
      </c>
      <c r="W47" s="54">
        <v>99.972999999999999</v>
      </c>
    </row>
    <row r="48" spans="1:23" x14ac:dyDescent="0.3">
      <c r="B48" s="58"/>
      <c r="C48" s="58"/>
      <c r="D48" s="58"/>
      <c r="P48" s="75">
        <v>45821.625</v>
      </c>
      <c r="Q48" s="54">
        <v>93.42</v>
      </c>
      <c r="R48" s="75">
        <v>45819.625</v>
      </c>
      <c r="S48" s="54">
        <v>101.398</v>
      </c>
      <c r="T48" s="125">
        <v>45826.625</v>
      </c>
      <c r="U48" s="54">
        <v>121.52</v>
      </c>
      <c r="V48" s="75">
        <v>45909.625</v>
      </c>
      <c r="W48" s="54">
        <v>99.885999999999996</v>
      </c>
    </row>
    <row r="49" spans="2:23" x14ac:dyDescent="0.3">
      <c r="B49" s="58"/>
      <c r="C49" s="58"/>
      <c r="D49" s="58"/>
      <c r="P49" s="75">
        <v>45824.625</v>
      </c>
      <c r="Q49" s="54">
        <v>93.76</v>
      </c>
      <c r="R49" s="75">
        <v>45820.625</v>
      </c>
      <c r="S49" s="54">
        <v>101.509</v>
      </c>
      <c r="T49" s="125">
        <v>45827.625</v>
      </c>
      <c r="U49" s="54">
        <v>121.37</v>
      </c>
      <c r="V49" s="75">
        <v>45910.625</v>
      </c>
      <c r="W49" s="54">
        <v>99.86</v>
      </c>
    </row>
    <row r="50" spans="2:23" x14ac:dyDescent="0.3">
      <c r="B50" s="58"/>
      <c r="C50" s="58"/>
      <c r="D50" s="58"/>
      <c r="P50" s="75">
        <v>45825.625</v>
      </c>
      <c r="Q50" s="54">
        <v>93.56</v>
      </c>
      <c r="R50" s="75">
        <v>45821.625</v>
      </c>
      <c r="S50" s="54">
        <v>101.375</v>
      </c>
      <c r="T50" s="125">
        <v>45828.625</v>
      </c>
      <c r="U50" s="54">
        <v>121.48</v>
      </c>
      <c r="V50" s="75">
        <v>45911.625</v>
      </c>
      <c r="W50" s="54">
        <v>99.715000000000003</v>
      </c>
    </row>
    <row r="51" spans="2:23" x14ac:dyDescent="0.3">
      <c r="B51" s="58"/>
      <c r="C51" s="58"/>
      <c r="D51" s="58"/>
      <c r="P51" s="75">
        <v>45826.625</v>
      </c>
      <c r="Q51" s="54">
        <v>93.37</v>
      </c>
      <c r="R51" s="75">
        <v>45824.625</v>
      </c>
      <c r="S51" s="54">
        <v>101.402</v>
      </c>
      <c r="T51" s="125">
        <v>45831.625</v>
      </c>
      <c r="U51" s="54">
        <v>121.56</v>
      </c>
      <c r="V51" s="75">
        <v>45912.625</v>
      </c>
      <c r="W51" s="54">
        <v>99.519000000000005</v>
      </c>
    </row>
    <row r="52" spans="2:23" x14ac:dyDescent="0.3">
      <c r="B52" s="58"/>
      <c r="C52" s="58"/>
      <c r="D52" s="58"/>
      <c r="P52" s="75">
        <v>45827.625</v>
      </c>
      <c r="Q52" s="54">
        <v>93.19</v>
      </c>
      <c r="R52" s="75">
        <v>45825.625</v>
      </c>
      <c r="S52" s="54">
        <v>101.369</v>
      </c>
      <c r="T52" s="125">
        <v>45832.625</v>
      </c>
      <c r="U52" s="54">
        <v>121.66</v>
      </c>
      <c r="V52" s="75">
        <v>45915.625</v>
      </c>
      <c r="W52" s="54">
        <v>99.558000000000007</v>
      </c>
    </row>
    <row r="53" spans="2:23" x14ac:dyDescent="0.3">
      <c r="B53" s="58"/>
      <c r="C53" s="58"/>
      <c r="D53" s="58"/>
      <c r="P53" s="75">
        <v>45828.625</v>
      </c>
      <c r="Q53" s="54">
        <v>93.4</v>
      </c>
      <c r="R53" s="75">
        <v>45826.625</v>
      </c>
      <c r="S53" s="54">
        <v>101.449</v>
      </c>
      <c r="T53" s="125">
        <v>45833.625</v>
      </c>
      <c r="U53" s="54">
        <v>121.62</v>
      </c>
      <c r="V53" s="75">
        <v>45916.625</v>
      </c>
      <c r="W53" s="54">
        <v>99.569000000000003</v>
      </c>
    </row>
    <row r="54" spans="2:23" x14ac:dyDescent="0.3">
      <c r="P54" s="75">
        <v>45831.625</v>
      </c>
      <c r="Q54" s="54">
        <v>93.3</v>
      </c>
      <c r="R54" s="75">
        <v>45827.625</v>
      </c>
      <c r="S54" s="54">
        <v>101.432</v>
      </c>
      <c r="T54" s="125">
        <v>45834.625</v>
      </c>
      <c r="U54" s="54">
        <v>121.66</v>
      </c>
      <c r="V54" s="75">
        <v>45917.625</v>
      </c>
      <c r="W54" s="54">
        <v>99.600999999999999</v>
      </c>
    </row>
    <row r="55" spans="2:23" x14ac:dyDescent="0.3">
      <c r="P55" s="75">
        <v>45832.625</v>
      </c>
      <c r="Q55" s="54">
        <v>93.63</v>
      </c>
      <c r="R55" s="75">
        <v>45828.625</v>
      </c>
      <c r="S55" s="54">
        <v>101.38200000000001</v>
      </c>
      <c r="T55" s="125">
        <v>45835.625</v>
      </c>
      <c r="U55" s="54">
        <v>121.55</v>
      </c>
      <c r="V55" s="75">
        <v>45918.625</v>
      </c>
      <c r="W55" s="54">
        <v>99.516000000000005</v>
      </c>
    </row>
    <row r="56" spans="2:23" x14ac:dyDescent="0.3">
      <c r="P56" s="75">
        <v>45833.625</v>
      </c>
      <c r="Q56" s="54">
        <v>93.47</v>
      </c>
      <c r="R56" s="75">
        <v>45831.625</v>
      </c>
      <c r="S56" s="54">
        <v>101.441</v>
      </c>
      <c r="T56" s="125">
        <v>45838.625</v>
      </c>
      <c r="U56" s="54">
        <v>121.69</v>
      </c>
      <c r="V56" s="75">
        <v>45919.625</v>
      </c>
      <c r="W56" s="54">
        <v>99.414000000000001</v>
      </c>
    </row>
    <row r="57" spans="2:23" x14ac:dyDescent="0.3">
      <c r="P57" s="75">
        <v>45834.625</v>
      </c>
      <c r="Q57" s="54">
        <v>93.5</v>
      </c>
      <c r="R57" s="75">
        <v>45832.625</v>
      </c>
      <c r="S57" s="54">
        <v>101.40600000000001</v>
      </c>
      <c r="T57" s="125">
        <v>45839.625</v>
      </c>
      <c r="U57" s="54">
        <v>121.84</v>
      </c>
      <c r="V57" s="75">
        <v>45922.625</v>
      </c>
      <c r="W57" s="54">
        <v>99.441000000000003</v>
      </c>
    </row>
    <row r="58" spans="2:23" x14ac:dyDescent="0.3">
      <c r="P58" s="75">
        <v>45835.625</v>
      </c>
      <c r="Q58" s="54">
        <v>93.63</v>
      </c>
      <c r="R58" s="75">
        <v>45833.625</v>
      </c>
      <c r="S58" s="54">
        <v>101.367</v>
      </c>
      <c r="T58" s="125">
        <v>45840.625</v>
      </c>
      <c r="U58" s="54">
        <v>121.82</v>
      </c>
      <c r="V58" s="75">
        <v>45923.625</v>
      </c>
      <c r="W58" s="54">
        <v>99.381</v>
      </c>
    </row>
    <row r="59" spans="2:23" x14ac:dyDescent="0.3">
      <c r="P59" s="75">
        <v>45838.625</v>
      </c>
      <c r="Q59" s="54">
        <v>93.64</v>
      </c>
      <c r="R59" s="75">
        <v>45834.625</v>
      </c>
      <c r="S59" s="54">
        <v>101.43</v>
      </c>
      <c r="T59" s="125">
        <v>45841.625</v>
      </c>
      <c r="U59" s="54">
        <v>122.16</v>
      </c>
      <c r="V59" s="75">
        <v>45924.625</v>
      </c>
      <c r="W59" s="54">
        <v>99.414000000000001</v>
      </c>
    </row>
    <row r="60" spans="2:23" x14ac:dyDescent="0.3">
      <c r="P60" s="75">
        <v>45839.625</v>
      </c>
      <c r="Q60" s="54">
        <v>93.68</v>
      </c>
      <c r="R60" s="75">
        <v>45835.625</v>
      </c>
      <c r="S60" s="54">
        <v>101.3</v>
      </c>
      <c r="T60" s="125">
        <v>45842.625</v>
      </c>
      <c r="U60" s="54">
        <v>122.27</v>
      </c>
      <c r="V60" s="75">
        <v>45925.625</v>
      </c>
      <c r="W60" s="54">
        <v>99.263000000000005</v>
      </c>
    </row>
    <row r="61" spans="2:23" x14ac:dyDescent="0.3">
      <c r="P61" s="75">
        <v>45840.625</v>
      </c>
      <c r="Q61" s="54">
        <v>93.74</v>
      </c>
      <c r="R61" s="75">
        <v>45838.625</v>
      </c>
      <c r="S61" s="54">
        <v>101.331</v>
      </c>
      <c r="T61" s="125">
        <v>45845.625</v>
      </c>
      <c r="U61" s="54">
        <v>122.05</v>
      </c>
      <c r="V61" s="75">
        <v>45926.625</v>
      </c>
      <c r="W61" s="54">
        <v>99.38</v>
      </c>
    </row>
    <row r="62" spans="2:23" x14ac:dyDescent="0.3">
      <c r="P62" s="75">
        <v>45841.625</v>
      </c>
      <c r="Q62" s="54">
        <v>93.9</v>
      </c>
      <c r="R62" s="75">
        <v>45839.625</v>
      </c>
      <c r="S62" s="54">
        <v>101.357</v>
      </c>
      <c r="T62" s="125">
        <v>45846.625</v>
      </c>
      <c r="U62" s="54">
        <v>121.9</v>
      </c>
      <c r="V62" s="75">
        <v>45929.625</v>
      </c>
      <c r="W62" s="54">
        <v>99.456000000000003</v>
      </c>
    </row>
    <row r="63" spans="2:23" x14ac:dyDescent="0.3">
      <c r="P63" s="75">
        <v>45842.625</v>
      </c>
      <c r="Q63" s="54">
        <v>93.86</v>
      </c>
      <c r="R63" s="75">
        <v>45840.625</v>
      </c>
      <c r="S63" s="54">
        <v>101.286</v>
      </c>
      <c r="T63" s="125">
        <v>45847.625</v>
      </c>
      <c r="U63" s="54">
        <v>122</v>
      </c>
      <c r="V63" s="75">
        <v>45930.625</v>
      </c>
      <c r="W63" s="54">
        <v>99.484999999999999</v>
      </c>
    </row>
    <row r="64" spans="2:23" x14ac:dyDescent="0.3">
      <c r="P64" s="75">
        <v>45845.625</v>
      </c>
      <c r="Q64" s="54">
        <v>93.91</v>
      </c>
      <c r="R64" s="75">
        <v>45841.625</v>
      </c>
      <c r="S64" s="54">
        <v>101.379</v>
      </c>
      <c r="T64" s="125">
        <v>45848.625</v>
      </c>
      <c r="U64" s="54">
        <v>121.86</v>
      </c>
      <c r="V64" s="75">
        <v>45931.625</v>
      </c>
      <c r="W64" s="54">
        <v>99.536000000000001</v>
      </c>
    </row>
    <row r="65" spans="16:23" x14ac:dyDescent="0.3">
      <c r="P65" s="75">
        <v>45846.625</v>
      </c>
      <c r="Q65" s="54">
        <v>93.9</v>
      </c>
      <c r="R65" s="75">
        <v>45842.625</v>
      </c>
      <c r="S65" s="54">
        <v>101.465</v>
      </c>
      <c r="T65" s="125">
        <v>45849.625</v>
      </c>
      <c r="U65" s="54">
        <v>121.72</v>
      </c>
      <c r="V65" s="75">
        <v>45932.625</v>
      </c>
      <c r="W65" s="54">
        <v>99.51</v>
      </c>
    </row>
    <row r="66" spans="16:23" x14ac:dyDescent="0.3">
      <c r="P66" s="75">
        <v>45847.625</v>
      </c>
      <c r="Q66" s="54">
        <v>94.17</v>
      </c>
      <c r="R66" s="75">
        <v>45845.625</v>
      </c>
      <c r="S66" s="54">
        <v>101.348</v>
      </c>
      <c r="T66" s="125">
        <v>45852.625</v>
      </c>
      <c r="U66" s="54">
        <v>121.74</v>
      </c>
      <c r="V66" s="75">
        <v>45933.625</v>
      </c>
      <c r="W66" s="54">
        <v>99.492999999999995</v>
      </c>
    </row>
    <row r="67" spans="16:23" x14ac:dyDescent="0.3">
      <c r="P67" s="75">
        <v>45848.625</v>
      </c>
      <c r="Q67" s="54">
        <v>94.22</v>
      </c>
      <c r="R67" s="75">
        <v>45846.625</v>
      </c>
      <c r="S67" s="54">
        <v>101.241</v>
      </c>
      <c r="T67" s="125">
        <v>45853.625</v>
      </c>
      <c r="U67" s="54">
        <v>121.85</v>
      </c>
      <c r="V67" s="75">
        <v>45936.625</v>
      </c>
      <c r="W67" s="54">
        <v>99.536000000000001</v>
      </c>
    </row>
    <row r="68" spans="16:23" x14ac:dyDescent="0.3">
      <c r="P68" s="75">
        <v>45849.625</v>
      </c>
      <c r="Q68" s="54">
        <v>94.12</v>
      </c>
      <c r="R68" s="75">
        <v>45847.625</v>
      </c>
      <c r="S68" s="54">
        <v>101.289</v>
      </c>
      <c r="T68" s="125">
        <v>45854.625</v>
      </c>
      <c r="U68" s="54">
        <v>121.87</v>
      </c>
      <c r="V68" s="75">
        <v>45937.625</v>
      </c>
      <c r="W68" s="54">
        <v>99.483000000000004</v>
      </c>
    </row>
    <row r="69" spans="16:23" x14ac:dyDescent="0.3">
      <c r="P69" s="75">
        <v>45852.625</v>
      </c>
      <c r="Q69" s="54">
        <v>94.05</v>
      </c>
      <c r="R69" s="75">
        <v>45848.625</v>
      </c>
      <c r="S69" s="54">
        <v>101.181</v>
      </c>
      <c r="T69" s="125">
        <v>45855.625</v>
      </c>
      <c r="U69" s="54">
        <v>120.13</v>
      </c>
      <c r="V69" s="75">
        <v>45938.625</v>
      </c>
      <c r="W69" s="54">
        <v>99.673000000000002</v>
      </c>
    </row>
    <row r="70" spans="16:23" x14ac:dyDescent="0.3">
      <c r="P70" s="75">
        <v>45853.625</v>
      </c>
      <c r="Q70" s="54">
        <v>94.05</v>
      </c>
      <c r="R70" s="75">
        <v>45849.625</v>
      </c>
      <c r="S70" s="54">
        <v>101.123</v>
      </c>
      <c r="T70" s="125">
        <v>45856.625</v>
      </c>
      <c r="U70" s="54">
        <v>120.01</v>
      </c>
      <c r="V70" s="75">
        <v>45939.625</v>
      </c>
      <c r="W70" s="54">
        <v>99.552999999999997</v>
      </c>
    </row>
    <row r="71" spans="16:23" x14ac:dyDescent="0.3">
      <c r="P71" s="75">
        <v>45854.625</v>
      </c>
      <c r="Q71" s="54">
        <v>93.96</v>
      </c>
      <c r="R71" s="75">
        <v>45852.625</v>
      </c>
      <c r="S71" s="54">
        <v>101.181</v>
      </c>
      <c r="T71" s="125">
        <v>45859.625</v>
      </c>
      <c r="U71" s="54">
        <v>120.31</v>
      </c>
      <c r="V71" s="75">
        <v>45940.625</v>
      </c>
      <c r="W71" s="54">
        <v>99.754000000000005</v>
      </c>
    </row>
    <row r="72" spans="16:23" x14ac:dyDescent="0.3">
      <c r="P72" s="75">
        <v>45855.625</v>
      </c>
      <c r="Q72" s="54">
        <v>94.08</v>
      </c>
      <c r="R72" s="75">
        <v>45853.625</v>
      </c>
      <c r="S72" s="54">
        <v>101.23699999999999</v>
      </c>
      <c r="T72" s="125">
        <v>45860.625</v>
      </c>
      <c r="U72" s="54">
        <v>120.48</v>
      </c>
      <c r="V72" s="75">
        <v>45943.625</v>
      </c>
      <c r="W72" s="54">
        <v>99.923000000000002</v>
      </c>
    </row>
    <row r="73" spans="16:23" x14ac:dyDescent="0.3">
      <c r="P73" s="75">
        <v>45856.625</v>
      </c>
      <c r="Q73" s="54">
        <v>94.09</v>
      </c>
      <c r="R73" s="75">
        <v>45854.625</v>
      </c>
      <c r="S73" s="54">
        <v>101.31</v>
      </c>
      <c r="T73" s="125">
        <v>45861.625</v>
      </c>
      <c r="U73" s="54">
        <v>120.5</v>
      </c>
      <c r="V73" s="75">
        <v>45944.625</v>
      </c>
      <c r="W73" s="54">
        <v>99.977999999999994</v>
      </c>
    </row>
    <row r="74" spans="16:23" x14ac:dyDescent="0.3">
      <c r="P74" s="75">
        <v>45859.625</v>
      </c>
      <c r="Q74" s="54">
        <v>94.13</v>
      </c>
      <c r="R74" s="75">
        <v>45855.625</v>
      </c>
      <c r="S74" s="54">
        <v>101.328</v>
      </c>
      <c r="T74" s="125">
        <v>45862.625</v>
      </c>
      <c r="U74" s="54">
        <v>120.16</v>
      </c>
      <c r="V74" s="75">
        <v>45945.625</v>
      </c>
      <c r="W74" s="54">
        <v>100.18899999999999</v>
      </c>
    </row>
    <row r="75" spans="16:23" x14ac:dyDescent="0.3">
      <c r="P75" s="75">
        <v>45860.625</v>
      </c>
      <c r="Q75" s="54">
        <v>94.13</v>
      </c>
      <c r="R75" s="75">
        <v>45856.625</v>
      </c>
      <c r="S75" s="54">
        <v>101.28</v>
      </c>
      <c r="T75" s="125">
        <v>45863.625</v>
      </c>
      <c r="U75" s="54">
        <v>120.06</v>
      </c>
      <c r="V75" s="75">
        <v>45946.625</v>
      </c>
      <c r="W75" s="54">
        <v>100.14700000000001</v>
      </c>
    </row>
    <row r="76" spans="16:23" x14ac:dyDescent="0.3">
      <c r="P76" s="75">
        <v>45861.625</v>
      </c>
      <c r="Q76" s="54">
        <v>94.21</v>
      </c>
      <c r="R76" s="75">
        <v>45859.625</v>
      </c>
      <c r="S76" s="54">
        <v>101.45</v>
      </c>
      <c r="T76" s="125">
        <v>45866.625</v>
      </c>
      <c r="U76" s="54">
        <v>120.25</v>
      </c>
      <c r="V76" s="75">
        <v>45947.625</v>
      </c>
      <c r="W76" s="54">
        <v>100.146</v>
      </c>
    </row>
    <row r="77" spans="16:23" x14ac:dyDescent="0.3">
      <c r="P77" s="75">
        <v>45862.625</v>
      </c>
      <c r="Q77" s="54">
        <v>94.34</v>
      </c>
      <c r="R77" s="75">
        <v>45860.625</v>
      </c>
      <c r="S77" s="54">
        <v>101.5</v>
      </c>
      <c r="T77" s="125">
        <v>45867.625</v>
      </c>
      <c r="U77" s="54">
        <v>120.32</v>
      </c>
    </row>
    <row r="78" spans="16:23" x14ac:dyDescent="0.3">
      <c r="P78" s="75">
        <v>45863.625</v>
      </c>
      <c r="Q78" s="54">
        <v>94.27</v>
      </c>
      <c r="R78" s="75">
        <v>45861.625</v>
      </c>
      <c r="S78" s="54">
        <v>101.505</v>
      </c>
      <c r="T78" s="125">
        <v>45868.625</v>
      </c>
      <c r="U78" s="54">
        <v>120.21</v>
      </c>
    </row>
    <row r="79" spans="16:23" x14ac:dyDescent="0.3">
      <c r="P79" s="75">
        <v>45866.625</v>
      </c>
      <c r="Q79" s="54">
        <v>94.37</v>
      </c>
      <c r="R79" s="75">
        <v>45862.625</v>
      </c>
      <c r="S79" s="54">
        <v>101.15300000000001</v>
      </c>
      <c r="T79" s="125">
        <v>45869.625</v>
      </c>
      <c r="U79" s="54">
        <v>120.26</v>
      </c>
    </row>
    <row r="80" spans="16:23" x14ac:dyDescent="0.3">
      <c r="P80" s="75">
        <v>45867.625</v>
      </c>
      <c r="Q80" s="54">
        <v>94.46</v>
      </c>
      <c r="R80" s="75">
        <v>45863.625</v>
      </c>
      <c r="S80" s="54">
        <v>101.054</v>
      </c>
      <c r="T80" s="125">
        <v>45870.625</v>
      </c>
      <c r="U80" s="54">
        <v>120.22</v>
      </c>
    </row>
    <row r="81" spans="16:21" x14ac:dyDescent="0.3">
      <c r="P81" s="75">
        <v>45868.625</v>
      </c>
      <c r="Q81" s="54">
        <v>94.48</v>
      </c>
      <c r="R81" s="75">
        <v>45866.625</v>
      </c>
      <c r="S81" s="54">
        <v>101.17</v>
      </c>
      <c r="T81" s="125">
        <v>45873.625</v>
      </c>
      <c r="U81" s="54">
        <v>120.41</v>
      </c>
    </row>
    <row r="82" spans="16:21" x14ac:dyDescent="0.3">
      <c r="P82" s="75">
        <v>45869.625</v>
      </c>
      <c r="Q82" s="54">
        <v>94.45</v>
      </c>
      <c r="R82" s="75">
        <v>45867.625</v>
      </c>
      <c r="S82" s="54">
        <v>101.105</v>
      </c>
      <c r="T82" s="125">
        <v>45874.625</v>
      </c>
      <c r="U82" s="54">
        <v>120.52</v>
      </c>
    </row>
    <row r="83" spans="16:21" x14ac:dyDescent="0.3">
      <c r="P83" s="75">
        <v>45870.625</v>
      </c>
      <c r="Q83" s="54">
        <v>94.32</v>
      </c>
      <c r="R83" s="75">
        <v>45868.625</v>
      </c>
      <c r="S83" s="54">
        <v>101.048</v>
      </c>
      <c r="T83" s="125">
        <v>45875.625</v>
      </c>
      <c r="U83" s="54">
        <v>120.41</v>
      </c>
    </row>
    <row r="84" spans="16:21" x14ac:dyDescent="0.3">
      <c r="P84" s="75">
        <v>45873.625</v>
      </c>
      <c r="Q84" s="54">
        <v>94.38</v>
      </c>
      <c r="R84" s="75">
        <v>45869.625</v>
      </c>
      <c r="S84" s="54">
        <v>101.02200000000001</v>
      </c>
      <c r="T84" s="125">
        <v>45876.625</v>
      </c>
      <c r="U84" s="54">
        <v>120.52</v>
      </c>
    </row>
    <row r="85" spans="16:21" x14ac:dyDescent="0.3">
      <c r="P85" s="75">
        <v>45874.625</v>
      </c>
      <c r="Q85" s="54">
        <v>94.45</v>
      </c>
      <c r="R85" s="75">
        <v>45870.625</v>
      </c>
      <c r="S85" s="54">
        <v>101.155</v>
      </c>
      <c r="T85" s="125">
        <v>45877.625</v>
      </c>
      <c r="U85" s="54">
        <v>120.29</v>
      </c>
    </row>
    <row r="86" spans="16:21" x14ac:dyDescent="0.3">
      <c r="P86" s="75">
        <v>45875.625</v>
      </c>
      <c r="Q86" s="54">
        <v>94.47</v>
      </c>
      <c r="R86" s="75">
        <v>45873.625</v>
      </c>
      <c r="S86" s="54">
        <v>101.214</v>
      </c>
      <c r="T86" s="125">
        <v>45880.625</v>
      </c>
      <c r="U86" s="54">
        <v>120.27</v>
      </c>
    </row>
    <row r="87" spans="16:21" x14ac:dyDescent="0.3">
      <c r="P87" s="75">
        <v>45876.625</v>
      </c>
      <c r="Q87" s="54">
        <v>94.64</v>
      </c>
      <c r="R87" s="75">
        <v>45874.625</v>
      </c>
      <c r="S87" s="54">
        <v>101.217</v>
      </c>
      <c r="T87" s="125">
        <v>45881.625</v>
      </c>
      <c r="U87" s="54">
        <v>120.15</v>
      </c>
    </row>
    <row r="88" spans="16:21" x14ac:dyDescent="0.3">
      <c r="P88" s="75">
        <v>45877.625</v>
      </c>
      <c r="Q88" s="54">
        <v>94.67</v>
      </c>
      <c r="R88" s="75">
        <v>45875.625</v>
      </c>
      <c r="S88" s="54">
        <v>101.197</v>
      </c>
      <c r="T88" s="125">
        <v>45882.625</v>
      </c>
      <c r="U88" s="54">
        <v>120.52</v>
      </c>
    </row>
    <row r="89" spans="16:21" x14ac:dyDescent="0.3">
      <c r="P89" s="75">
        <v>45880.625</v>
      </c>
      <c r="Q89" s="54">
        <v>94.66</v>
      </c>
      <c r="R89" s="75">
        <v>45876.625</v>
      </c>
      <c r="S89" s="54">
        <v>101.16500000000001</v>
      </c>
      <c r="T89" s="125">
        <v>45883.625</v>
      </c>
      <c r="U89" s="54">
        <v>120.46</v>
      </c>
    </row>
    <row r="90" spans="16:21" x14ac:dyDescent="0.3">
      <c r="P90" s="75">
        <v>45881.625</v>
      </c>
      <c r="Q90" s="54">
        <v>94.75</v>
      </c>
      <c r="R90" s="75">
        <v>45877.625</v>
      </c>
      <c r="S90" s="54">
        <v>101.039</v>
      </c>
      <c r="T90" s="125">
        <v>45887.625</v>
      </c>
      <c r="U90" s="54">
        <v>120.14</v>
      </c>
    </row>
    <row r="91" spans="16:21" x14ac:dyDescent="0.3">
      <c r="P91" s="75">
        <v>45882.625</v>
      </c>
      <c r="Q91" s="54">
        <v>94.88</v>
      </c>
      <c r="R91" s="75">
        <v>45880.625</v>
      </c>
      <c r="S91" s="54">
        <v>101.004</v>
      </c>
      <c r="T91" s="125">
        <v>45888.625</v>
      </c>
      <c r="U91" s="54">
        <v>120.27</v>
      </c>
    </row>
    <row r="92" spans="16:21" x14ac:dyDescent="0.3">
      <c r="P92" s="75">
        <v>45883.625</v>
      </c>
      <c r="Q92" s="54">
        <v>94.94</v>
      </c>
      <c r="R92" s="75">
        <v>45881.625</v>
      </c>
      <c r="S92" s="54">
        <v>100.947</v>
      </c>
      <c r="T92" s="125">
        <v>45889.625</v>
      </c>
      <c r="U92" s="54">
        <v>120.39</v>
      </c>
    </row>
    <row r="93" spans="16:21" x14ac:dyDescent="0.3">
      <c r="P93" s="75">
        <v>45884.625</v>
      </c>
      <c r="Q93" s="54">
        <v>94.87</v>
      </c>
      <c r="R93" s="75">
        <v>45882.625</v>
      </c>
      <c r="S93" s="54">
        <v>101.11799999999999</v>
      </c>
      <c r="T93" s="125">
        <v>45890.625</v>
      </c>
      <c r="U93" s="54">
        <v>120.12</v>
      </c>
    </row>
    <row r="94" spans="16:21" x14ac:dyDescent="0.3">
      <c r="P94" s="75">
        <v>45887.625</v>
      </c>
      <c r="Q94" s="54">
        <v>94.83</v>
      </c>
      <c r="R94" s="75">
        <v>45883.625</v>
      </c>
      <c r="S94" s="54">
        <v>101.057</v>
      </c>
      <c r="T94" s="125">
        <v>45891.625</v>
      </c>
      <c r="U94" s="54">
        <v>120.28</v>
      </c>
    </row>
    <row r="95" spans="16:21" x14ac:dyDescent="0.3">
      <c r="P95" s="75">
        <v>45888.625</v>
      </c>
      <c r="Q95" s="54">
        <v>94.8</v>
      </c>
      <c r="R95" s="75">
        <v>45884.625</v>
      </c>
      <c r="S95" s="54">
        <v>100.946</v>
      </c>
      <c r="T95" s="125">
        <v>45898.625</v>
      </c>
      <c r="U95" s="54">
        <v>120.25</v>
      </c>
    </row>
    <row r="96" spans="16:21" x14ac:dyDescent="0.3">
      <c r="P96" s="75">
        <v>45889.625</v>
      </c>
      <c r="Q96" s="54">
        <v>94.64</v>
      </c>
      <c r="R96" s="75">
        <v>45887.625</v>
      </c>
      <c r="S96" s="54">
        <v>100.953</v>
      </c>
      <c r="T96" s="125">
        <v>45901.625</v>
      </c>
      <c r="U96" s="54">
        <v>120.1</v>
      </c>
    </row>
    <row r="97" spans="16:21" x14ac:dyDescent="0.3">
      <c r="P97" s="75">
        <v>45890.625</v>
      </c>
      <c r="Q97" s="54">
        <v>94.47</v>
      </c>
      <c r="R97" s="75">
        <v>45888.625</v>
      </c>
      <c r="S97" s="54">
        <v>100.99</v>
      </c>
      <c r="T97" s="125">
        <v>45902.625</v>
      </c>
      <c r="U97" s="54">
        <v>119.81</v>
      </c>
    </row>
    <row r="98" spans="16:21" x14ac:dyDescent="0.3">
      <c r="P98" s="75">
        <v>45891.625</v>
      </c>
      <c r="Q98" s="54">
        <v>94.76</v>
      </c>
      <c r="R98" s="75">
        <v>45889.625</v>
      </c>
      <c r="S98" s="54">
        <v>101.083</v>
      </c>
      <c r="T98" s="125">
        <v>45903.625</v>
      </c>
      <c r="U98" s="54">
        <v>120.08</v>
      </c>
    </row>
    <row r="99" spans="16:21" x14ac:dyDescent="0.3">
      <c r="P99" s="75">
        <v>45895.625</v>
      </c>
      <c r="Q99" s="54">
        <v>94.59</v>
      </c>
      <c r="R99" s="75">
        <v>45890.625</v>
      </c>
      <c r="S99" s="54">
        <v>100.955</v>
      </c>
      <c r="T99" s="125">
        <v>45904.625</v>
      </c>
      <c r="U99" s="54">
        <v>120.3</v>
      </c>
    </row>
    <row r="100" spans="16:21" x14ac:dyDescent="0.3">
      <c r="P100" s="75">
        <v>45896.625</v>
      </c>
      <c r="Q100" s="54">
        <v>94.56</v>
      </c>
      <c r="R100" s="75">
        <v>45891.625</v>
      </c>
      <c r="S100" s="54">
        <v>101.027</v>
      </c>
      <c r="T100" s="125">
        <v>45905.625</v>
      </c>
      <c r="U100" s="54">
        <v>120.64</v>
      </c>
    </row>
    <row r="101" spans="16:21" x14ac:dyDescent="0.3">
      <c r="P101" s="75">
        <v>45897.625</v>
      </c>
      <c r="Q101" s="54">
        <v>94.44</v>
      </c>
      <c r="R101" s="75">
        <v>45894.625</v>
      </c>
      <c r="S101" s="54">
        <v>100.916</v>
      </c>
      <c r="T101" s="125">
        <v>45908.625</v>
      </c>
      <c r="U101" s="54">
        <v>120.74</v>
      </c>
    </row>
    <row r="102" spans="16:21" x14ac:dyDescent="0.3">
      <c r="P102" s="75">
        <v>45898.625</v>
      </c>
      <c r="Q102" s="54">
        <v>94.44</v>
      </c>
      <c r="R102" s="75">
        <v>45895.625</v>
      </c>
      <c r="S102" s="54">
        <v>101.051</v>
      </c>
      <c r="T102" s="125">
        <v>45909.625</v>
      </c>
      <c r="U102" s="54">
        <v>120.66</v>
      </c>
    </row>
    <row r="103" spans="16:21" x14ac:dyDescent="0.3">
      <c r="P103" s="75">
        <v>45901.625</v>
      </c>
      <c r="Q103" s="54">
        <v>94.4</v>
      </c>
      <c r="R103" s="75">
        <v>45896.625</v>
      </c>
      <c r="S103" s="54">
        <v>101.142</v>
      </c>
      <c r="T103" s="125">
        <v>45910.625</v>
      </c>
      <c r="U103" s="54">
        <v>120.75</v>
      </c>
    </row>
    <row r="104" spans="16:21" x14ac:dyDescent="0.3">
      <c r="P104" s="75">
        <v>45902.625</v>
      </c>
      <c r="Q104" s="54">
        <v>94.24</v>
      </c>
      <c r="R104" s="75">
        <v>45897.625</v>
      </c>
      <c r="S104" s="54">
        <v>101.092</v>
      </c>
      <c r="T104" s="125">
        <v>45911.625</v>
      </c>
      <c r="U104" s="54">
        <v>120.76</v>
      </c>
    </row>
    <row r="105" spans="16:21" x14ac:dyDescent="0.3">
      <c r="P105" s="75">
        <v>45903.625</v>
      </c>
      <c r="Q105" s="54">
        <v>94.38</v>
      </c>
      <c r="R105" s="75">
        <v>45898.625</v>
      </c>
      <c r="S105" s="54">
        <v>101.096</v>
      </c>
      <c r="T105" s="125">
        <v>45912.625</v>
      </c>
      <c r="U105" s="54">
        <v>120.63</v>
      </c>
    </row>
    <row r="106" spans="16:21" x14ac:dyDescent="0.3">
      <c r="P106" s="75">
        <v>45904.625</v>
      </c>
      <c r="Q106" s="54">
        <v>94.54</v>
      </c>
      <c r="R106" s="75">
        <v>45901.625</v>
      </c>
      <c r="S106" s="54">
        <v>101.01900000000001</v>
      </c>
      <c r="T106" s="125">
        <v>45915.625</v>
      </c>
      <c r="U106" s="54">
        <v>120.7</v>
      </c>
    </row>
    <row r="107" spans="16:21" x14ac:dyDescent="0.3">
      <c r="P107" s="75">
        <v>45905.625</v>
      </c>
      <c r="Q107" s="54">
        <v>94.64</v>
      </c>
      <c r="R107" s="75">
        <v>45902.625</v>
      </c>
      <c r="S107" s="54">
        <v>100.976</v>
      </c>
      <c r="T107" s="125">
        <v>45916.625</v>
      </c>
      <c r="U107" s="54">
        <v>120.66</v>
      </c>
    </row>
    <row r="108" spans="16:21" x14ac:dyDescent="0.3">
      <c r="P108" s="75">
        <v>45908.625</v>
      </c>
      <c r="Q108" s="54">
        <v>94.65</v>
      </c>
      <c r="R108" s="75">
        <v>45903.625</v>
      </c>
      <c r="S108" s="54">
        <v>101.038</v>
      </c>
      <c r="T108" s="125">
        <v>45917.625</v>
      </c>
      <c r="U108" s="54">
        <v>120.67</v>
      </c>
    </row>
    <row r="109" spans="16:21" x14ac:dyDescent="0.3">
      <c r="P109" s="75">
        <v>45909.625</v>
      </c>
      <c r="Q109" s="54">
        <v>94.54</v>
      </c>
      <c r="R109" s="75">
        <v>45904.625</v>
      </c>
      <c r="S109" s="54">
        <v>101.06399999999999</v>
      </c>
      <c r="T109" s="125">
        <v>45918.625</v>
      </c>
      <c r="U109" s="54">
        <v>120.7</v>
      </c>
    </row>
    <row r="110" spans="16:21" x14ac:dyDescent="0.3">
      <c r="P110" s="75">
        <v>45910.625</v>
      </c>
      <c r="Q110" s="54">
        <v>94.53</v>
      </c>
      <c r="R110" s="75">
        <v>45905.625</v>
      </c>
      <c r="S110" s="54">
        <v>101.19</v>
      </c>
      <c r="T110" s="125">
        <v>45919.625</v>
      </c>
      <c r="U110" s="54">
        <v>120.71</v>
      </c>
    </row>
    <row r="111" spans="16:21" x14ac:dyDescent="0.3">
      <c r="P111" s="75">
        <v>45911.625</v>
      </c>
      <c r="Q111" s="54">
        <v>92.29</v>
      </c>
      <c r="R111" s="75">
        <v>45908.625</v>
      </c>
      <c r="S111" s="54">
        <v>101.23099999999999</v>
      </c>
      <c r="T111" s="125">
        <v>45922.625</v>
      </c>
      <c r="U111" s="54">
        <v>120.61</v>
      </c>
    </row>
    <row r="112" spans="16:21" x14ac:dyDescent="0.3">
      <c r="P112" s="75">
        <v>45912.625</v>
      </c>
      <c r="Q112" s="54">
        <v>92.46</v>
      </c>
      <c r="R112" s="75">
        <v>45909.625</v>
      </c>
      <c r="S112" s="54">
        <v>101.163</v>
      </c>
      <c r="T112" s="125">
        <v>45923.625</v>
      </c>
      <c r="U112" s="54">
        <v>120.6</v>
      </c>
    </row>
    <row r="113" spans="16:21" x14ac:dyDescent="0.3">
      <c r="P113" s="75">
        <v>45915.625</v>
      </c>
      <c r="Q113" s="54">
        <v>92.46</v>
      </c>
      <c r="R113" s="75">
        <v>45910.625</v>
      </c>
      <c r="S113" s="54">
        <v>101.126</v>
      </c>
      <c r="T113" s="125">
        <v>45924.625</v>
      </c>
      <c r="U113" s="54">
        <v>120.67</v>
      </c>
    </row>
    <row r="114" spans="16:21" x14ac:dyDescent="0.3">
      <c r="P114" s="75">
        <v>45916.625</v>
      </c>
      <c r="Q114" s="54">
        <v>92.35</v>
      </c>
      <c r="R114" s="75">
        <v>45911.625</v>
      </c>
      <c r="S114" s="54">
        <v>101.012</v>
      </c>
      <c r="T114" s="125">
        <v>45925.625</v>
      </c>
      <c r="U114" s="54">
        <v>120.43</v>
      </c>
    </row>
    <row r="115" spans="16:21" x14ac:dyDescent="0.3">
      <c r="P115" s="75">
        <v>45917.625</v>
      </c>
      <c r="Q115" s="54">
        <v>92.39</v>
      </c>
      <c r="R115" s="75">
        <v>45912.625</v>
      </c>
      <c r="S115" s="54">
        <v>100.934</v>
      </c>
      <c r="T115" s="125">
        <v>45929.625</v>
      </c>
      <c r="U115" s="54">
        <v>120.76</v>
      </c>
    </row>
    <row r="116" spans="16:21" x14ac:dyDescent="0.3">
      <c r="P116" s="75">
        <v>45918.625</v>
      </c>
      <c r="Q116" s="54">
        <v>92.67</v>
      </c>
      <c r="R116" s="75">
        <v>45915.625</v>
      </c>
      <c r="S116" s="54">
        <v>100.944</v>
      </c>
      <c r="T116" s="125">
        <v>45930.625</v>
      </c>
      <c r="U116" s="54">
        <v>120.78</v>
      </c>
    </row>
    <row r="117" spans="16:21" x14ac:dyDescent="0.3">
      <c r="P117" s="75">
        <v>45919.625</v>
      </c>
      <c r="Q117" s="54">
        <v>92.67</v>
      </c>
      <c r="R117" s="75">
        <v>45916.625</v>
      </c>
      <c r="S117" s="54">
        <v>100.953</v>
      </c>
      <c r="T117" s="125">
        <v>45931.625</v>
      </c>
      <c r="U117" s="54">
        <v>120.85</v>
      </c>
    </row>
    <row r="118" spans="16:21" x14ac:dyDescent="0.3">
      <c r="P118" s="75">
        <v>45922.625</v>
      </c>
      <c r="Q118" s="54">
        <v>92.52</v>
      </c>
      <c r="R118" s="75">
        <v>45917.625</v>
      </c>
      <c r="S118" s="54">
        <v>100.971</v>
      </c>
      <c r="T118" s="125">
        <v>45932.625</v>
      </c>
      <c r="U118" s="54">
        <v>120.92</v>
      </c>
    </row>
    <row r="119" spans="16:21" x14ac:dyDescent="0.3">
      <c r="P119" s="75">
        <v>45923.625</v>
      </c>
      <c r="Q119" s="54">
        <v>92.67</v>
      </c>
      <c r="R119" s="75">
        <v>45918.625</v>
      </c>
      <c r="S119" s="54">
        <v>100.956</v>
      </c>
      <c r="T119" s="125">
        <v>45933.625</v>
      </c>
      <c r="U119" s="54">
        <v>120.97</v>
      </c>
    </row>
    <row r="120" spans="16:21" x14ac:dyDescent="0.3">
      <c r="P120" s="75">
        <v>45924.625</v>
      </c>
      <c r="Q120" s="54">
        <v>92.59</v>
      </c>
      <c r="R120" s="75">
        <v>45919.625</v>
      </c>
      <c r="S120" s="54">
        <v>100.904</v>
      </c>
      <c r="T120" s="125">
        <v>45936.625</v>
      </c>
      <c r="U120" s="54">
        <v>120.96</v>
      </c>
    </row>
    <row r="121" spans="16:21" x14ac:dyDescent="0.3">
      <c r="P121" s="75">
        <v>45925.625</v>
      </c>
      <c r="Q121" s="54">
        <v>92.45</v>
      </c>
      <c r="R121" s="75">
        <v>45922.625</v>
      </c>
      <c r="S121" s="54">
        <v>100.913</v>
      </c>
      <c r="T121" s="125">
        <v>45937.625</v>
      </c>
      <c r="U121" s="54">
        <v>120.93</v>
      </c>
    </row>
    <row r="122" spans="16:21" x14ac:dyDescent="0.3">
      <c r="P122" s="75">
        <v>45926.625</v>
      </c>
      <c r="Q122" s="54">
        <v>92.46</v>
      </c>
      <c r="R122" s="75">
        <v>45923.625</v>
      </c>
      <c r="S122" s="54">
        <v>100.883</v>
      </c>
      <c r="T122" s="125">
        <v>45938.625</v>
      </c>
      <c r="U122" s="54">
        <v>121.12</v>
      </c>
    </row>
    <row r="123" spans="16:21" x14ac:dyDescent="0.3">
      <c r="P123" s="75">
        <v>45929.625</v>
      </c>
      <c r="Q123" s="54">
        <v>92.5</v>
      </c>
      <c r="R123" s="75">
        <v>45924.625</v>
      </c>
      <c r="S123" s="54">
        <v>100.893</v>
      </c>
      <c r="T123" s="125">
        <v>45939.625</v>
      </c>
      <c r="U123" s="54">
        <v>120.99</v>
      </c>
    </row>
    <row r="124" spans="16:21" x14ac:dyDescent="0.3">
      <c r="P124" s="75">
        <v>45930.625</v>
      </c>
      <c r="Q124" s="54">
        <v>92.47</v>
      </c>
      <c r="R124" s="75">
        <v>45925.625</v>
      </c>
      <c r="S124" s="54">
        <v>100.822</v>
      </c>
      <c r="T124" s="125">
        <v>45940.625</v>
      </c>
      <c r="U124" s="54">
        <v>121</v>
      </c>
    </row>
    <row r="125" spans="16:21" x14ac:dyDescent="0.3">
      <c r="P125" s="75">
        <v>45931.625</v>
      </c>
      <c r="Q125" s="54">
        <v>92.57</v>
      </c>
      <c r="R125" s="75">
        <v>45926.625</v>
      </c>
      <c r="S125" s="54">
        <v>100.866</v>
      </c>
      <c r="T125" s="125">
        <v>45943.625</v>
      </c>
      <c r="U125" s="54">
        <v>121.1</v>
      </c>
    </row>
    <row r="126" spans="16:21" x14ac:dyDescent="0.3">
      <c r="P126" s="75">
        <v>45932.625</v>
      </c>
      <c r="Q126" s="54">
        <v>92.64</v>
      </c>
      <c r="R126" s="75">
        <v>45929.625</v>
      </c>
      <c r="S126" s="54">
        <v>100.89</v>
      </c>
      <c r="T126" s="125">
        <v>45944.625</v>
      </c>
      <c r="U126" s="54">
        <v>121.2</v>
      </c>
    </row>
    <row r="127" spans="16:21" x14ac:dyDescent="0.3">
      <c r="P127" s="75">
        <v>45933.625</v>
      </c>
      <c r="Q127" s="54">
        <v>92.6</v>
      </c>
      <c r="R127" s="75">
        <v>45930.625</v>
      </c>
      <c r="S127" s="54">
        <v>100.89400000000001</v>
      </c>
      <c r="T127" s="125">
        <v>45945.625</v>
      </c>
      <c r="U127" s="54">
        <v>121.62</v>
      </c>
    </row>
    <row r="128" spans="16:21" x14ac:dyDescent="0.3">
      <c r="P128" s="75">
        <v>45936.625</v>
      </c>
      <c r="Q128" s="54">
        <v>92.49</v>
      </c>
      <c r="R128" s="75">
        <v>45931.625</v>
      </c>
      <c r="S128" s="54">
        <v>100.92</v>
      </c>
      <c r="T128" s="125">
        <v>45946.625</v>
      </c>
      <c r="U128" s="54">
        <v>121.6</v>
      </c>
    </row>
    <row r="129" spans="16:21" x14ac:dyDescent="0.3">
      <c r="P129" s="75">
        <v>45937.625</v>
      </c>
      <c r="Q129" s="54">
        <v>92.19</v>
      </c>
      <c r="R129" s="75">
        <v>45932.625</v>
      </c>
      <c r="S129" s="54">
        <v>100.905</v>
      </c>
      <c r="T129" s="125">
        <v>45947.625</v>
      </c>
      <c r="U129" s="54">
        <v>121.51</v>
      </c>
    </row>
    <row r="130" spans="16:21" x14ac:dyDescent="0.3">
      <c r="P130" s="75">
        <v>45938.625</v>
      </c>
      <c r="Q130" s="54">
        <v>92.12</v>
      </c>
      <c r="R130" s="75">
        <v>45933.625</v>
      </c>
      <c r="S130" s="54">
        <v>100.893</v>
      </c>
    </row>
    <row r="131" spans="16:21" x14ac:dyDescent="0.3">
      <c r="P131" s="75">
        <v>45939.625</v>
      </c>
      <c r="Q131" s="54">
        <v>92</v>
      </c>
      <c r="R131" s="75">
        <v>45936.625</v>
      </c>
      <c r="S131" s="54">
        <v>100.928</v>
      </c>
    </row>
    <row r="132" spans="16:21" x14ac:dyDescent="0.3">
      <c r="P132" s="75">
        <v>45940.625</v>
      </c>
      <c r="Q132" s="54">
        <v>91.78</v>
      </c>
      <c r="R132" s="75">
        <v>45937.625</v>
      </c>
      <c r="S132" s="54">
        <v>100.908</v>
      </c>
    </row>
    <row r="133" spans="16:21" x14ac:dyDescent="0.3">
      <c r="P133" s="75">
        <v>45943.625</v>
      </c>
      <c r="Q133" s="54">
        <v>91.79</v>
      </c>
      <c r="R133" s="75">
        <v>45938.625</v>
      </c>
      <c r="S133" s="54">
        <v>100.99299999999999</v>
      </c>
    </row>
    <row r="134" spans="16:21" x14ac:dyDescent="0.3">
      <c r="P134" s="75">
        <v>45944.625</v>
      </c>
      <c r="Q134" s="54">
        <v>91.85</v>
      </c>
      <c r="R134" s="75">
        <v>45939.625</v>
      </c>
      <c r="S134" s="54">
        <v>100.934</v>
      </c>
    </row>
    <row r="135" spans="16:21" x14ac:dyDescent="0.3">
      <c r="P135" s="75">
        <v>45945.625</v>
      </c>
      <c r="Q135" s="54">
        <v>92.38</v>
      </c>
      <c r="R135" s="75">
        <v>45940.625</v>
      </c>
      <c r="S135" s="54">
        <v>101.017</v>
      </c>
    </row>
    <row r="136" spans="16:21" x14ac:dyDescent="0.3">
      <c r="P136" s="75">
        <v>45946.625</v>
      </c>
      <c r="Q136" s="54">
        <v>92.23</v>
      </c>
      <c r="R136" s="75">
        <v>45943.625</v>
      </c>
      <c r="S136" s="54">
        <v>101.122</v>
      </c>
    </row>
    <row r="137" spans="16:21" x14ac:dyDescent="0.3">
      <c r="P137" s="75">
        <v>45947.625</v>
      </c>
      <c r="Q137" s="54">
        <v>92.1</v>
      </c>
      <c r="R137" s="75">
        <v>45944.625</v>
      </c>
      <c r="S137" s="54">
        <v>101.13800000000001</v>
      </c>
    </row>
    <row r="138" spans="16:21" x14ac:dyDescent="0.3">
      <c r="R138" s="75">
        <v>45945.625</v>
      </c>
      <c r="S138" s="54">
        <v>101.23699999999999</v>
      </c>
    </row>
    <row r="139" spans="16:21" x14ac:dyDescent="0.3">
      <c r="R139" s="75">
        <v>45946.625</v>
      </c>
      <c r="S139" s="54">
        <v>101.221</v>
      </c>
    </row>
    <row r="140" spans="16:21" x14ac:dyDescent="0.3">
      <c r="R140" s="75">
        <v>45947.625</v>
      </c>
      <c r="S140" s="54">
        <v>101.253</v>
      </c>
    </row>
  </sheetData>
  <mergeCells count="4">
    <mergeCell ref="B12:D12"/>
    <mergeCell ref="E12:G12"/>
    <mergeCell ref="H12:J12"/>
    <mergeCell ref="K12:M12"/>
  </mergeCells>
  <conditionalFormatting sqref="N13:N30">
    <cfRule type="cellIs" dxfId="20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7"/>
  <sheetViews>
    <sheetView zoomScale="70" zoomScaleNormal="70" workbookViewId="0">
      <selection activeCell="B30" sqref="B30"/>
    </sheetView>
  </sheetViews>
  <sheetFormatPr defaultColWidth="8.88671875" defaultRowHeight="14.4" x14ac:dyDescent="0.3"/>
  <cols>
    <col min="1" max="1" width="15.44140625" style="133" bestFit="1" customWidth="1"/>
    <col min="2" max="5" width="13.33203125" style="54" bestFit="1" customWidth="1"/>
    <col min="6" max="6" width="12.44140625" style="54" customWidth="1"/>
    <col min="7" max="7" width="13.33203125" style="54" bestFit="1" customWidth="1"/>
    <col min="8" max="8" width="10.6640625" style="54" customWidth="1"/>
    <col min="9" max="9" width="13.33203125" style="54" bestFit="1" customWidth="1"/>
    <col min="10" max="10" width="11.5546875" style="54" bestFit="1" customWidth="1"/>
    <col min="11" max="11" width="10.6640625" style="54" customWidth="1"/>
    <col min="12" max="12" width="11.5546875" style="54" bestFit="1" customWidth="1"/>
    <col min="13" max="16" width="10.6640625" style="54" customWidth="1"/>
    <col min="17" max="17" width="13.88671875" style="54" bestFit="1" customWidth="1"/>
    <col min="18" max="18" width="11.5546875" style="54" bestFit="1" customWidth="1"/>
    <col min="19" max="20" width="13.33203125" style="54" bestFit="1" customWidth="1"/>
    <col min="21" max="21" width="9.109375"/>
    <col min="22" max="22" width="17.109375" style="75" customWidth="1"/>
    <col min="23" max="23" width="7.77734375" style="54" customWidth="1"/>
    <col min="24" max="24" width="11.5546875" style="75" customWidth="1"/>
    <col min="25" max="25" width="13.33203125" style="54" customWidth="1"/>
    <col min="26" max="26" width="11.5546875" style="75" customWidth="1"/>
    <col min="27" max="27" width="8.88671875" style="54" customWidth="1"/>
    <col min="28" max="28" width="11.5546875" style="75" customWidth="1"/>
    <col min="29" max="29" width="13.33203125" style="54" customWidth="1"/>
    <col min="30" max="30" width="11.5546875" style="75" customWidth="1"/>
    <col min="31" max="31" width="12.21875" style="54" customWidth="1"/>
    <col min="32" max="32" width="11.5546875" style="75" customWidth="1"/>
    <col min="33" max="33" width="12.21875" style="54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9" t="s">
        <v>100</v>
      </c>
      <c r="J1" s="120">
        <v>0.625</v>
      </c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1" t="s">
        <v>1</v>
      </c>
      <c r="E2" s="77" t="s">
        <v>0</v>
      </c>
      <c r="F2" s="71" t="s">
        <v>0</v>
      </c>
      <c r="G2" s="72" t="s">
        <v>0</v>
      </c>
      <c r="V2" s="102" t="s">
        <v>0</v>
      </c>
      <c r="W2" s="1"/>
      <c r="X2" s="103" t="s">
        <v>1</v>
      </c>
      <c r="Y2" s="2"/>
      <c r="Z2" s="104" t="s">
        <v>1</v>
      </c>
      <c r="AA2" s="1"/>
      <c r="AB2" s="105" t="s">
        <v>0</v>
      </c>
      <c r="AD2" s="106" t="s">
        <v>0</v>
      </c>
      <c r="AF2" s="101" t="s">
        <v>0</v>
      </c>
    </row>
    <row r="3" spans="1:33" x14ac:dyDescent="0.3">
      <c r="A3" s="15" t="s">
        <v>32</v>
      </c>
      <c r="B3" s="64" t="s">
        <v>64</v>
      </c>
      <c r="C3" s="73" t="s">
        <v>66</v>
      </c>
      <c r="D3" s="73" t="s">
        <v>67</v>
      </c>
      <c r="E3" s="73" t="s">
        <v>66</v>
      </c>
      <c r="F3" s="73" t="s">
        <v>68</v>
      </c>
      <c r="G3" s="65" t="s">
        <v>69</v>
      </c>
      <c r="I3" s="94" t="s">
        <v>80</v>
      </c>
      <c r="J3" s="86" t="s">
        <v>64</v>
      </c>
      <c r="K3" s="87" t="s">
        <v>67</v>
      </c>
      <c r="V3" s="52" cm="1">
        <f t="array" ref="V3:W137">_xll.BDH(B4, "LAST_PRICE", "01/01/2025 15:00:00", "01/01/2035 16:00:00", "BarSize=60", "BarType=T", "RecurDaily=True", "TZ=New_York")</f>
        <v>45751.625</v>
      </c>
      <c r="W3" s="1">
        <v>76.8</v>
      </c>
      <c r="X3" s="52" cm="1">
        <f t="array" ref="X3:Y39">_xll.BDH(C4, "LAST_PRICE", "01/01/2025 15:00:00", "01/01/2035 16:00:00", "BarSize=60", "BarType=T", "RecurDaily=True", "TZ=New_York")</f>
        <v>45896.625</v>
      </c>
      <c r="Y3" s="46">
        <v>99.6484375</v>
      </c>
      <c r="Z3" s="52" cm="1">
        <f t="array" ref="Z3:AA137">_xll.BDH(D4, "LAST_PRICE", "01/01/2025 15:00:00", "01/01/2035 16:00:00", "BarSize=60", "BarType=T", "RecurDaily=True", "TZ=New_York")</f>
        <v>45751.625</v>
      </c>
      <c r="AA3" s="1">
        <v>108.78</v>
      </c>
      <c r="AB3" s="52" cm="1">
        <f t="array" ref="AB3:AC39">_xll.BDH(E4, "LAST_PRICE", "01/01/2025 15:00:00", "01/01/2035 16:00:00", "BarSize=60", "BarType=T", "RecurDaily=True", "TZ=New_York")</f>
        <v>45896.625</v>
      </c>
      <c r="AC3" s="54">
        <v>99.6484375</v>
      </c>
      <c r="AD3" s="52" cm="1">
        <f t="array" ref="AD3:AE54">_xll.BDH(F4, "LAST_PRICE", "01/01/2025 15:00:00", "01/01/2035 16:00:00", "BarSize=60", "BarType=T", "RecurDaily=True", "TZ=New_York")</f>
        <v>45875.625</v>
      </c>
      <c r="AE3" s="54">
        <v>100.140625</v>
      </c>
      <c r="AF3" s="52" cm="1">
        <f t="array" ref="AF3:AG53">_xll.BDH(G4, "LAST_PRICE", "01/01/2025 15:00:00", "01/01/2035 16:00:00", "BarSize=60", "BarType=T", "RecurDaily=True", "TZ=New_York")</f>
        <v>45876.625</v>
      </c>
      <c r="AG3" s="54">
        <v>98.9375</v>
      </c>
    </row>
    <row r="4" spans="1:33" ht="32.25" customHeight="1" thickBot="1" x14ac:dyDescent="0.35">
      <c r="A4" s="15" t="s">
        <v>33</v>
      </c>
      <c r="B4" s="66" t="s">
        <v>65</v>
      </c>
      <c r="C4" s="41" t="s">
        <v>73</v>
      </c>
      <c r="D4" s="41" t="s">
        <v>70</v>
      </c>
      <c r="E4" s="41" t="s">
        <v>73</v>
      </c>
      <c r="F4" s="41" t="s">
        <v>72</v>
      </c>
      <c r="G4" s="42" t="s">
        <v>71</v>
      </c>
      <c r="I4" s="88"/>
      <c r="J4" s="89">
        <f>B5/B14</f>
        <v>431220.35360068991</v>
      </c>
      <c r="K4" s="90">
        <f>D5/H14</f>
        <v>320241.96059244761</v>
      </c>
      <c r="V4" s="75">
        <v>45754.625</v>
      </c>
      <c r="W4" s="54">
        <v>76.099999999999994</v>
      </c>
      <c r="X4" s="75">
        <v>45897.625</v>
      </c>
      <c r="Y4" s="54">
        <v>99.6953125</v>
      </c>
      <c r="Z4" s="75">
        <v>45754.625</v>
      </c>
      <c r="AA4" s="54">
        <v>106.66</v>
      </c>
      <c r="AB4" s="75">
        <v>45897.625</v>
      </c>
      <c r="AC4" s="54">
        <v>99.6953125</v>
      </c>
      <c r="AD4" s="75">
        <v>45876.625</v>
      </c>
      <c r="AE4" s="54">
        <v>100.0625</v>
      </c>
      <c r="AF4" s="75">
        <v>45877.625</v>
      </c>
      <c r="AG4" s="54">
        <v>98.4375</v>
      </c>
    </row>
    <row r="5" spans="1:33" ht="15" thickBot="1" x14ac:dyDescent="0.35">
      <c r="A5" s="15" t="s">
        <v>8</v>
      </c>
      <c r="B5" s="67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3"/>
      <c r="J5" s="1"/>
      <c r="K5" s="53"/>
      <c r="V5" s="75">
        <v>45755.625</v>
      </c>
      <c r="W5" s="54">
        <v>75.75</v>
      </c>
      <c r="X5" s="75">
        <v>45898.625</v>
      </c>
      <c r="Y5" s="54">
        <v>99.703125</v>
      </c>
      <c r="Z5" s="75">
        <v>45755.625</v>
      </c>
      <c r="AA5" s="54">
        <v>105.31</v>
      </c>
      <c r="AB5" s="75">
        <v>45898.625</v>
      </c>
      <c r="AC5" s="54">
        <v>99.703125</v>
      </c>
      <c r="AD5" s="75">
        <v>45877.625</v>
      </c>
      <c r="AE5" s="54">
        <v>99.734375</v>
      </c>
      <c r="AF5" s="75">
        <v>45880.625</v>
      </c>
      <c r="AG5" s="54">
        <v>98.53125</v>
      </c>
    </row>
    <row r="6" spans="1:33" x14ac:dyDescent="0.3">
      <c r="A6" s="15" t="s">
        <v>10</v>
      </c>
      <c r="B6" s="69">
        <v>0</v>
      </c>
      <c r="C6" s="74">
        <f>(3+5/8)*0.01</f>
        <v>3.6249999999999998E-2</v>
      </c>
      <c r="D6" s="74">
        <v>0</v>
      </c>
      <c r="E6" s="74">
        <f>(3+5/8)*0.01</f>
        <v>3.6249999999999998E-2</v>
      </c>
      <c r="F6" s="74">
        <v>4.2500000000000003E-2</v>
      </c>
      <c r="G6" s="10">
        <v>4.7500000000000001E-2</v>
      </c>
      <c r="I6" s="95" t="s">
        <v>79</v>
      </c>
      <c r="J6" s="73" t="s">
        <v>64</v>
      </c>
      <c r="K6" s="91" t="s">
        <v>67</v>
      </c>
      <c r="V6" s="75">
        <v>45756.625</v>
      </c>
      <c r="W6" s="54">
        <v>77.78</v>
      </c>
      <c r="X6" s="75">
        <v>45901.625</v>
      </c>
      <c r="Y6" s="54">
        <v>99.6796875</v>
      </c>
      <c r="Z6" s="75">
        <v>45756.625</v>
      </c>
      <c r="AA6" s="54">
        <v>107.07</v>
      </c>
      <c r="AB6" s="75">
        <v>45901.625</v>
      </c>
      <c r="AC6" s="54">
        <v>99.6796875</v>
      </c>
      <c r="AD6" s="75">
        <v>45880.625</v>
      </c>
      <c r="AE6" s="54">
        <v>99.8125</v>
      </c>
      <c r="AF6" s="75">
        <v>45881.625</v>
      </c>
      <c r="AG6" s="54">
        <v>98</v>
      </c>
    </row>
    <row r="7" spans="1:33" ht="15" thickBot="1" x14ac:dyDescent="0.35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74">
        <v>4.2299999999999997E-2</v>
      </c>
      <c r="F7" s="74">
        <v>4.2299999999999997E-2</v>
      </c>
      <c r="G7" s="10">
        <v>4.2299999999999997E-2</v>
      </c>
      <c r="I7" s="79"/>
      <c r="J7" s="21">
        <v>0.38100000000000001</v>
      </c>
      <c r="K7" s="92">
        <v>0.40600000000000003</v>
      </c>
      <c r="L7" s="1"/>
      <c r="P7" s="1"/>
      <c r="T7" s="1"/>
      <c r="V7" s="75">
        <v>45757.625</v>
      </c>
      <c r="W7" s="54">
        <v>76.510000000000005</v>
      </c>
      <c r="X7" s="75">
        <v>45902.625</v>
      </c>
      <c r="Y7" s="54">
        <v>99.53125</v>
      </c>
      <c r="Z7" s="75">
        <v>45757.625</v>
      </c>
      <c r="AA7" s="54">
        <v>105.25</v>
      </c>
      <c r="AB7" s="75">
        <v>45902.625</v>
      </c>
      <c r="AC7" s="54">
        <v>99.53125</v>
      </c>
      <c r="AD7" s="75">
        <v>45881.625</v>
      </c>
      <c r="AE7" s="54">
        <v>99.6875</v>
      </c>
      <c r="AF7" s="75">
        <v>45882.625</v>
      </c>
      <c r="AG7" s="54">
        <v>98.796875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3"/>
      <c r="J8" s="1"/>
      <c r="K8" s="53"/>
      <c r="L8" s="1"/>
      <c r="P8" s="1"/>
      <c r="T8" s="1"/>
      <c r="V8" s="75">
        <v>45758.625</v>
      </c>
      <c r="W8" s="54">
        <v>76.739999999999995</v>
      </c>
      <c r="X8" s="75">
        <v>45903.625</v>
      </c>
      <c r="Y8" s="54">
        <v>99.6796875</v>
      </c>
      <c r="Z8" s="75">
        <v>45758.625</v>
      </c>
      <c r="AA8" s="54">
        <v>105.23</v>
      </c>
      <c r="AB8" s="75">
        <v>45903.625</v>
      </c>
      <c r="AC8" s="54">
        <v>99.6796875</v>
      </c>
      <c r="AD8" s="75">
        <v>45882.625</v>
      </c>
      <c r="AE8" s="54">
        <v>100.125</v>
      </c>
      <c r="AF8" s="75">
        <v>45883.625</v>
      </c>
      <c r="AG8" s="54">
        <v>98.03125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6" t="s">
        <v>81</v>
      </c>
      <c r="J9" s="93">
        <f>J4*J7-K4*K7</f>
        <v>34276.718721329118</v>
      </c>
      <c r="K9" s="53"/>
      <c r="L9" s="1"/>
      <c r="P9" s="1"/>
      <c r="Q9" s="53"/>
      <c r="R9" s="1"/>
      <c r="S9" s="53"/>
      <c r="T9" s="1"/>
      <c r="V9" s="75">
        <v>45761.625</v>
      </c>
      <c r="W9" s="54">
        <v>77.12</v>
      </c>
      <c r="X9" s="75">
        <v>45904.625</v>
      </c>
      <c r="Y9" s="54">
        <v>99.9140625</v>
      </c>
      <c r="Z9" s="75">
        <v>45761.625</v>
      </c>
      <c r="AA9" s="54">
        <v>105.89</v>
      </c>
      <c r="AB9" s="75">
        <v>45904.625</v>
      </c>
      <c r="AC9" s="54">
        <v>99.9140625</v>
      </c>
      <c r="AD9" s="75">
        <v>45883.625</v>
      </c>
      <c r="AE9" s="54">
        <v>99.703125</v>
      </c>
      <c r="AF9" s="75">
        <v>45884.625</v>
      </c>
      <c r="AG9" s="54">
        <v>97.375</v>
      </c>
    </row>
    <row r="10" spans="1:33" ht="15" thickBot="1" x14ac:dyDescent="0.35">
      <c r="A10" s="16" t="s">
        <v>28</v>
      </c>
      <c r="B10" s="11" cm="1">
        <f t="array" ref="B10">_xll.BDP(B4,"px_last")</f>
        <v>80.545000000000002</v>
      </c>
      <c r="C10" s="21" cm="1">
        <f t="array" ref="C10">_xll.BDP(C4,"px_last")</f>
        <v>100.203125</v>
      </c>
      <c r="D10" s="21" cm="1">
        <f t="array" ref="D10">_xll.BDP(D4,"px_last")</f>
        <v>112.23</v>
      </c>
      <c r="E10" s="21" cm="1">
        <f t="array" ref="E10">_xll.BDP(E4,"px_last")</f>
        <v>100.203125</v>
      </c>
      <c r="F10" s="21" cm="1">
        <f t="array" ref="F10">_xll.BDP(F4,"px_last")</f>
        <v>102.046875</v>
      </c>
      <c r="G10" s="22" cm="1">
        <f t="array" ref="G10">_xll.BDP(G4,"px_last")</f>
        <v>102.484375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5">
        <v>45762.625</v>
      </c>
      <c r="W10" s="54">
        <v>77.33</v>
      </c>
      <c r="X10" s="75">
        <v>45905.625</v>
      </c>
      <c r="Y10" s="54">
        <v>100.1328125</v>
      </c>
      <c r="Z10" s="75">
        <v>45762.625</v>
      </c>
      <c r="AA10" s="54">
        <v>106.45</v>
      </c>
      <c r="AB10" s="75">
        <v>45905.625</v>
      </c>
      <c r="AC10" s="54">
        <v>100.1328125</v>
      </c>
      <c r="AD10" s="75">
        <v>45884.625</v>
      </c>
      <c r="AE10" s="54">
        <v>99.4375</v>
      </c>
      <c r="AF10" s="75">
        <v>45887.625</v>
      </c>
      <c r="AG10" s="54">
        <v>97.078125</v>
      </c>
    </row>
    <row r="11" spans="1:33" ht="15" thickBot="1" x14ac:dyDescent="0.35">
      <c r="A11" s="54"/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5">
        <v>45763.625</v>
      </c>
      <c r="W11" s="54">
        <v>77.319999999999993</v>
      </c>
      <c r="X11" s="75">
        <v>45908.625</v>
      </c>
      <c r="Y11" s="54">
        <v>100.265625</v>
      </c>
      <c r="Z11" s="75">
        <v>45763.625</v>
      </c>
      <c r="AA11" s="54">
        <v>106.9</v>
      </c>
      <c r="AB11" s="75">
        <v>45908.625</v>
      </c>
      <c r="AC11" s="54">
        <v>100.265625</v>
      </c>
      <c r="AD11" s="75">
        <v>45887.625</v>
      </c>
      <c r="AE11" s="54">
        <v>99.3125</v>
      </c>
      <c r="AF11" s="75">
        <v>45888.625</v>
      </c>
      <c r="AG11" s="54">
        <v>97.640625</v>
      </c>
    </row>
    <row r="12" spans="1:33" ht="15" thickBot="1" x14ac:dyDescent="0.35">
      <c r="A12" s="39" t="s">
        <v>22</v>
      </c>
      <c r="B12" s="153" t="s">
        <v>0</v>
      </c>
      <c r="C12" s="154"/>
      <c r="D12" s="154"/>
      <c r="E12" s="159" t="s">
        <v>1</v>
      </c>
      <c r="F12" s="160"/>
      <c r="G12" s="161"/>
      <c r="H12" s="156" t="s">
        <v>1</v>
      </c>
      <c r="I12" s="167"/>
      <c r="J12" s="158"/>
      <c r="K12" s="168" t="s">
        <v>0</v>
      </c>
      <c r="L12" s="169"/>
      <c r="M12" s="170"/>
      <c r="N12" s="156" t="s">
        <v>0</v>
      </c>
      <c r="O12" s="167"/>
      <c r="P12" s="158"/>
      <c r="Q12" s="165" t="s">
        <v>0</v>
      </c>
      <c r="R12" s="163"/>
      <c r="S12" s="166"/>
      <c r="T12" s="39" t="s">
        <v>16</v>
      </c>
      <c r="V12" s="75">
        <v>45764.625</v>
      </c>
      <c r="W12" s="54">
        <v>77.77</v>
      </c>
      <c r="X12" s="75">
        <v>45909.625</v>
      </c>
      <c r="Y12" s="54">
        <v>100.09375</v>
      </c>
      <c r="Z12" s="75">
        <v>45764.625</v>
      </c>
      <c r="AA12" s="54">
        <v>106.75</v>
      </c>
      <c r="AB12" s="75">
        <v>45909.625</v>
      </c>
      <c r="AC12" s="54">
        <v>100.09375</v>
      </c>
      <c r="AD12" s="75">
        <v>45888.625</v>
      </c>
      <c r="AE12" s="54">
        <v>99.59375</v>
      </c>
      <c r="AF12" s="75">
        <v>45889.625</v>
      </c>
      <c r="AG12" s="54">
        <v>97.796875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8" t="s">
        <v>21</v>
      </c>
      <c r="J13" s="22" t="s">
        <v>20</v>
      </c>
      <c r="K13" s="79" t="s">
        <v>17</v>
      </c>
      <c r="L13" s="21" t="s">
        <v>21</v>
      </c>
      <c r="M13" s="80" t="s">
        <v>20</v>
      </c>
      <c r="N13" s="11" t="s">
        <v>17</v>
      </c>
      <c r="O13" s="78" t="s">
        <v>21</v>
      </c>
      <c r="P13" s="22" t="s">
        <v>20</v>
      </c>
      <c r="Q13" s="79" t="s">
        <v>17</v>
      </c>
      <c r="R13" s="21" t="s">
        <v>21</v>
      </c>
      <c r="S13" s="80" t="s">
        <v>20</v>
      </c>
      <c r="T13" s="99"/>
      <c r="V13" s="75">
        <v>45768.625</v>
      </c>
      <c r="W13" s="54">
        <v>77.31</v>
      </c>
      <c r="X13" s="75">
        <v>45910.625</v>
      </c>
      <c r="Y13" s="54">
        <v>100.1640625</v>
      </c>
      <c r="Z13" s="75">
        <v>45768.625</v>
      </c>
      <c r="AA13" s="54">
        <v>105.6</v>
      </c>
      <c r="AB13" s="75">
        <v>45910.625</v>
      </c>
      <c r="AC13" s="54">
        <v>100.1640625</v>
      </c>
      <c r="AD13" s="75">
        <v>45889.625</v>
      </c>
      <c r="AE13" s="54">
        <v>99.71875</v>
      </c>
      <c r="AF13" s="75">
        <v>45890.625</v>
      </c>
      <c r="AG13" s="54">
        <v>97.328125</v>
      </c>
    </row>
    <row r="14" spans="1:33" x14ac:dyDescent="0.3">
      <c r="A14" s="131">
        <v>45915</v>
      </c>
      <c r="B14" s="45">
        <v>81.165000000000006</v>
      </c>
      <c r="C14" s="46"/>
      <c r="D14" s="46"/>
      <c r="E14" s="45">
        <f>100+3/32+3/4*1/32</f>
        <v>100.1171875</v>
      </c>
      <c r="F14" s="46"/>
      <c r="G14" s="47"/>
      <c r="H14" s="45">
        <v>112.41500000000001</v>
      </c>
      <c r="I14" s="46"/>
      <c r="J14" s="47"/>
      <c r="K14" s="45">
        <f>100+3/32+3/4*1/32</f>
        <v>100.1171875</v>
      </c>
      <c r="L14" s="46"/>
      <c r="M14" s="47"/>
      <c r="N14" s="45">
        <f>101+24/32+3/4*1/32</f>
        <v>101.7734375</v>
      </c>
      <c r="O14" s="46"/>
      <c r="P14" s="47"/>
      <c r="Q14" s="45">
        <f>101+20/32+3/4*1/32</f>
        <v>101.6484375</v>
      </c>
      <c r="R14" s="46"/>
      <c r="S14" s="47"/>
      <c r="T14" s="82">
        <v>0</v>
      </c>
      <c r="V14" s="75">
        <v>45769.625</v>
      </c>
      <c r="W14" s="54">
        <v>77.61</v>
      </c>
      <c r="X14" s="75">
        <v>45911.625</v>
      </c>
      <c r="Y14" s="54">
        <v>100.1640625</v>
      </c>
      <c r="Z14" s="75">
        <v>45769.625</v>
      </c>
      <c r="AA14" s="54">
        <v>105.86</v>
      </c>
      <c r="AB14" s="75">
        <v>45911.625</v>
      </c>
      <c r="AC14" s="54">
        <v>100.1640625</v>
      </c>
      <c r="AD14" s="75">
        <v>45890.625</v>
      </c>
      <c r="AE14" s="54">
        <v>99.390625</v>
      </c>
      <c r="AF14" s="75">
        <v>45891.625</v>
      </c>
      <c r="AG14" s="54">
        <v>97.953125</v>
      </c>
    </row>
    <row r="15" spans="1:33" x14ac:dyDescent="0.3">
      <c r="A15" s="131">
        <v>45916</v>
      </c>
      <c r="B15" s="45">
        <f t="shared" ref="B15:B36" si="0">VLOOKUP($A15+$J$1,V:W,2)</f>
        <v>81.13</v>
      </c>
      <c r="C15" s="46">
        <f t="shared" ref="C15:C35" si="1">(B15/$B$14-1)*$B$5</f>
        <v>-15092.712376026941</v>
      </c>
      <c r="D15" s="46">
        <f t="shared" ref="D15:D36" si="2">-1*(A15-$A$14)/360*$B$7*$B$5</f>
        <v>-4112.5</v>
      </c>
      <c r="E15" s="45">
        <f t="shared" ref="E15:E36" si="3">VLOOKUP($A15+$J$1,X:Y,2)</f>
        <v>100.15625</v>
      </c>
      <c r="F15" s="46">
        <f t="shared" ref="F15:F35" si="4">(E15-$E$14)/100*$C$5</f>
        <v>7617.1875</v>
      </c>
      <c r="G15" s="47">
        <f t="shared" ref="G15:G36" si="5">(A15-$A$14)/360*$C$6*$C$5-(A15-$A$14)/360*$C$7*$C$5*$E$14/100</f>
        <v>-330.39339192708326</v>
      </c>
      <c r="H15" s="45">
        <f t="shared" ref="H15:H36" si="6">VLOOKUP($A15+$J$1,Z:AA,2)</f>
        <v>112.26</v>
      </c>
      <c r="I15" s="46">
        <f t="shared" ref="I15:I35" si="7">(H15/$H$14-1)*$D$5</f>
        <v>-49637.503891829307</v>
      </c>
      <c r="J15" s="47">
        <f t="shared" ref="J15:J36" si="8">-1*(A15-$A$14)/360*$D$7*$D$5</f>
        <v>-4230</v>
      </c>
      <c r="K15" s="45">
        <f t="shared" ref="K15:K36" si="9">VLOOKUP($A15+$J$1,AB:AC,2)</f>
        <v>100.15625</v>
      </c>
      <c r="L15" s="46">
        <f t="shared" ref="L15:L35" si="10">(K15-$K$14)/100*$E$5</f>
        <v>6640.625</v>
      </c>
      <c r="M15" s="47">
        <f t="shared" ref="M15:M36" si="11">(A15-$A$14)/360*$E$6*$E$5-(A15-$A$14)/360*$E$7*$E$5*$N$14/100</f>
        <v>-321.11885850694443</v>
      </c>
      <c r="N15" s="45">
        <f t="shared" ref="N15:N36" si="12">VLOOKUP($A15+$J$1,AD:AE,2)</f>
        <v>101.765625</v>
      </c>
      <c r="O15" s="46">
        <f t="shared" ref="O15:O35" si="13">(N15-$N$14)/100*$F$5</f>
        <v>-585.9375</v>
      </c>
      <c r="P15" s="47">
        <f t="shared" ref="P15:P36" si="14">(A15-$A$14)/360*$F$6*$F$5-(A15-$A$14)/360*$F$7*$F$5*$N$14/100</f>
        <v>-11.461751302083258</v>
      </c>
      <c r="Q15" s="45">
        <f t="shared" ref="Q15:Q36" si="15">VLOOKUP($A15+$J$1,AF:AG,2)</f>
        <v>101.578125</v>
      </c>
      <c r="R15" s="46">
        <f t="shared" ref="R15:R35" si="16">(Q15-$Q$14)/100*$G$5</f>
        <v>-7382.8125</v>
      </c>
      <c r="S15" s="47">
        <f t="shared" ref="S15:S36" si="17">(A15-$A$14)/360*$G$6*$G$5-(A15-$A$14)/360*$G$7*$G$5*$Q$14/100</f>
        <v>131.32906901041679</v>
      </c>
      <c r="T15" s="82">
        <f>C15+D15-F15-G15-I15-J15+L15+M15+O15+P15+R15+S15</f>
        <v>25846.120866930833</v>
      </c>
      <c r="V15" s="75">
        <v>45770.625</v>
      </c>
      <c r="W15" s="54">
        <v>78</v>
      </c>
      <c r="X15" s="75">
        <v>45912.625</v>
      </c>
      <c r="Y15" s="54">
        <v>99.9921875</v>
      </c>
      <c r="Z15" s="75">
        <v>45770.625</v>
      </c>
      <c r="AA15" s="54">
        <v>106.33</v>
      </c>
      <c r="AB15" s="75">
        <v>45912.625</v>
      </c>
      <c r="AC15" s="54">
        <v>99.9921875</v>
      </c>
      <c r="AD15" s="75">
        <v>45891.625</v>
      </c>
      <c r="AE15" s="54">
        <v>99.953125</v>
      </c>
      <c r="AF15" s="75">
        <v>45894.625</v>
      </c>
      <c r="AG15" s="54">
        <v>97.71875</v>
      </c>
    </row>
    <row r="16" spans="1:33" x14ac:dyDescent="0.3">
      <c r="A16" s="131">
        <v>45917</v>
      </c>
      <c r="B16" s="45">
        <f t="shared" si="0"/>
        <v>81.05</v>
      </c>
      <c r="C16" s="46">
        <f t="shared" si="1"/>
        <v>-49590.340664082411</v>
      </c>
      <c r="D16" s="46">
        <f t="shared" si="2"/>
        <v>-8225</v>
      </c>
      <c r="E16" s="45">
        <f t="shared" si="3"/>
        <v>99.953125</v>
      </c>
      <c r="F16" s="46">
        <f t="shared" si="4"/>
        <v>-31992.1875</v>
      </c>
      <c r="G16" s="47">
        <f t="shared" si="5"/>
        <v>-660.78678385416652</v>
      </c>
      <c r="H16" s="45">
        <f t="shared" si="6"/>
        <v>112.06</v>
      </c>
      <c r="I16" s="46">
        <f t="shared" si="7"/>
        <v>-113685.8960103213</v>
      </c>
      <c r="J16" s="47">
        <f t="shared" si="8"/>
        <v>-8460</v>
      </c>
      <c r="K16" s="45">
        <f t="shared" si="9"/>
        <v>99.953125</v>
      </c>
      <c r="L16" s="46">
        <f t="shared" si="10"/>
        <v>-27890.625</v>
      </c>
      <c r="M16" s="47">
        <f t="shared" si="11"/>
        <v>-642.23771701388887</v>
      </c>
      <c r="N16" s="45">
        <f t="shared" si="12"/>
        <v>101.5</v>
      </c>
      <c r="O16" s="46">
        <f t="shared" si="13"/>
        <v>-20507.8125</v>
      </c>
      <c r="P16" s="47">
        <f t="shared" si="14"/>
        <v>-22.923502604166515</v>
      </c>
      <c r="Q16" s="45">
        <f t="shared" si="15"/>
        <v>101.375</v>
      </c>
      <c r="R16" s="46">
        <f t="shared" si="16"/>
        <v>-28710.937499999996</v>
      </c>
      <c r="S16" s="47">
        <f t="shared" si="17"/>
        <v>262.65813802083358</v>
      </c>
      <c r="T16" s="82">
        <f t="shared" ref="T16:T25" si="18">C16+D16-F16-G16-I16-J16+L16+M16+O16+P16+R16+S16</f>
        <v>19471.651548495844</v>
      </c>
      <c r="V16" s="75">
        <v>45771.625</v>
      </c>
      <c r="W16" s="54">
        <v>78.62</v>
      </c>
      <c r="X16" s="75">
        <v>45915.625</v>
      </c>
      <c r="Y16" s="54">
        <v>100.09375</v>
      </c>
      <c r="Z16" s="75">
        <v>45771.625</v>
      </c>
      <c r="AA16" s="54">
        <v>107.38</v>
      </c>
      <c r="AB16" s="75">
        <v>45915.625</v>
      </c>
      <c r="AC16" s="54">
        <v>100.09375</v>
      </c>
      <c r="AD16" s="75">
        <v>45894.625</v>
      </c>
      <c r="AE16" s="54">
        <v>99.765625</v>
      </c>
      <c r="AF16" s="75">
        <v>45895.625</v>
      </c>
      <c r="AG16" s="54">
        <v>97.59375</v>
      </c>
    </row>
    <row r="17" spans="1:33" x14ac:dyDescent="0.3">
      <c r="A17" s="131">
        <v>45918</v>
      </c>
      <c r="B17" s="45">
        <f t="shared" si="0"/>
        <v>81.23</v>
      </c>
      <c r="C17" s="46">
        <f t="shared" si="1"/>
        <v>28029.322984043371</v>
      </c>
      <c r="D17" s="46">
        <f t="shared" si="2"/>
        <v>-12337.499999999998</v>
      </c>
      <c r="E17" s="45">
        <f t="shared" si="3"/>
        <v>99.7890625</v>
      </c>
      <c r="F17" s="46">
        <f t="shared" si="4"/>
        <v>-63984.375</v>
      </c>
      <c r="G17" s="47">
        <f t="shared" si="5"/>
        <v>-991.18017578125</v>
      </c>
      <c r="H17" s="45">
        <f t="shared" si="6"/>
        <v>111.83</v>
      </c>
      <c r="I17" s="46">
        <f t="shared" si="7"/>
        <v>-187341.54694658311</v>
      </c>
      <c r="J17" s="47">
        <f t="shared" si="8"/>
        <v>-12689.999999999998</v>
      </c>
      <c r="K17" s="45">
        <f t="shared" si="9"/>
        <v>99.7890625</v>
      </c>
      <c r="L17" s="46">
        <f t="shared" si="10"/>
        <v>-55781.25</v>
      </c>
      <c r="M17" s="47">
        <f t="shared" si="11"/>
        <v>-963.35657552083285</v>
      </c>
      <c r="N17" s="45">
        <f t="shared" si="12"/>
        <v>101.09375</v>
      </c>
      <c r="O17" s="46">
        <f t="shared" si="13"/>
        <v>-50976.5625</v>
      </c>
      <c r="P17" s="47">
        <f t="shared" si="14"/>
        <v>-34.385253906249545</v>
      </c>
      <c r="Q17" s="45">
        <f t="shared" si="15"/>
        <v>100.328125</v>
      </c>
      <c r="R17" s="46">
        <f t="shared" si="16"/>
        <v>-138632.8125</v>
      </c>
      <c r="S17" s="47">
        <f t="shared" si="17"/>
        <v>393.98720703125036</v>
      </c>
      <c r="T17" s="82">
        <f t="shared" si="18"/>
        <v>34704.545484011898</v>
      </c>
      <c r="V17" s="75">
        <v>45772.625</v>
      </c>
      <c r="W17" s="54">
        <v>78.77</v>
      </c>
      <c r="X17" s="75">
        <v>45916.625</v>
      </c>
      <c r="Y17" s="54">
        <v>100.15625</v>
      </c>
      <c r="Z17" s="75">
        <v>45772.625</v>
      </c>
      <c r="AA17" s="54">
        <v>107.99</v>
      </c>
      <c r="AB17" s="75">
        <v>45916.625</v>
      </c>
      <c r="AC17" s="54">
        <v>100.15625</v>
      </c>
      <c r="AD17" s="75">
        <v>45895.625</v>
      </c>
      <c r="AE17" s="54">
        <v>99.984375</v>
      </c>
      <c r="AF17" s="75">
        <v>45896.625</v>
      </c>
      <c r="AG17" s="54">
        <v>97.453125</v>
      </c>
    </row>
    <row r="18" spans="1:33" x14ac:dyDescent="0.3">
      <c r="A18" s="131">
        <v>45919</v>
      </c>
      <c r="B18" s="45">
        <f t="shared" si="0"/>
        <v>81.260000000000005</v>
      </c>
      <c r="C18" s="46">
        <f t="shared" si="1"/>
        <v>40965.933592067573</v>
      </c>
      <c r="D18" s="46">
        <f t="shared" si="2"/>
        <v>-16450</v>
      </c>
      <c r="E18" s="45">
        <f t="shared" si="3"/>
        <v>99.7734375</v>
      </c>
      <c r="F18" s="46">
        <f t="shared" si="4"/>
        <v>-67031.25</v>
      </c>
      <c r="G18" s="47">
        <f t="shared" si="5"/>
        <v>-1321.573567708333</v>
      </c>
      <c r="H18" s="45">
        <f t="shared" si="6"/>
        <v>111.74</v>
      </c>
      <c r="I18" s="46">
        <f t="shared" si="7"/>
        <v>-216163.3233999045</v>
      </c>
      <c r="J18" s="47">
        <f t="shared" si="8"/>
        <v>-16920</v>
      </c>
      <c r="K18" s="45">
        <f t="shared" si="9"/>
        <v>99.7734375</v>
      </c>
      <c r="L18" s="46">
        <f t="shared" si="10"/>
        <v>-58437.5</v>
      </c>
      <c r="M18" s="47">
        <f t="shared" si="11"/>
        <v>-1284.4754340277777</v>
      </c>
      <c r="N18" s="45">
        <f t="shared" si="12"/>
        <v>101.015625</v>
      </c>
      <c r="O18" s="46">
        <f t="shared" si="13"/>
        <v>-56835.9375</v>
      </c>
      <c r="P18" s="47">
        <f t="shared" si="14"/>
        <v>-45.84700520833303</v>
      </c>
      <c r="Q18" s="45">
        <f t="shared" si="15"/>
        <v>100.125</v>
      </c>
      <c r="R18" s="46">
        <f t="shared" si="16"/>
        <v>-159960.9375</v>
      </c>
      <c r="S18" s="47">
        <f t="shared" si="17"/>
        <v>525.31627604166715</v>
      </c>
      <c r="T18" s="82">
        <f t="shared" si="18"/>
        <v>49912.69939648595</v>
      </c>
      <c r="V18" s="75">
        <v>45775.625</v>
      </c>
      <c r="W18" s="54">
        <v>78.81</v>
      </c>
      <c r="X18" s="75">
        <v>45917.625</v>
      </c>
      <c r="Y18" s="54">
        <v>99.953125</v>
      </c>
      <c r="Z18" s="75">
        <v>45775.625</v>
      </c>
      <c r="AA18" s="54">
        <v>108.24</v>
      </c>
      <c r="AB18" s="75">
        <v>45917.625</v>
      </c>
      <c r="AC18" s="54">
        <v>99.953125</v>
      </c>
      <c r="AD18" s="75">
        <v>45896.625</v>
      </c>
      <c r="AE18" s="54">
        <v>100.125</v>
      </c>
      <c r="AF18" s="75">
        <v>45897.625</v>
      </c>
      <c r="AG18" s="54">
        <v>98.078125</v>
      </c>
    </row>
    <row r="19" spans="1:33" x14ac:dyDescent="0.3">
      <c r="A19" s="131">
        <v>45922</v>
      </c>
      <c r="B19" s="45">
        <f t="shared" si="0"/>
        <v>81.319999999999993</v>
      </c>
      <c r="C19" s="46">
        <f t="shared" si="1"/>
        <v>66839.154808100429</v>
      </c>
      <c r="D19" s="46">
        <f t="shared" si="2"/>
        <v>-28787.5</v>
      </c>
      <c r="E19" s="45">
        <f t="shared" si="3"/>
        <v>99.65625</v>
      </c>
      <c r="F19" s="46">
        <f t="shared" si="4"/>
        <v>-89882.8125</v>
      </c>
      <c r="G19" s="47">
        <f t="shared" si="5"/>
        <v>-2312.7537434895839</v>
      </c>
      <c r="H19" s="45">
        <f t="shared" si="6"/>
        <v>111.48</v>
      </c>
      <c r="I19" s="46">
        <f t="shared" si="7"/>
        <v>-299426.23315394012</v>
      </c>
      <c r="J19" s="47">
        <f t="shared" si="8"/>
        <v>-29610</v>
      </c>
      <c r="K19" s="45">
        <f t="shared" si="9"/>
        <v>99.65625</v>
      </c>
      <c r="L19" s="46">
        <f t="shared" si="10"/>
        <v>-78359.375</v>
      </c>
      <c r="M19" s="47">
        <f t="shared" si="11"/>
        <v>-2247.8320095486106</v>
      </c>
      <c r="N19" s="45">
        <f t="shared" si="12"/>
        <v>100.8125</v>
      </c>
      <c r="O19" s="46">
        <f t="shared" si="13"/>
        <v>-72070.3125</v>
      </c>
      <c r="P19" s="47">
        <f t="shared" si="14"/>
        <v>-80.23225911458303</v>
      </c>
      <c r="Q19" s="45">
        <f t="shared" si="15"/>
        <v>99.734375</v>
      </c>
      <c r="R19" s="46">
        <f t="shared" si="16"/>
        <v>-200976.56250000003</v>
      </c>
      <c r="S19" s="47">
        <f t="shared" si="17"/>
        <v>919.30348307291752</v>
      </c>
      <c r="T19" s="82">
        <f t="shared" si="18"/>
        <v>106468.44341993982</v>
      </c>
      <c r="V19" s="75">
        <v>45776.625</v>
      </c>
      <c r="W19" s="54">
        <v>79.02</v>
      </c>
      <c r="X19" s="75">
        <v>45918.625</v>
      </c>
      <c r="Y19" s="54">
        <v>99.7890625</v>
      </c>
      <c r="Z19" s="75">
        <v>45776.625</v>
      </c>
      <c r="AA19" s="54">
        <v>108.49</v>
      </c>
      <c r="AB19" s="75">
        <v>45918.625</v>
      </c>
      <c r="AC19" s="54">
        <v>99.7890625</v>
      </c>
      <c r="AD19" s="75">
        <v>45897.625</v>
      </c>
      <c r="AE19" s="54">
        <v>100.375</v>
      </c>
      <c r="AF19" s="75">
        <v>45898.625</v>
      </c>
      <c r="AG19" s="54">
        <v>97.34375</v>
      </c>
    </row>
    <row r="20" spans="1:33" x14ac:dyDescent="0.3">
      <c r="A20" s="131">
        <v>45923</v>
      </c>
      <c r="B20" s="45">
        <f t="shared" si="0"/>
        <v>81.260000000000005</v>
      </c>
      <c r="C20" s="46">
        <f t="shared" si="1"/>
        <v>40965.933592067573</v>
      </c>
      <c r="D20" s="46">
        <f t="shared" si="2"/>
        <v>-32900</v>
      </c>
      <c r="E20" s="45">
        <f t="shared" si="3"/>
        <v>99.796875</v>
      </c>
      <c r="F20" s="46">
        <f t="shared" si="4"/>
        <v>-62460.937499999993</v>
      </c>
      <c r="G20" s="47">
        <f t="shared" si="5"/>
        <v>-2643.1471354166661</v>
      </c>
      <c r="H20" s="45">
        <f t="shared" si="6"/>
        <v>111.71</v>
      </c>
      <c r="I20" s="46">
        <f t="shared" si="7"/>
        <v>-225770.58221767831</v>
      </c>
      <c r="J20" s="47">
        <f t="shared" si="8"/>
        <v>-33840</v>
      </c>
      <c r="K20" s="45">
        <f t="shared" si="9"/>
        <v>99.796875</v>
      </c>
      <c r="L20" s="46">
        <f t="shared" si="10"/>
        <v>-54453.125</v>
      </c>
      <c r="M20" s="47">
        <f t="shared" si="11"/>
        <v>-2568.9508680555555</v>
      </c>
      <c r="N20" s="45">
        <f t="shared" si="12"/>
        <v>101.140625</v>
      </c>
      <c r="O20" s="46">
        <f t="shared" si="13"/>
        <v>-47460.9375</v>
      </c>
      <c r="P20" s="47">
        <f t="shared" si="14"/>
        <v>-91.69401041666606</v>
      </c>
      <c r="Q20" s="45">
        <f t="shared" si="15"/>
        <v>100.421875</v>
      </c>
      <c r="R20" s="46">
        <f t="shared" si="16"/>
        <v>-128789.0625</v>
      </c>
      <c r="S20" s="47">
        <f t="shared" si="17"/>
        <v>1050.6325520833343</v>
      </c>
      <c r="T20" s="82">
        <f t="shared" si="18"/>
        <v>100467.46311877367</v>
      </c>
      <c r="V20" s="75">
        <v>45777.625</v>
      </c>
      <c r="W20" s="54">
        <v>78.599999999999994</v>
      </c>
      <c r="X20" s="75">
        <v>45919.625</v>
      </c>
      <c r="Y20" s="54">
        <v>99.7734375</v>
      </c>
      <c r="Z20" s="75">
        <v>45777.625</v>
      </c>
      <c r="AA20" s="54">
        <v>108</v>
      </c>
      <c r="AB20" s="75">
        <v>45919.625</v>
      </c>
      <c r="AC20" s="54">
        <v>99.7734375</v>
      </c>
      <c r="AD20" s="75">
        <v>45898.625</v>
      </c>
      <c r="AE20" s="54">
        <v>100.21875</v>
      </c>
      <c r="AF20" s="75">
        <v>45901.625</v>
      </c>
      <c r="AG20" s="54">
        <v>97.234375</v>
      </c>
    </row>
    <row r="21" spans="1:33" x14ac:dyDescent="0.3">
      <c r="A21" s="131">
        <v>45924</v>
      </c>
      <c r="B21" s="45">
        <f t="shared" si="0"/>
        <v>81.150000000000006</v>
      </c>
      <c r="C21" s="46">
        <f t="shared" si="1"/>
        <v>-6468.3053040121004</v>
      </c>
      <c r="D21" s="46">
        <f t="shared" si="2"/>
        <v>-37012.5</v>
      </c>
      <c r="E21" s="45">
        <f t="shared" si="3"/>
        <v>99.6015625</v>
      </c>
      <c r="F21" s="46">
        <f t="shared" si="4"/>
        <v>-100546.875</v>
      </c>
      <c r="G21" s="47">
        <f t="shared" si="5"/>
        <v>-2973.54052734375</v>
      </c>
      <c r="H21" s="45">
        <f t="shared" si="6"/>
        <v>111.26</v>
      </c>
      <c r="I21" s="46">
        <f t="shared" si="7"/>
        <v>-369879.46448427736</v>
      </c>
      <c r="J21" s="47">
        <f t="shared" si="8"/>
        <v>-38070</v>
      </c>
      <c r="K21" s="45">
        <f t="shared" si="9"/>
        <v>99.6015625</v>
      </c>
      <c r="L21" s="46">
        <f t="shared" si="10"/>
        <v>-87656.25</v>
      </c>
      <c r="M21" s="47">
        <f t="shared" si="11"/>
        <v>-2890.0697265625004</v>
      </c>
      <c r="N21" s="45">
        <f t="shared" si="12"/>
        <v>100.859375</v>
      </c>
      <c r="O21" s="46">
        <f t="shared" si="13"/>
        <v>-68554.6875</v>
      </c>
      <c r="P21" s="47">
        <f t="shared" si="14"/>
        <v>-103.15576171875</v>
      </c>
      <c r="Q21" s="45">
        <f t="shared" si="15"/>
        <v>100.015625</v>
      </c>
      <c r="R21" s="46">
        <f t="shared" si="16"/>
        <v>-171445.3125</v>
      </c>
      <c r="S21" s="47">
        <f t="shared" si="17"/>
        <v>1181.9616210937511</v>
      </c>
      <c r="T21" s="82">
        <f t="shared" si="18"/>
        <v>138521.56084042153</v>
      </c>
      <c r="V21" s="75">
        <v>45778.625</v>
      </c>
      <c r="W21" s="54">
        <v>78.3</v>
      </c>
      <c r="X21" s="75">
        <v>45922.625</v>
      </c>
      <c r="Y21" s="54">
        <v>99.65625</v>
      </c>
      <c r="Z21" s="75">
        <v>45778.625</v>
      </c>
      <c r="AA21" s="54">
        <v>107.17</v>
      </c>
      <c r="AB21" s="75">
        <v>45922.625</v>
      </c>
      <c r="AC21" s="54">
        <v>99.65625</v>
      </c>
      <c r="AD21" s="75">
        <v>45901.625</v>
      </c>
      <c r="AE21" s="54">
        <v>100.171875</v>
      </c>
      <c r="AF21" s="75">
        <v>45902.625</v>
      </c>
      <c r="AG21" s="54">
        <v>96.65625</v>
      </c>
    </row>
    <row r="22" spans="1:33" x14ac:dyDescent="0.3">
      <c r="A22" s="131">
        <v>45925</v>
      </c>
      <c r="B22" s="45">
        <f t="shared" si="0"/>
        <v>80.92</v>
      </c>
      <c r="C22" s="46">
        <f t="shared" si="1"/>
        <v>-105648.98663216915</v>
      </c>
      <c r="D22" s="46">
        <f t="shared" si="2"/>
        <v>-41124.999999999993</v>
      </c>
      <c r="E22" s="45">
        <f t="shared" si="3"/>
        <v>99.390625</v>
      </c>
      <c r="F22" s="46">
        <f t="shared" si="4"/>
        <v>-141679.6875</v>
      </c>
      <c r="G22" s="47">
        <f t="shared" si="5"/>
        <v>-3303.9339192708285</v>
      </c>
      <c r="H22" s="45">
        <f t="shared" si="6"/>
        <v>111.06</v>
      </c>
      <c r="I22" s="46">
        <f t="shared" si="7"/>
        <v>-433927.85660276935</v>
      </c>
      <c r="J22" s="47">
        <f t="shared" si="8"/>
        <v>-42299.999999999993</v>
      </c>
      <c r="K22" s="45">
        <f t="shared" si="9"/>
        <v>99.390625</v>
      </c>
      <c r="L22" s="46">
        <f t="shared" si="10"/>
        <v>-123515.625</v>
      </c>
      <c r="M22" s="47">
        <f t="shared" si="11"/>
        <v>-3211.1885850694416</v>
      </c>
      <c r="N22" s="45">
        <f t="shared" si="12"/>
        <v>100.640625</v>
      </c>
      <c r="O22" s="46">
        <f t="shared" si="13"/>
        <v>-84960.9375</v>
      </c>
      <c r="P22" s="47">
        <f t="shared" si="14"/>
        <v>-114.61751302083212</v>
      </c>
      <c r="Q22" s="45">
        <f t="shared" si="15"/>
        <v>100.03125</v>
      </c>
      <c r="R22" s="46">
        <f t="shared" si="16"/>
        <v>-169804.6875</v>
      </c>
      <c r="S22" s="47">
        <f t="shared" si="17"/>
        <v>1313.2906901041697</v>
      </c>
      <c r="T22" s="82">
        <f t="shared" si="18"/>
        <v>94143.725981884971</v>
      </c>
      <c r="V22" s="75">
        <v>45779.625</v>
      </c>
      <c r="W22" s="54">
        <v>78.540000000000006</v>
      </c>
      <c r="X22" s="75">
        <v>45923.625</v>
      </c>
      <c r="Y22" s="54">
        <v>99.796875</v>
      </c>
      <c r="Z22" s="75">
        <v>45779.625</v>
      </c>
      <c r="AA22" s="54">
        <v>106.91</v>
      </c>
      <c r="AB22" s="75">
        <v>45923.625</v>
      </c>
      <c r="AC22" s="54">
        <v>99.796875</v>
      </c>
      <c r="AD22" s="75">
        <v>45902.625</v>
      </c>
      <c r="AE22" s="54">
        <v>99.859375</v>
      </c>
      <c r="AF22" s="75">
        <v>45903.625</v>
      </c>
      <c r="AG22" s="54">
        <v>97.671875</v>
      </c>
    </row>
    <row r="23" spans="1:33" x14ac:dyDescent="0.3">
      <c r="A23" s="131">
        <v>45926</v>
      </c>
      <c r="B23" s="45">
        <f t="shared" si="0"/>
        <v>81.08</v>
      </c>
      <c r="C23" s="46">
        <f t="shared" si="1"/>
        <v>-36653.730056062093</v>
      </c>
      <c r="D23" s="46">
        <f t="shared" si="2"/>
        <v>-45237.499999999993</v>
      </c>
      <c r="E23" s="45">
        <f t="shared" si="3"/>
        <v>99.3828125</v>
      </c>
      <c r="F23" s="46">
        <f t="shared" si="4"/>
        <v>-143203.125</v>
      </c>
      <c r="G23" s="47">
        <f t="shared" si="5"/>
        <v>-3634.3273111979179</v>
      </c>
      <c r="H23" s="45">
        <f t="shared" si="6"/>
        <v>111.21</v>
      </c>
      <c r="I23" s="46">
        <f t="shared" si="7"/>
        <v>-385891.56251390436</v>
      </c>
      <c r="J23" s="47">
        <f t="shared" si="8"/>
        <v>-46529.999999999993</v>
      </c>
      <c r="K23" s="45">
        <f t="shared" si="9"/>
        <v>99.3828125</v>
      </c>
      <c r="L23" s="46">
        <f t="shared" si="10"/>
        <v>-124843.75</v>
      </c>
      <c r="M23" s="47">
        <f t="shared" si="11"/>
        <v>-3532.3074435763847</v>
      </c>
      <c r="N23" s="45">
        <f t="shared" si="12"/>
        <v>100.5625</v>
      </c>
      <c r="O23" s="46">
        <f t="shared" si="13"/>
        <v>-90820.3125</v>
      </c>
      <c r="P23" s="47">
        <f t="shared" si="14"/>
        <v>-126.07926432291606</v>
      </c>
      <c r="Q23" s="45">
        <f t="shared" si="15"/>
        <v>99.90625</v>
      </c>
      <c r="R23" s="46">
        <f t="shared" si="16"/>
        <v>-182929.6875</v>
      </c>
      <c r="S23" s="47">
        <f t="shared" si="17"/>
        <v>1444.6197591145847</v>
      </c>
      <c r="T23" s="82">
        <f t="shared" si="18"/>
        <v>96560.267820255438</v>
      </c>
      <c r="V23" s="75">
        <v>45782.625</v>
      </c>
      <c r="W23" s="54">
        <v>78.510000000000005</v>
      </c>
      <c r="X23" s="75">
        <v>45924.625</v>
      </c>
      <c r="Y23" s="54">
        <v>99.6015625</v>
      </c>
      <c r="Z23" s="75">
        <v>45782.625</v>
      </c>
      <c r="AA23" s="54">
        <v>106.76</v>
      </c>
      <c r="AB23" s="75">
        <v>45924.625</v>
      </c>
      <c r="AC23" s="54">
        <v>99.6015625</v>
      </c>
      <c r="AD23" s="75">
        <v>45903.625</v>
      </c>
      <c r="AE23" s="54">
        <v>100.234375</v>
      </c>
      <c r="AF23" s="75">
        <v>45904.625</v>
      </c>
      <c r="AG23" s="54">
        <v>98.296875</v>
      </c>
    </row>
    <row r="24" spans="1:33" x14ac:dyDescent="0.3">
      <c r="A24" s="131">
        <v>45929</v>
      </c>
      <c r="B24" s="45">
        <f t="shared" si="0"/>
        <v>81.22</v>
      </c>
      <c r="C24" s="46">
        <f t="shared" si="1"/>
        <v>23717.119448037894</v>
      </c>
      <c r="D24" s="46">
        <f t="shared" si="2"/>
        <v>-57575</v>
      </c>
      <c r="E24" s="45">
        <f t="shared" si="3"/>
        <v>99.4921875</v>
      </c>
      <c r="F24" s="46">
        <f t="shared" si="4"/>
        <v>-121875</v>
      </c>
      <c r="G24" s="47">
        <f t="shared" si="5"/>
        <v>-4625.5074869791679</v>
      </c>
      <c r="H24" s="45">
        <f t="shared" si="6"/>
        <v>111.58</v>
      </c>
      <c r="I24" s="46">
        <f t="shared" si="7"/>
        <v>-267402.03709469811</v>
      </c>
      <c r="J24" s="47">
        <f t="shared" si="8"/>
        <v>-59220</v>
      </c>
      <c r="K24" s="45">
        <f t="shared" si="9"/>
        <v>99.4921875</v>
      </c>
      <c r="L24" s="46">
        <f t="shared" si="10"/>
        <v>-106250</v>
      </c>
      <c r="M24" s="47">
        <f t="shared" si="11"/>
        <v>-4495.6640190972212</v>
      </c>
      <c r="N24" s="45">
        <f t="shared" si="12"/>
        <v>100.875</v>
      </c>
      <c r="O24" s="46">
        <f t="shared" si="13"/>
        <v>-67382.8125</v>
      </c>
      <c r="P24" s="47">
        <f t="shared" si="14"/>
        <v>-160.46451822916606</v>
      </c>
      <c r="Q24" s="45">
        <f t="shared" si="15"/>
        <v>100.65625</v>
      </c>
      <c r="R24" s="46">
        <f t="shared" si="16"/>
        <v>-104179.6875</v>
      </c>
      <c r="S24" s="47">
        <f t="shared" si="17"/>
        <v>1838.606966145835</v>
      </c>
      <c r="T24" s="82">
        <f t="shared" si="18"/>
        <v>138634.64245853462</v>
      </c>
      <c r="V24" s="75">
        <v>45783.625</v>
      </c>
      <c r="W24" s="54">
        <v>78.45</v>
      </c>
      <c r="X24" s="75">
        <v>45925.625</v>
      </c>
      <c r="Y24" s="54">
        <v>99.390625</v>
      </c>
      <c r="Z24" s="75">
        <v>45783.625</v>
      </c>
      <c r="AA24" s="54">
        <v>106.97</v>
      </c>
      <c r="AB24" s="75">
        <v>45925.625</v>
      </c>
      <c r="AC24" s="54">
        <v>99.390625</v>
      </c>
      <c r="AD24" s="75">
        <v>45904.625</v>
      </c>
      <c r="AE24" s="54">
        <v>100.71875</v>
      </c>
      <c r="AF24" s="75">
        <v>45905.625</v>
      </c>
      <c r="AG24" s="54">
        <v>99.6875</v>
      </c>
    </row>
    <row r="25" spans="1:33" x14ac:dyDescent="0.3">
      <c r="A25" s="131">
        <v>45930</v>
      </c>
      <c r="B25" s="45">
        <f t="shared" si="0"/>
        <v>81.19</v>
      </c>
      <c r="C25" s="46">
        <f t="shared" si="1"/>
        <v>10780.508840013692</v>
      </c>
      <c r="D25" s="46">
        <f t="shared" si="2"/>
        <v>-61687.499999999993</v>
      </c>
      <c r="E25" s="45">
        <f t="shared" si="3"/>
        <v>99.5078125</v>
      </c>
      <c r="F25" s="46">
        <f t="shared" si="4"/>
        <v>-118828.125</v>
      </c>
      <c r="G25" s="47">
        <f t="shared" si="5"/>
        <v>-4955.9008789062464</v>
      </c>
      <c r="H25" s="45">
        <f t="shared" si="6"/>
        <v>111.47</v>
      </c>
      <c r="I25" s="46">
        <f t="shared" si="7"/>
        <v>-302628.65275986475</v>
      </c>
      <c r="J25" s="47">
        <f t="shared" si="8"/>
        <v>-63449.999999999993</v>
      </c>
      <c r="K25" s="45">
        <f t="shared" si="9"/>
        <v>99.5078125</v>
      </c>
      <c r="L25" s="46">
        <f t="shared" si="10"/>
        <v>-103593.75</v>
      </c>
      <c r="M25" s="47">
        <f t="shared" si="11"/>
        <v>-4816.7828776041679</v>
      </c>
      <c r="N25" s="45">
        <f t="shared" si="12"/>
        <v>100.828125</v>
      </c>
      <c r="O25" s="46">
        <f t="shared" si="13"/>
        <v>-70898.4375</v>
      </c>
      <c r="P25" s="47">
        <f t="shared" si="14"/>
        <v>-171.92626953124636</v>
      </c>
      <c r="Q25" s="45">
        <f t="shared" si="15"/>
        <v>100.390625</v>
      </c>
      <c r="R25" s="46">
        <f t="shared" si="16"/>
        <v>-132070.3125</v>
      </c>
      <c r="S25" s="47">
        <f t="shared" si="17"/>
        <v>1969.93603515625</v>
      </c>
      <c r="T25" s="82">
        <f t="shared" si="18"/>
        <v>129374.41436680552</v>
      </c>
      <c r="V25" s="75">
        <v>45784.625</v>
      </c>
      <c r="W25" s="54">
        <v>78.52</v>
      </c>
      <c r="X25" s="75">
        <v>45926.625</v>
      </c>
      <c r="Y25" s="54">
        <v>99.3828125</v>
      </c>
      <c r="Z25" s="75">
        <v>45784.625</v>
      </c>
      <c r="AA25" s="54">
        <v>107.19</v>
      </c>
      <c r="AB25" s="75">
        <v>45926.625</v>
      </c>
      <c r="AC25" s="54">
        <v>99.3828125</v>
      </c>
      <c r="AD25" s="75">
        <v>45905.625</v>
      </c>
      <c r="AE25" s="54">
        <v>101.3125</v>
      </c>
      <c r="AF25" s="75">
        <v>45908.625</v>
      </c>
      <c r="AG25" s="54">
        <v>101</v>
      </c>
    </row>
    <row r="26" spans="1:33" x14ac:dyDescent="0.3">
      <c r="A26" s="131">
        <v>45931</v>
      </c>
      <c r="B26" s="45">
        <f t="shared" si="0"/>
        <v>80.959999999999994</v>
      </c>
      <c r="C26" s="46">
        <f t="shared" si="1"/>
        <v>-88400.172488147247</v>
      </c>
      <c r="D26" s="46">
        <f t="shared" si="2"/>
        <v>-65800</v>
      </c>
      <c r="E26" s="45">
        <f t="shared" si="3"/>
        <v>99.765625</v>
      </c>
      <c r="F26" s="46">
        <f t="shared" si="4"/>
        <v>-68554.6875</v>
      </c>
      <c r="G26" s="47">
        <f t="shared" si="5"/>
        <v>-5286.2942708333321</v>
      </c>
      <c r="H26" s="45">
        <f t="shared" si="6"/>
        <v>111.51</v>
      </c>
      <c r="I26" s="46">
        <f t="shared" si="7"/>
        <v>-289818.97433616634</v>
      </c>
      <c r="J26" s="47">
        <f t="shared" si="8"/>
        <v>-67680</v>
      </c>
      <c r="K26" s="45">
        <f t="shared" si="9"/>
        <v>99.765625</v>
      </c>
      <c r="L26" s="46">
        <f t="shared" si="10"/>
        <v>-59765.625</v>
      </c>
      <c r="M26" s="47">
        <f t="shared" si="11"/>
        <v>-5137.9017361111109</v>
      </c>
      <c r="N26" s="45">
        <f t="shared" si="12"/>
        <v>101.171875</v>
      </c>
      <c r="O26" s="46">
        <f t="shared" si="13"/>
        <v>-45117.1875</v>
      </c>
      <c r="P26" s="47">
        <f t="shared" si="14"/>
        <v>-183.38802083333212</v>
      </c>
      <c r="Q26" s="45">
        <f t="shared" si="15"/>
        <v>100.578125</v>
      </c>
      <c r="R26" s="46">
        <f t="shared" si="16"/>
        <v>-112382.81250000001</v>
      </c>
      <c r="S26" s="47">
        <f t="shared" si="17"/>
        <v>2101.2651041666686</v>
      </c>
      <c r="T26" s="82">
        <f t="shared" ref="T26:T36" si="19">C26+D26-F26-G26-I26-J26+L26+M26+O26+P26+R26+S26+$J$9</f>
        <v>90930.852687403749</v>
      </c>
      <c r="V26" s="75">
        <v>45785.625</v>
      </c>
      <c r="W26" s="54">
        <v>78.5</v>
      </c>
      <c r="X26" s="75">
        <v>45929.625</v>
      </c>
      <c r="Y26" s="54">
        <v>99.4921875</v>
      </c>
      <c r="Z26" s="75">
        <v>45785.625</v>
      </c>
      <c r="AA26" s="54">
        <v>106.65</v>
      </c>
      <c r="AB26" s="75">
        <v>45929.625</v>
      </c>
      <c r="AC26" s="54">
        <v>99.4921875</v>
      </c>
      <c r="AD26" s="75">
        <v>45908.625</v>
      </c>
      <c r="AE26" s="54">
        <v>101.6875</v>
      </c>
      <c r="AF26" s="75">
        <v>45909.625</v>
      </c>
      <c r="AG26" s="54">
        <v>100.4375</v>
      </c>
    </row>
    <row r="27" spans="1:33" x14ac:dyDescent="0.3">
      <c r="A27" s="131">
        <v>45932</v>
      </c>
      <c r="B27" s="45">
        <f t="shared" si="0"/>
        <v>80.930000000000007</v>
      </c>
      <c r="C27" s="46">
        <f t="shared" si="1"/>
        <v>-101336.78309616368</v>
      </c>
      <c r="D27" s="46">
        <f t="shared" si="2"/>
        <v>-69912.499999999985</v>
      </c>
      <c r="E27" s="45">
        <f t="shared" si="3"/>
        <v>99.78125</v>
      </c>
      <c r="F27" s="46">
        <f t="shared" si="4"/>
        <v>-65507.8125</v>
      </c>
      <c r="G27" s="47">
        <f t="shared" si="5"/>
        <v>-5616.6876627604142</v>
      </c>
      <c r="H27" s="45">
        <f t="shared" si="6"/>
        <v>111.69</v>
      </c>
      <c r="I27" s="46">
        <f t="shared" si="7"/>
        <v>-232175.42142952752</v>
      </c>
      <c r="J27" s="47">
        <f t="shared" si="8"/>
        <v>-71909.999999999985</v>
      </c>
      <c r="K27" s="45">
        <f t="shared" si="9"/>
        <v>99.78125</v>
      </c>
      <c r="L27" s="46">
        <f t="shared" si="10"/>
        <v>-57109.375</v>
      </c>
      <c r="M27" s="47">
        <f t="shared" si="11"/>
        <v>-5459.0205946180467</v>
      </c>
      <c r="N27" s="45">
        <f t="shared" si="12"/>
        <v>101.3125</v>
      </c>
      <c r="O27" s="46">
        <f t="shared" si="13"/>
        <v>-34570.3125</v>
      </c>
      <c r="P27" s="47">
        <f t="shared" si="14"/>
        <v>-194.84977213541424</v>
      </c>
      <c r="Q27" s="45">
        <f t="shared" si="15"/>
        <v>100.875</v>
      </c>
      <c r="R27" s="46">
        <f t="shared" si="16"/>
        <v>-81210.9375</v>
      </c>
      <c r="S27" s="47">
        <f t="shared" si="17"/>
        <v>2232.5941731770872</v>
      </c>
      <c r="T27" s="82">
        <f t="shared" si="19"/>
        <v>61925.456023876992</v>
      </c>
      <c r="V27" s="75">
        <v>45786.625</v>
      </c>
      <c r="W27" s="54">
        <v>78.55</v>
      </c>
      <c r="X27" s="75">
        <v>45930.625</v>
      </c>
      <c r="Y27" s="54">
        <v>99.5078125</v>
      </c>
      <c r="Z27" s="75">
        <v>45786.625</v>
      </c>
      <c r="AA27" s="54">
        <v>106.61</v>
      </c>
      <c r="AB27" s="75">
        <v>45930.625</v>
      </c>
      <c r="AC27" s="54">
        <v>99.5078125</v>
      </c>
      <c r="AD27" s="75">
        <v>45909.625</v>
      </c>
      <c r="AE27" s="54">
        <v>101.390625</v>
      </c>
      <c r="AF27" s="75">
        <v>45910.625</v>
      </c>
      <c r="AG27" s="54">
        <v>100.953125</v>
      </c>
    </row>
    <row r="28" spans="1:33" x14ac:dyDescent="0.3">
      <c r="A28" s="131">
        <v>45933</v>
      </c>
      <c r="B28" s="45">
        <f t="shared" si="0"/>
        <v>80.84</v>
      </c>
      <c r="C28" s="46">
        <f t="shared" si="1"/>
        <v>-140146.61492022462</v>
      </c>
      <c r="D28" s="46">
        <f t="shared" si="2"/>
        <v>-74025</v>
      </c>
      <c r="E28" s="45">
        <f t="shared" si="3"/>
        <v>99.6015625</v>
      </c>
      <c r="F28" s="46">
        <f t="shared" si="4"/>
        <v>-100546.875</v>
      </c>
      <c r="G28" s="47">
        <f t="shared" si="5"/>
        <v>-5947.0810546875</v>
      </c>
      <c r="H28" s="45">
        <f t="shared" si="6"/>
        <v>111.55</v>
      </c>
      <c r="I28" s="46">
        <f t="shared" si="7"/>
        <v>-277009.29591247195</v>
      </c>
      <c r="J28" s="47">
        <f t="shared" si="8"/>
        <v>-76140</v>
      </c>
      <c r="K28" s="45">
        <f t="shared" si="9"/>
        <v>99.6015625</v>
      </c>
      <c r="L28" s="46">
        <f t="shared" si="10"/>
        <v>-87656.25</v>
      </c>
      <c r="M28" s="47">
        <f t="shared" si="11"/>
        <v>-5780.1394531250007</v>
      </c>
      <c r="N28" s="45">
        <f t="shared" si="12"/>
        <v>101.046875</v>
      </c>
      <c r="O28" s="46">
        <f t="shared" si="13"/>
        <v>-54492.1875</v>
      </c>
      <c r="P28" s="47">
        <f t="shared" si="14"/>
        <v>-206.3115234375</v>
      </c>
      <c r="Q28" s="45">
        <f t="shared" si="15"/>
        <v>100.609375</v>
      </c>
      <c r="R28" s="46">
        <f t="shared" si="16"/>
        <v>-109101.5625</v>
      </c>
      <c r="S28" s="47">
        <f t="shared" si="17"/>
        <v>2363.9232421875022</v>
      </c>
      <c r="T28" s="82">
        <f t="shared" si="19"/>
        <v>24875.828033888942</v>
      </c>
      <c r="V28" s="75">
        <v>45789.625</v>
      </c>
      <c r="W28" s="54">
        <v>79.33</v>
      </c>
      <c r="X28" s="75">
        <v>45931.625</v>
      </c>
      <c r="Y28" s="54">
        <v>99.765625</v>
      </c>
      <c r="Z28" s="75">
        <v>45789.625</v>
      </c>
      <c r="AA28" s="54">
        <v>106.59</v>
      </c>
      <c r="AB28" s="75">
        <v>45931.625</v>
      </c>
      <c r="AC28" s="54">
        <v>99.765625</v>
      </c>
      <c r="AD28" s="75">
        <v>45910.625</v>
      </c>
      <c r="AE28" s="54">
        <v>101.6875</v>
      </c>
      <c r="AF28" s="75">
        <v>45911.625</v>
      </c>
      <c r="AG28" s="54">
        <v>101.640625</v>
      </c>
    </row>
    <row r="29" spans="1:33" x14ac:dyDescent="0.3">
      <c r="A29" s="131">
        <v>45936</v>
      </c>
      <c r="B29" s="45">
        <f t="shared" si="0"/>
        <v>80.86</v>
      </c>
      <c r="C29" s="46">
        <f t="shared" si="1"/>
        <v>-131522.20784821367</v>
      </c>
      <c r="D29" s="46">
        <f t="shared" si="2"/>
        <v>-86362.5</v>
      </c>
      <c r="E29" s="45">
        <f t="shared" si="3"/>
        <v>99.46875</v>
      </c>
      <c r="F29" s="46">
        <f t="shared" si="4"/>
        <v>-126445.3125</v>
      </c>
      <c r="G29" s="47">
        <f t="shared" si="5"/>
        <v>-6938.26123046875</v>
      </c>
      <c r="H29" s="45">
        <f t="shared" si="6"/>
        <v>111.19</v>
      </c>
      <c r="I29" s="46">
        <f t="shared" si="7"/>
        <v>-392296.40172574954</v>
      </c>
      <c r="J29" s="47">
        <f t="shared" si="8"/>
        <v>-88830</v>
      </c>
      <c r="K29" s="45">
        <f t="shared" si="9"/>
        <v>99.46875</v>
      </c>
      <c r="L29" s="46">
        <f t="shared" si="10"/>
        <v>-110234.375</v>
      </c>
      <c r="M29" s="47">
        <f t="shared" si="11"/>
        <v>-6743.4960286458372</v>
      </c>
      <c r="N29" s="45">
        <f t="shared" si="12"/>
        <v>100.6875</v>
      </c>
      <c r="O29" s="46">
        <f t="shared" si="13"/>
        <v>-81445.3125</v>
      </c>
      <c r="P29" s="47">
        <f t="shared" si="14"/>
        <v>-240.69677734375</v>
      </c>
      <c r="Q29" s="45">
        <f t="shared" si="15"/>
        <v>99.859375</v>
      </c>
      <c r="R29" s="46">
        <f t="shared" si="16"/>
        <v>-187851.5625</v>
      </c>
      <c r="S29" s="47">
        <f t="shared" si="17"/>
        <v>2757.9104492187507</v>
      </c>
      <c r="T29" s="82">
        <f t="shared" si="19"/>
        <v>47144.4539725629</v>
      </c>
      <c r="V29" s="75">
        <v>45790.625</v>
      </c>
      <c r="W29" s="54">
        <v>79.47</v>
      </c>
      <c r="X29" s="75">
        <v>45932.625</v>
      </c>
      <c r="Y29" s="54">
        <v>99.78125</v>
      </c>
      <c r="Z29" s="75">
        <v>45790.625</v>
      </c>
      <c r="AA29" s="54">
        <v>106.68</v>
      </c>
      <c r="AB29" s="75">
        <v>45932.625</v>
      </c>
      <c r="AC29" s="54">
        <v>99.78125</v>
      </c>
      <c r="AD29" s="75">
        <v>45911.625</v>
      </c>
      <c r="AE29" s="54">
        <v>101.890625</v>
      </c>
      <c r="AF29" s="75">
        <v>45912.625</v>
      </c>
      <c r="AG29" s="54">
        <v>101.171875</v>
      </c>
    </row>
    <row r="30" spans="1:33" x14ac:dyDescent="0.3">
      <c r="A30" s="131">
        <v>45937</v>
      </c>
      <c r="B30" s="45">
        <f t="shared" si="0"/>
        <v>80.77</v>
      </c>
      <c r="C30" s="46">
        <f t="shared" si="1"/>
        <v>-170332.03967227851</v>
      </c>
      <c r="D30" s="46">
        <f t="shared" si="2"/>
        <v>-90474.999999999985</v>
      </c>
      <c r="E30" s="45">
        <f t="shared" si="3"/>
        <v>99.625</v>
      </c>
      <c r="F30" s="46">
        <f t="shared" si="4"/>
        <v>-95976.5625</v>
      </c>
      <c r="G30" s="47">
        <f t="shared" si="5"/>
        <v>-7268.6546223958358</v>
      </c>
      <c r="H30" s="45">
        <f t="shared" si="6"/>
        <v>111.4</v>
      </c>
      <c r="I30" s="46">
        <f t="shared" si="7"/>
        <v>-325045.59000133292</v>
      </c>
      <c r="J30" s="47">
        <f t="shared" si="8"/>
        <v>-93059.999999999985</v>
      </c>
      <c r="K30" s="45">
        <f t="shared" si="9"/>
        <v>99.625</v>
      </c>
      <c r="L30" s="46">
        <f t="shared" si="10"/>
        <v>-83671.875</v>
      </c>
      <c r="M30" s="47">
        <f t="shared" si="11"/>
        <v>-7064.6148871527694</v>
      </c>
      <c r="N30" s="45">
        <f t="shared" si="12"/>
        <v>100.96875</v>
      </c>
      <c r="O30" s="46">
        <f t="shared" si="13"/>
        <v>-60351.5625</v>
      </c>
      <c r="P30" s="47">
        <f t="shared" si="14"/>
        <v>-252.15852864583212</v>
      </c>
      <c r="Q30" s="45">
        <f t="shared" si="15"/>
        <v>100.390625</v>
      </c>
      <c r="R30" s="46">
        <f t="shared" si="16"/>
        <v>-132070.3125</v>
      </c>
      <c r="S30" s="47">
        <f t="shared" si="17"/>
        <v>2889.2395182291693</v>
      </c>
      <c r="T30" s="82">
        <f t="shared" si="19"/>
        <v>14299.202275209918</v>
      </c>
      <c r="V30" s="75">
        <v>45791.625</v>
      </c>
      <c r="W30" s="54">
        <v>79.180000000000007</v>
      </c>
      <c r="X30" s="75">
        <v>45933.625</v>
      </c>
      <c r="Y30" s="54">
        <v>99.6015625</v>
      </c>
      <c r="Z30" s="75">
        <v>45791.625</v>
      </c>
      <c r="AA30" s="54">
        <v>106.18</v>
      </c>
      <c r="AB30" s="75">
        <v>45933.625</v>
      </c>
      <c r="AC30" s="54">
        <v>99.6015625</v>
      </c>
      <c r="AD30" s="75">
        <v>45912.625</v>
      </c>
      <c r="AE30" s="54">
        <v>101.546875</v>
      </c>
      <c r="AF30" s="75">
        <v>45915.625</v>
      </c>
      <c r="AG30" s="54">
        <v>101.4375</v>
      </c>
    </row>
    <row r="31" spans="1:33" x14ac:dyDescent="0.3">
      <c r="A31" s="131">
        <v>45938</v>
      </c>
      <c r="B31" s="45">
        <f t="shared" si="0"/>
        <v>80.650000000000006</v>
      </c>
      <c r="C31" s="46">
        <f t="shared" si="1"/>
        <v>-222078.48210435588</v>
      </c>
      <c r="D31" s="46">
        <f t="shared" si="2"/>
        <v>-94587.499999999985</v>
      </c>
      <c r="E31" s="45">
        <f t="shared" si="3"/>
        <v>99.5625</v>
      </c>
      <c r="F31" s="46">
        <f t="shared" si="4"/>
        <v>-108164.0625</v>
      </c>
      <c r="G31" s="47">
        <f t="shared" si="5"/>
        <v>-7599.0480143229142</v>
      </c>
      <c r="H31" s="45">
        <f t="shared" si="6"/>
        <v>111.26</v>
      </c>
      <c r="I31" s="46">
        <f t="shared" si="7"/>
        <v>-369879.46448427736</v>
      </c>
      <c r="J31" s="47">
        <f t="shared" si="8"/>
        <v>-97289.999999999985</v>
      </c>
      <c r="K31" s="45">
        <f t="shared" si="9"/>
        <v>99.5625</v>
      </c>
      <c r="L31" s="46">
        <f t="shared" si="10"/>
        <v>-94296.875</v>
      </c>
      <c r="M31" s="47">
        <f t="shared" si="11"/>
        <v>-7385.7337456597161</v>
      </c>
      <c r="N31" s="45">
        <f t="shared" si="12"/>
        <v>100.953125</v>
      </c>
      <c r="O31" s="46">
        <f t="shared" si="13"/>
        <v>-61523.4375</v>
      </c>
      <c r="P31" s="47">
        <f t="shared" si="14"/>
        <v>-263.62027994791424</v>
      </c>
      <c r="Q31" s="45">
        <f t="shared" si="15"/>
        <v>100.4375</v>
      </c>
      <c r="R31" s="46">
        <f t="shared" si="16"/>
        <v>-127148.4375</v>
      </c>
      <c r="S31" s="47">
        <f t="shared" si="17"/>
        <v>3020.5685872395879</v>
      </c>
      <c r="T31" s="82">
        <f t="shared" si="19"/>
        <v>12945.776177205455</v>
      </c>
      <c r="V31" s="75">
        <v>45792.625</v>
      </c>
      <c r="W31" s="54">
        <v>79.33</v>
      </c>
      <c r="X31" s="75">
        <v>45936.625</v>
      </c>
      <c r="Y31" s="54">
        <v>99.46875</v>
      </c>
      <c r="Z31" s="75">
        <v>45792.625</v>
      </c>
      <c r="AA31" s="54">
        <v>106.9</v>
      </c>
      <c r="AB31" s="75">
        <v>45936.625</v>
      </c>
      <c r="AC31" s="54">
        <v>99.46875</v>
      </c>
      <c r="AD31" s="75">
        <v>45915.625</v>
      </c>
      <c r="AE31" s="54">
        <v>101.71875</v>
      </c>
      <c r="AF31" s="75">
        <v>45916.625</v>
      </c>
      <c r="AG31" s="54">
        <v>101.578125</v>
      </c>
    </row>
    <row r="32" spans="1:33" x14ac:dyDescent="0.3">
      <c r="A32" s="131">
        <v>45939</v>
      </c>
      <c r="B32" s="45">
        <f t="shared" si="0"/>
        <v>80.42</v>
      </c>
      <c r="C32" s="46">
        <f t="shared" si="1"/>
        <v>-321259.1634325168</v>
      </c>
      <c r="D32" s="46">
        <f t="shared" si="2"/>
        <v>-98699.999999999985</v>
      </c>
      <c r="E32" s="45">
        <f t="shared" si="3"/>
        <v>99.5078125</v>
      </c>
      <c r="F32" s="46">
        <f t="shared" si="4"/>
        <v>-118828.125</v>
      </c>
      <c r="G32" s="47">
        <f t="shared" si="5"/>
        <v>-7929.44140625</v>
      </c>
      <c r="H32" s="45">
        <f t="shared" si="6"/>
        <v>111.04</v>
      </c>
      <c r="I32" s="46">
        <f t="shared" si="7"/>
        <v>-440332.69581461453</v>
      </c>
      <c r="J32" s="47">
        <f t="shared" si="8"/>
        <v>-101519.99999999999</v>
      </c>
      <c r="K32" s="45">
        <f t="shared" si="9"/>
        <v>99.5078125</v>
      </c>
      <c r="L32" s="46">
        <f t="shared" si="10"/>
        <v>-103593.75</v>
      </c>
      <c r="M32" s="47">
        <f t="shared" si="11"/>
        <v>-7706.8526041666628</v>
      </c>
      <c r="N32" s="45">
        <f t="shared" si="12"/>
        <v>100.875</v>
      </c>
      <c r="O32" s="46">
        <f t="shared" si="13"/>
        <v>-67382.8125</v>
      </c>
      <c r="P32" s="47">
        <f t="shared" si="14"/>
        <v>-275.08203124999636</v>
      </c>
      <c r="Q32" s="45">
        <f t="shared" si="15"/>
        <v>100.390625</v>
      </c>
      <c r="R32" s="46">
        <f t="shared" si="16"/>
        <v>-132070.3125</v>
      </c>
      <c r="S32" s="47">
        <f t="shared" si="17"/>
        <v>3151.8976562500029</v>
      </c>
      <c r="T32" s="82">
        <f t="shared" si="19"/>
        <v>-24949.094469489806</v>
      </c>
      <c r="V32" s="75">
        <v>45793.625</v>
      </c>
      <c r="W32" s="54">
        <v>79.42</v>
      </c>
      <c r="X32" s="75">
        <v>45937.625</v>
      </c>
      <c r="Y32" s="54">
        <v>99.625</v>
      </c>
      <c r="Z32" s="75">
        <v>45793.625</v>
      </c>
      <c r="AA32" s="54">
        <v>107.1</v>
      </c>
      <c r="AB32" s="75">
        <v>45937.625</v>
      </c>
      <c r="AC32" s="54">
        <v>99.625</v>
      </c>
      <c r="AD32" s="75">
        <v>45916.625</v>
      </c>
      <c r="AE32" s="54">
        <v>101.765625</v>
      </c>
      <c r="AF32" s="75">
        <v>45917.625</v>
      </c>
      <c r="AG32" s="54">
        <v>101.375</v>
      </c>
    </row>
    <row r="33" spans="1:33" x14ac:dyDescent="0.3">
      <c r="A33" s="131">
        <v>45940</v>
      </c>
      <c r="B33" s="45">
        <f t="shared" si="0"/>
        <v>79.984999999999999</v>
      </c>
      <c r="C33" s="46">
        <f t="shared" si="1"/>
        <v>-508840.0172488172</v>
      </c>
      <c r="D33" s="46">
        <f t="shared" si="2"/>
        <v>-102812.5</v>
      </c>
      <c r="E33" s="45">
        <f t="shared" si="3"/>
        <v>99.890625</v>
      </c>
      <c r="F33" s="46">
        <f t="shared" si="4"/>
        <v>-44179.6875</v>
      </c>
      <c r="G33" s="47">
        <f t="shared" si="5"/>
        <v>-8259.8347981770858</v>
      </c>
      <c r="H33" s="45">
        <f t="shared" si="6"/>
        <v>111.36</v>
      </c>
      <c r="I33" s="46">
        <f t="shared" si="7"/>
        <v>-337855.26842503535</v>
      </c>
      <c r="J33" s="47">
        <f t="shared" si="8"/>
        <v>-105750</v>
      </c>
      <c r="K33" s="45">
        <f t="shared" si="9"/>
        <v>99.890625</v>
      </c>
      <c r="L33" s="46">
        <f t="shared" si="10"/>
        <v>-38515.625</v>
      </c>
      <c r="M33" s="47">
        <f t="shared" si="11"/>
        <v>-8027.9714626736168</v>
      </c>
      <c r="N33" s="45">
        <f t="shared" si="12"/>
        <v>101.578125</v>
      </c>
      <c r="O33" s="46">
        <f t="shared" si="13"/>
        <v>-14648.4375</v>
      </c>
      <c r="P33" s="47">
        <f t="shared" si="14"/>
        <v>-286.54378255208212</v>
      </c>
      <c r="Q33" s="45">
        <f t="shared" si="15"/>
        <v>101.875</v>
      </c>
      <c r="R33" s="46">
        <f t="shared" si="16"/>
        <v>23789.0625</v>
      </c>
      <c r="S33" s="47">
        <f t="shared" si="17"/>
        <v>3283.2267252604142</v>
      </c>
      <c r="T33" s="82">
        <f t="shared" si="19"/>
        <v>-115737.29632424098</v>
      </c>
      <c r="V33" s="75">
        <v>45796.625</v>
      </c>
      <c r="W33" s="54">
        <v>79.38</v>
      </c>
      <c r="X33" s="75">
        <v>45938.625</v>
      </c>
      <c r="Y33" s="54">
        <v>99.5625</v>
      </c>
      <c r="Z33" s="75">
        <v>45796.625</v>
      </c>
      <c r="AA33" s="54">
        <v>107.11</v>
      </c>
      <c r="AB33" s="75">
        <v>45938.625</v>
      </c>
      <c r="AC33" s="54">
        <v>99.5625</v>
      </c>
      <c r="AD33" s="75">
        <v>45917.625</v>
      </c>
      <c r="AE33" s="54">
        <v>101.5</v>
      </c>
      <c r="AF33" s="75">
        <v>45918.625</v>
      </c>
      <c r="AG33" s="54">
        <v>100.328125</v>
      </c>
    </row>
    <row r="34" spans="1:33" x14ac:dyDescent="0.3">
      <c r="A34" s="131">
        <v>45943</v>
      </c>
      <c r="B34" s="45">
        <f t="shared" si="0"/>
        <v>80.45</v>
      </c>
      <c r="C34" s="46">
        <f t="shared" si="1"/>
        <v>-308322.55282449652</v>
      </c>
      <c r="D34" s="46">
        <f t="shared" si="2"/>
        <v>-115150</v>
      </c>
      <c r="E34" s="45">
        <f t="shared" si="3"/>
        <v>99.9921875</v>
      </c>
      <c r="F34" s="46">
        <f t="shared" si="4"/>
        <v>-24375</v>
      </c>
      <c r="G34" s="47">
        <f t="shared" si="5"/>
        <v>-9251.0149739583358</v>
      </c>
      <c r="H34" s="45">
        <f t="shared" si="6"/>
        <v>111.73</v>
      </c>
      <c r="I34" s="46">
        <f t="shared" si="7"/>
        <v>-219365.74300582911</v>
      </c>
      <c r="J34" s="47">
        <f t="shared" si="8"/>
        <v>-118440</v>
      </c>
      <c r="K34" s="45">
        <f t="shared" si="9"/>
        <v>99.9921875</v>
      </c>
      <c r="L34" s="46">
        <f t="shared" si="10"/>
        <v>-21250</v>
      </c>
      <c r="M34" s="47">
        <f t="shared" si="11"/>
        <v>-8991.3280381944423</v>
      </c>
      <c r="N34" s="45">
        <f t="shared" si="12"/>
        <v>101.75</v>
      </c>
      <c r="O34" s="46">
        <f t="shared" si="13"/>
        <v>-1757.8125</v>
      </c>
      <c r="P34" s="47">
        <f t="shared" si="14"/>
        <v>-320.92903645833212</v>
      </c>
      <c r="Q34" s="45">
        <f t="shared" si="15"/>
        <v>102.109375</v>
      </c>
      <c r="R34" s="46">
        <f t="shared" si="16"/>
        <v>48398.4375</v>
      </c>
      <c r="S34" s="47">
        <f t="shared" si="17"/>
        <v>3677.2139322916701</v>
      </c>
      <c r="T34" s="82">
        <f t="shared" si="19"/>
        <v>1991.5057342589062</v>
      </c>
      <c r="V34" s="75">
        <v>45797.625</v>
      </c>
      <c r="W34" s="54">
        <v>79.34</v>
      </c>
      <c r="X34" s="75">
        <v>45939.625</v>
      </c>
      <c r="Y34" s="54">
        <v>99.5078125</v>
      </c>
      <c r="Z34" s="75">
        <v>45797.625</v>
      </c>
      <c r="AA34" s="54">
        <v>106.86</v>
      </c>
      <c r="AB34" s="75">
        <v>45939.625</v>
      </c>
      <c r="AC34" s="54">
        <v>99.5078125</v>
      </c>
      <c r="AD34" s="75">
        <v>45918.625</v>
      </c>
      <c r="AE34" s="54">
        <v>101.09375</v>
      </c>
      <c r="AF34" s="75">
        <v>45919.625</v>
      </c>
      <c r="AG34" s="54">
        <v>100.125</v>
      </c>
    </row>
    <row r="35" spans="1:33" x14ac:dyDescent="0.3">
      <c r="A35" s="131">
        <v>45944</v>
      </c>
      <c r="B35" s="45">
        <f t="shared" si="0"/>
        <v>80.540000000000006</v>
      </c>
      <c r="C35" s="46">
        <f t="shared" si="1"/>
        <v>-269512.72100043169</v>
      </c>
      <c r="D35" s="46">
        <f t="shared" si="2"/>
        <v>-119262.5</v>
      </c>
      <c r="E35" s="45">
        <f t="shared" si="3"/>
        <v>100.1328125</v>
      </c>
      <c r="F35" s="46">
        <f t="shared" si="4"/>
        <v>3046.875</v>
      </c>
      <c r="G35" s="47">
        <f t="shared" si="5"/>
        <v>-9581.4083658854215</v>
      </c>
      <c r="H35" s="45">
        <f t="shared" si="6"/>
        <v>112.1</v>
      </c>
      <c r="I35" s="46">
        <f t="shared" si="7"/>
        <v>-100876.21758662291</v>
      </c>
      <c r="J35" s="47">
        <f t="shared" si="8"/>
        <v>-122670</v>
      </c>
      <c r="K35" s="45">
        <f t="shared" si="9"/>
        <v>100.1328125</v>
      </c>
      <c r="L35" s="46">
        <f t="shared" si="10"/>
        <v>2656.25</v>
      </c>
      <c r="M35" s="47">
        <f t="shared" si="11"/>
        <v>-9312.4468967013891</v>
      </c>
      <c r="N35" s="45">
        <f t="shared" si="12"/>
        <v>101.859375</v>
      </c>
      <c r="O35" s="46">
        <f t="shared" si="13"/>
        <v>6445.3125</v>
      </c>
      <c r="P35" s="47">
        <f t="shared" si="14"/>
        <v>-332.39078776041424</v>
      </c>
      <c r="Q35" s="45">
        <f t="shared" si="15"/>
        <v>102.140625</v>
      </c>
      <c r="R35" s="46">
        <f t="shared" si="16"/>
        <v>51679.6875</v>
      </c>
      <c r="S35" s="47">
        <f t="shared" si="17"/>
        <v>3808.5430013020887</v>
      </c>
      <c r="T35" s="82">
        <f t="shared" si="19"/>
        <v>-69472.796009753918</v>
      </c>
      <c r="V35" s="75">
        <v>45798.625</v>
      </c>
      <c r="W35" s="54">
        <v>78.81</v>
      </c>
      <c r="X35" s="75">
        <v>45940.625</v>
      </c>
      <c r="Y35" s="54">
        <v>99.890625</v>
      </c>
      <c r="Z35" s="75">
        <v>45798.625</v>
      </c>
      <c r="AA35" s="54">
        <v>105.66</v>
      </c>
      <c r="AB35" s="75">
        <v>45940.625</v>
      </c>
      <c r="AC35" s="54">
        <v>99.890625</v>
      </c>
      <c r="AD35" s="75">
        <v>45919.625</v>
      </c>
      <c r="AE35" s="54">
        <v>101.015625</v>
      </c>
      <c r="AF35" s="75">
        <v>45922.625</v>
      </c>
      <c r="AG35" s="54">
        <v>99.734375</v>
      </c>
    </row>
    <row r="36" spans="1:33" x14ac:dyDescent="0.3">
      <c r="A36" s="131">
        <v>45945</v>
      </c>
      <c r="B36" s="45">
        <f t="shared" si="0"/>
        <v>80.8</v>
      </c>
      <c r="C36" s="46">
        <f t="shared" ref="C36" si="20">(B36/$B$14-1)*$B$5</f>
        <v>-157395.42906425431</v>
      </c>
      <c r="D36" s="46">
        <f t="shared" si="2"/>
        <v>-123374.99999999999</v>
      </c>
      <c r="E36" s="45">
        <f t="shared" si="3"/>
        <v>100.0234375</v>
      </c>
      <c r="F36" s="46">
        <f t="shared" ref="F36" si="21">(E36-$E$14)/100*$C$5</f>
        <v>-18281.25</v>
      </c>
      <c r="G36" s="47">
        <f t="shared" si="5"/>
        <v>-9911.8017578124927</v>
      </c>
      <c r="H36" s="45">
        <f t="shared" si="6"/>
        <v>112.1</v>
      </c>
      <c r="I36" s="46">
        <f t="shared" ref="I36" si="22">(H36/$H$14-1)*$D$5</f>
        <v>-100876.21758662291</v>
      </c>
      <c r="J36" s="47">
        <f t="shared" si="8"/>
        <v>-126899.99999999999</v>
      </c>
      <c r="K36" s="45">
        <f t="shared" si="9"/>
        <v>100.0234375</v>
      </c>
      <c r="L36" s="46">
        <f t="shared" ref="L36" si="23">(K36-$K$14)/100*$E$5</f>
        <v>-15937.5</v>
      </c>
      <c r="M36" s="47">
        <f t="shared" si="11"/>
        <v>-9633.5657552083358</v>
      </c>
      <c r="N36" s="45">
        <f t="shared" si="12"/>
        <v>101.734375</v>
      </c>
      <c r="O36" s="46">
        <f t="shared" ref="O36" si="24">(N36-$N$14)/100*$F$5</f>
        <v>-2929.6875</v>
      </c>
      <c r="P36" s="47">
        <f t="shared" si="14"/>
        <v>-343.85253906249272</v>
      </c>
      <c r="Q36" s="45">
        <f t="shared" si="15"/>
        <v>101.921875</v>
      </c>
      <c r="R36" s="46">
        <f t="shared" ref="R36" si="25">(Q36-$Q$14)/100*$G$5</f>
        <v>28710.937499999996</v>
      </c>
      <c r="S36" s="47">
        <f t="shared" si="17"/>
        <v>3939.8720703125</v>
      </c>
      <c r="T36" s="82">
        <f t="shared" si="19"/>
        <v>13281.762777551918</v>
      </c>
      <c r="V36" s="75">
        <v>45799.625</v>
      </c>
      <c r="W36" s="54">
        <v>78.97</v>
      </c>
      <c r="X36" s="75">
        <v>45943.625</v>
      </c>
      <c r="Y36" s="54">
        <v>99.9921875</v>
      </c>
      <c r="Z36" s="75">
        <v>45799.625</v>
      </c>
      <c r="AA36" s="54">
        <v>106.2</v>
      </c>
      <c r="AB36" s="75">
        <v>45943.625</v>
      </c>
      <c r="AC36" s="54">
        <v>99.9921875</v>
      </c>
      <c r="AD36" s="75">
        <v>45922.625</v>
      </c>
      <c r="AE36" s="54">
        <v>100.8125</v>
      </c>
      <c r="AF36" s="75">
        <v>45923.625</v>
      </c>
      <c r="AG36" s="54">
        <v>100.421875</v>
      </c>
    </row>
    <row r="37" spans="1:33" x14ac:dyDescent="0.3">
      <c r="A37" s="131">
        <v>45946</v>
      </c>
      <c r="B37" s="45">
        <f t="shared" ref="B37" si="26">VLOOKUP($A37+$J$1,V:W,2)</f>
        <v>80.510000000000005</v>
      </c>
      <c r="C37" s="46">
        <f t="shared" ref="C37:C38" si="27">(B37/$B$14-1)*$B$5</f>
        <v>-282449.33160845196</v>
      </c>
      <c r="D37" s="46">
        <f t="shared" ref="D37:D38" si="28">-1*(A37-$A$14)/360*$B$7*$B$5</f>
        <v>-127487.5</v>
      </c>
      <c r="E37" s="45">
        <f t="shared" ref="E37" si="29">VLOOKUP($A37+$J$1,X:Y,2)</f>
        <v>100.359375</v>
      </c>
      <c r="F37" s="46">
        <f t="shared" ref="F37:F38" si="30">(E37-$E$14)/100*$C$5</f>
        <v>47226.5625</v>
      </c>
      <c r="G37" s="47">
        <f t="shared" ref="G37:G38" si="31">(A37-$A$14)/360*$C$6*$C$5-(A37-$A$14)/360*$C$7*$C$5*$E$14/100</f>
        <v>-10242.195149739586</v>
      </c>
      <c r="H37" s="45">
        <f t="shared" ref="H37" si="32">VLOOKUP($A37+$J$1,Z:AA,2)</f>
        <v>112.42</v>
      </c>
      <c r="I37" s="46">
        <f t="shared" ref="I37:I38" si="33">(H37/$H$14-1)*$D$5</f>
        <v>1601.2098029642984</v>
      </c>
      <c r="J37" s="47">
        <f t="shared" ref="J37:J38" si="34">-1*(A37-$A$14)/360*$D$7*$D$5</f>
        <v>-131130</v>
      </c>
      <c r="K37" s="45">
        <f t="shared" ref="K37" si="35">VLOOKUP($A37+$J$1,AB:AC,2)</f>
        <v>100.359375</v>
      </c>
      <c r="L37" s="46">
        <f t="shared" ref="L37:L38" si="36">(K37-$K$14)/100*$E$5</f>
        <v>41171.875</v>
      </c>
      <c r="M37" s="47">
        <f t="shared" ref="M37:M38" si="37">(A37-$A$14)/360*$E$6*$E$5-(A37-$A$14)/360*$E$7*$E$5*$N$14/100</f>
        <v>-9954.6846137152825</v>
      </c>
      <c r="N37" s="45">
        <f t="shared" ref="N37" si="38">VLOOKUP($A37+$J$1,AD:AE,2)</f>
        <v>102.234375</v>
      </c>
      <c r="O37" s="46">
        <f t="shared" ref="O37:O38" si="39">(N37-$N$14)/100*$F$5</f>
        <v>34570.3125</v>
      </c>
      <c r="P37" s="47">
        <f t="shared" ref="P37:P38" si="40">(A37-$A$14)/360*$F$6*$F$5-(A37-$A$14)/360*$F$7*$F$5*$N$14/100</f>
        <v>-355.31429036457848</v>
      </c>
      <c r="Q37" s="45">
        <f t="shared" ref="Q37" si="41">VLOOKUP($A37+$J$1,AF:AG,2)</f>
        <v>102.671875</v>
      </c>
      <c r="R37" s="46">
        <f t="shared" ref="R37:R38" si="42">(Q37-$Q$14)/100*$G$5</f>
        <v>107460.9375</v>
      </c>
      <c r="S37" s="47">
        <f t="shared" ref="S37:S38" si="43">(A37-$A$14)/360*$G$6*$G$5-(A37-$A$14)/360*$G$7*$G$5*$Q$14/100</f>
        <v>4071.2011393229113</v>
      </c>
      <c r="T37" s="82">
        <f t="shared" ref="T37:T38" si="44">C37+D37-F37-G37-I37-J37+L37+M37+O37+P37+R37+S37+$J$9</f>
        <v>-106151.36280510449</v>
      </c>
      <c r="V37" s="75">
        <v>45800.625</v>
      </c>
      <c r="W37" s="54">
        <v>78.95</v>
      </c>
      <c r="X37" s="75">
        <v>45944.625</v>
      </c>
      <c r="Y37" s="54">
        <v>100.1328125</v>
      </c>
      <c r="Z37" s="75">
        <v>45800.625</v>
      </c>
      <c r="AA37" s="54">
        <v>106.28</v>
      </c>
      <c r="AB37" s="75">
        <v>45944.625</v>
      </c>
      <c r="AC37" s="54">
        <v>100.1328125</v>
      </c>
      <c r="AD37" s="75">
        <v>45923.625</v>
      </c>
      <c r="AE37" s="54">
        <v>101.140625</v>
      </c>
      <c r="AF37" s="75">
        <v>45924.625</v>
      </c>
      <c r="AG37" s="54">
        <v>100.015625</v>
      </c>
    </row>
    <row r="38" spans="1:33" x14ac:dyDescent="0.3">
      <c r="A38" s="131">
        <v>45947</v>
      </c>
      <c r="B38" s="45">
        <f>B10</f>
        <v>80.545000000000002</v>
      </c>
      <c r="C38" s="46">
        <f t="shared" si="27"/>
        <v>-267356.6192324289</v>
      </c>
      <c r="D38" s="46">
        <f t="shared" si="28"/>
        <v>-131600</v>
      </c>
      <c r="E38" s="45">
        <f>C10</f>
        <v>100.203125</v>
      </c>
      <c r="F38" s="46">
        <f t="shared" si="30"/>
        <v>16757.8125</v>
      </c>
      <c r="G38" s="47">
        <f t="shared" si="31"/>
        <v>-10572.588541666664</v>
      </c>
      <c r="H38" s="45">
        <f>D10</f>
        <v>112.23</v>
      </c>
      <c r="I38" s="46">
        <f t="shared" si="33"/>
        <v>-59244.762709603106</v>
      </c>
      <c r="J38" s="47">
        <f t="shared" si="34"/>
        <v>-135360</v>
      </c>
      <c r="K38" s="45">
        <f>E10</f>
        <v>100.203125</v>
      </c>
      <c r="L38" s="46">
        <f t="shared" si="36"/>
        <v>14609.375</v>
      </c>
      <c r="M38" s="47">
        <f t="shared" si="37"/>
        <v>-10275.803472222222</v>
      </c>
      <c r="N38" s="45">
        <f>F10</f>
        <v>102.046875</v>
      </c>
      <c r="O38" s="46">
        <f t="shared" si="39"/>
        <v>20507.8125</v>
      </c>
      <c r="P38" s="47">
        <f t="shared" si="40"/>
        <v>-366.77604166666424</v>
      </c>
      <c r="Q38" s="45">
        <f>G10</f>
        <v>102.484375</v>
      </c>
      <c r="R38" s="46">
        <f t="shared" si="42"/>
        <v>87773.4375</v>
      </c>
      <c r="S38" s="47">
        <f t="shared" si="43"/>
        <v>4202.5302083333372</v>
      </c>
      <c r="T38" s="82">
        <f t="shared" si="44"/>
        <v>-59809.786065385531</v>
      </c>
      <c r="V38" s="75">
        <v>45804.625</v>
      </c>
      <c r="W38" s="54">
        <v>79.430000000000007</v>
      </c>
      <c r="X38" s="75">
        <v>45945.625</v>
      </c>
      <c r="Y38" s="54">
        <v>100.0234375</v>
      </c>
      <c r="Z38" s="75">
        <v>45804.625</v>
      </c>
      <c r="AA38" s="54">
        <v>107.24</v>
      </c>
      <c r="AB38" s="75">
        <v>45945.625</v>
      </c>
      <c r="AC38" s="54">
        <v>100.0234375</v>
      </c>
      <c r="AD38" s="75">
        <v>45924.625</v>
      </c>
      <c r="AE38" s="54">
        <v>100.859375</v>
      </c>
      <c r="AF38" s="75">
        <v>45925.625</v>
      </c>
      <c r="AG38" s="54">
        <v>100.03125</v>
      </c>
    </row>
    <row r="39" spans="1:33" x14ac:dyDescent="0.3">
      <c r="A39" s="131">
        <v>45950</v>
      </c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82"/>
      <c r="V39" s="75">
        <v>45805.625</v>
      </c>
      <c r="W39" s="54">
        <v>79.38</v>
      </c>
      <c r="X39" s="75">
        <v>45946.625</v>
      </c>
      <c r="Y39" s="54">
        <v>100.359375</v>
      </c>
      <c r="Z39" s="75">
        <v>45805.625</v>
      </c>
      <c r="AA39" s="54">
        <v>106.98</v>
      </c>
      <c r="AB39" s="75">
        <v>45946.625</v>
      </c>
      <c r="AC39" s="54">
        <v>100.359375</v>
      </c>
      <c r="AD39" s="75">
        <v>45925.625</v>
      </c>
      <c r="AE39" s="54">
        <v>100.640625</v>
      </c>
      <c r="AF39" s="75">
        <v>45926.625</v>
      </c>
      <c r="AG39" s="54">
        <v>99.90625</v>
      </c>
    </row>
    <row r="40" spans="1:33" x14ac:dyDescent="0.3">
      <c r="A40" s="131">
        <v>45951</v>
      </c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8"/>
      <c r="V40" s="75">
        <v>45806.625</v>
      </c>
      <c r="W40" s="54">
        <v>79.5</v>
      </c>
      <c r="Z40" s="75">
        <v>45806.625</v>
      </c>
      <c r="AA40" s="54">
        <v>107.46</v>
      </c>
      <c r="AD40" s="75">
        <v>45926.625</v>
      </c>
      <c r="AE40" s="54">
        <v>100.5625</v>
      </c>
      <c r="AF40" s="75">
        <v>45929.625</v>
      </c>
      <c r="AG40" s="54">
        <v>100.65625</v>
      </c>
    </row>
    <row r="41" spans="1:33" x14ac:dyDescent="0.3">
      <c r="A41" s="131">
        <v>45952</v>
      </c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8"/>
      <c r="V41" s="75">
        <v>45807.625</v>
      </c>
      <c r="W41" s="54">
        <v>79.569999999999993</v>
      </c>
      <c r="Z41" s="75">
        <v>45807.625</v>
      </c>
      <c r="AA41" s="54">
        <v>107.77</v>
      </c>
      <c r="AD41" s="75">
        <v>45929.625</v>
      </c>
      <c r="AE41" s="54">
        <v>100.875</v>
      </c>
      <c r="AF41" s="75">
        <v>45930.625</v>
      </c>
      <c r="AG41" s="54">
        <v>100.390625</v>
      </c>
    </row>
    <row r="42" spans="1:33" x14ac:dyDescent="0.3">
      <c r="A42" s="131">
        <v>45953</v>
      </c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5">
        <v>45810.625</v>
      </c>
      <c r="W42" s="54">
        <v>79.180000000000007</v>
      </c>
      <c r="Z42" s="75">
        <v>45810.625</v>
      </c>
      <c r="AA42" s="54">
        <v>107.07</v>
      </c>
      <c r="AD42" s="75">
        <v>45930.625</v>
      </c>
      <c r="AE42" s="54">
        <v>100.828125</v>
      </c>
      <c r="AF42" s="75">
        <v>45931.625</v>
      </c>
      <c r="AG42" s="54">
        <v>100.578125</v>
      </c>
    </row>
    <row r="43" spans="1:33" x14ac:dyDescent="0.3">
      <c r="A43" s="131">
        <v>45954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5">
        <v>45811.625</v>
      </c>
      <c r="W43" s="54">
        <v>79.33</v>
      </c>
      <c r="Z43" s="75">
        <v>45811.625</v>
      </c>
      <c r="AA43" s="54">
        <v>107.12</v>
      </c>
      <c r="AD43" s="75">
        <v>45931.625</v>
      </c>
      <c r="AE43" s="54">
        <v>101.171875</v>
      </c>
      <c r="AF43" s="75">
        <v>45932.625</v>
      </c>
      <c r="AG43" s="54">
        <v>100.875</v>
      </c>
    </row>
    <row r="44" spans="1:33" x14ac:dyDescent="0.3">
      <c r="A44" s="131">
        <v>45955</v>
      </c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5">
        <v>45812.625</v>
      </c>
      <c r="W44" s="54">
        <v>79.48</v>
      </c>
      <c r="Z44" s="75">
        <v>45812.625</v>
      </c>
      <c r="AA44" s="54">
        <v>107.9</v>
      </c>
      <c r="AD44" s="75">
        <v>45932.625</v>
      </c>
      <c r="AE44" s="54">
        <v>101.3125</v>
      </c>
      <c r="AF44" s="75">
        <v>45933.625</v>
      </c>
      <c r="AG44" s="54">
        <v>100.609375</v>
      </c>
    </row>
    <row r="45" spans="1:33" x14ac:dyDescent="0.3">
      <c r="A45" s="131">
        <v>45956</v>
      </c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5">
        <v>45813.625</v>
      </c>
      <c r="W45" s="54">
        <v>79.31</v>
      </c>
      <c r="Z45" s="75">
        <v>45813.625</v>
      </c>
      <c r="AA45" s="54">
        <v>107.57</v>
      </c>
      <c r="AD45" s="75">
        <v>45933.625</v>
      </c>
      <c r="AE45" s="54">
        <v>101.046875</v>
      </c>
      <c r="AF45" s="75">
        <v>45936.625</v>
      </c>
      <c r="AG45" s="54">
        <v>99.859375</v>
      </c>
    </row>
    <row r="46" spans="1:33" x14ac:dyDescent="0.3">
      <c r="A46" s="131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5">
        <v>45814.625</v>
      </c>
      <c r="W46" s="54">
        <v>79.3</v>
      </c>
      <c r="Z46" s="75">
        <v>45814.625</v>
      </c>
      <c r="AA46" s="54">
        <v>106.92</v>
      </c>
      <c r="AD46" s="75">
        <v>45936.625</v>
      </c>
      <c r="AE46" s="54">
        <v>100.6875</v>
      </c>
      <c r="AF46" s="75">
        <v>45937.625</v>
      </c>
      <c r="AG46" s="54">
        <v>100.390625</v>
      </c>
    </row>
    <row r="47" spans="1:33" x14ac:dyDescent="0.3">
      <c r="A47" s="131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5">
        <v>45817.625</v>
      </c>
      <c r="W47" s="54">
        <v>79.34</v>
      </c>
      <c r="Z47" s="75">
        <v>45817.625</v>
      </c>
      <c r="AA47" s="54">
        <v>107.24</v>
      </c>
      <c r="AD47" s="75">
        <v>45937.625</v>
      </c>
      <c r="AE47" s="54">
        <v>100.96875</v>
      </c>
      <c r="AF47" s="75">
        <v>45938.625</v>
      </c>
      <c r="AG47" s="54">
        <v>100.4375</v>
      </c>
    </row>
    <row r="48" spans="1:33" x14ac:dyDescent="0.3">
      <c r="A48" s="131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5">
        <v>45818.625</v>
      </c>
      <c r="W48" s="54">
        <v>79.53</v>
      </c>
      <c r="Z48" s="75">
        <v>45818.625</v>
      </c>
      <c r="AA48" s="54">
        <v>107.5</v>
      </c>
      <c r="AD48" s="75">
        <v>45938.625</v>
      </c>
      <c r="AE48" s="54">
        <v>100.953125</v>
      </c>
      <c r="AF48" s="75">
        <v>45939.625</v>
      </c>
      <c r="AG48" s="54">
        <v>100.390625</v>
      </c>
    </row>
    <row r="49" spans="1:33" x14ac:dyDescent="0.3">
      <c r="A49" s="131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5">
        <v>45819.625</v>
      </c>
      <c r="W49" s="54">
        <v>79.510000000000005</v>
      </c>
      <c r="Z49" s="75">
        <v>45819.625</v>
      </c>
      <c r="AA49" s="54">
        <v>107.84</v>
      </c>
      <c r="AD49" s="75">
        <v>45939.625</v>
      </c>
      <c r="AE49" s="54">
        <v>100.875</v>
      </c>
      <c r="AF49" s="75">
        <v>45940.625</v>
      </c>
      <c r="AG49" s="54">
        <v>101.875</v>
      </c>
    </row>
    <row r="50" spans="1:33" x14ac:dyDescent="0.3">
      <c r="A50" s="131"/>
      <c r="B50" s="45"/>
      <c r="C50" s="31"/>
      <c r="D50" s="31"/>
      <c r="E50" s="4"/>
      <c r="F50" s="31"/>
      <c r="G50" s="32"/>
      <c r="H50" s="4"/>
      <c r="I50" s="31"/>
      <c r="J50" s="32"/>
      <c r="K50" s="4"/>
      <c r="L50" s="31"/>
      <c r="M50" s="32"/>
      <c r="N50" s="4"/>
      <c r="O50" s="31"/>
      <c r="P50" s="32"/>
      <c r="Q50" s="4"/>
      <c r="R50" s="31"/>
      <c r="S50" s="32"/>
      <c r="T50" s="38"/>
      <c r="V50" s="75">
        <v>45820.625</v>
      </c>
      <c r="W50" s="54">
        <v>79.599999999999994</v>
      </c>
      <c r="Z50" s="75">
        <v>45820.625</v>
      </c>
      <c r="AA50" s="54">
        <v>108.44</v>
      </c>
      <c r="AD50" s="75">
        <v>45940.625</v>
      </c>
      <c r="AE50" s="54">
        <v>101.578125</v>
      </c>
      <c r="AF50" s="75">
        <v>45943.625</v>
      </c>
      <c r="AG50" s="54">
        <v>102.109375</v>
      </c>
    </row>
    <row r="51" spans="1:33" x14ac:dyDescent="0.3">
      <c r="A51" s="131"/>
      <c r="B51" s="45"/>
      <c r="C51" s="31"/>
      <c r="D51" s="31"/>
      <c r="E51" s="4"/>
      <c r="F51" s="31"/>
      <c r="G51" s="32"/>
      <c r="H51" s="4"/>
      <c r="I51" s="31"/>
      <c r="J51" s="32"/>
      <c r="K51" s="4"/>
      <c r="L51" s="31"/>
      <c r="M51" s="32"/>
      <c r="N51" s="4"/>
      <c r="O51" s="31"/>
      <c r="P51" s="32"/>
      <c r="Q51" s="4"/>
      <c r="R51" s="31"/>
      <c r="S51" s="32"/>
      <c r="T51" s="38"/>
      <c r="V51" s="75">
        <v>45821.625</v>
      </c>
      <c r="W51" s="54">
        <v>79.36</v>
      </c>
      <c r="Z51" s="75">
        <v>45821.625</v>
      </c>
      <c r="AA51" s="54">
        <v>107.79</v>
      </c>
      <c r="AD51" s="75">
        <v>45943.625</v>
      </c>
      <c r="AE51" s="54">
        <v>101.75</v>
      </c>
      <c r="AF51" s="75">
        <v>45944.625</v>
      </c>
      <c r="AG51" s="54">
        <v>102.140625</v>
      </c>
    </row>
    <row r="52" spans="1:33" x14ac:dyDescent="0.3">
      <c r="A52" s="131"/>
      <c r="B52" s="45"/>
      <c r="C52" s="31"/>
      <c r="D52" s="31"/>
      <c r="E52" s="4"/>
      <c r="F52" s="31"/>
      <c r="G52" s="32"/>
      <c r="H52" s="4"/>
      <c r="I52" s="31"/>
      <c r="J52" s="32"/>
      <c r="K52" s="4"/>
      <c r="L52" s="31"/>
      <c r="M52" s="32"/>
      <c r="N52" s="4"/>
      <c r="O52" s="31"/>
      <c r="P52" s="32"/>
      <c r="Q52" s="4"/>
      <c r="R52" s="31"/>
      <c r="S52" s="32"/>
      <c r="T52" s="38"/>
      <c r="V52" s="75">
        <v>45824.625</v>
      </c>
      <c r="W52" s="54">
        <v>79.52</v>
      </c>
      <c r="Z52" s="75">
        <v>45824.625</v>
      </c>
      <c r="AA52" s="54">
        <v>107.6</v>
      </c>
      <c r="AD52" s="75">
        <v>45944.625</v>
      </c>
      <c r="AE52" s="54">
        <v>101.859375</v>
      </c>
      <c r="AF52" s="75">
        <v>45945.625</v>
      </c>
      <c r="AG52" s="54">
        <v>101.921875</v>
      </c>
    </row>
    <row r="53" spans="1:33" x14ac:dyDescent="0.3">
      <c r="A53" s="131"/>
      <c r="B53" s="45"/>
      <c r="C53" s="31"/>
      <c r="D53" s="31"/>
      <c r="E53" s="4"/>
      <c r="F53" s="31"/>
      <c r="G53" s="32"/>
      <c r="H53" s="4"/>
      <c r="I53" s="31"/>
      <c r="J53" s="32"/>
      <c r="K53" s="4"/>
      <c r="L53" s="31"/>
      <c r="M53" s="32"/>
      <c r="N53" s="4"/>
      <c r="O53" s="31"/>
      <c r="P53" s="32"/>
      <c r="Q53" s="4"/>
      <c r="R53" s="31"/>
      <c r="S53" s="32"/>
      <c r="T53" s="38"/>
      <c r="V53" s="75">
        <v>45825.625</v>
      </c>
      <c r="W53" s="54">
        <v>79.430000000000007</v>
      </c>
      <c r="Z53" s="75">
        <v>45825.625</v>
      </c>
      <c r="AA53" s="54">
        <v>107.97</v>
      </c>
      <c r="AD53" s="75">
        <v>45945.625</v>
      </c>
      <c r="AE53" s="54">
        <v>101.734375</v>
      </c>
      <c r="AF53" s="75">
        <v>45946.625</v>
      </c>
      <c r="AG53" s="54">
        <v>102.671875</v>
      </c>
    </row>
    <row r="54" spans="1:33" x14ac:dyDescent="0.3">
      <c r="A54" s="131"/>
      <c r="B54" s="45"/>
      <c r="C54" s="31"/>
      <c r="D54" s="31"/>
      <c r="E54" s="4"/>
      <c r="F54" s="31"/>
      <c r="G54" s="32"/>
      <c r="H54" s="4"/>
      <c r="I54" s="31"/>
      <c r="J54" s="32"/>
      <c r="K54" s="4"/>
      <c r="L54" s="31"/>
      <c r="M54" s="32"/>
      <c r="N54" s="4"/>
      <c r="O54" s="31"/>
      <c r="P54" s="32"/>
      <c r="Q54" s="4"/>
      <c r="R54" s="31"/>
      <c r="S54" s="32"/>
      <c r="T54" s="38"/>
      <c r="V54" s="75">
        <v>45826.625</v>
      </c>
      <c r="W54" s="54">
        <v>79.55</v>
      </c>
      <c r="Z54" s="75">
        <v>45826.625</v>
      </c>
      <c r="AA54" s="54">
        <v>108.05</v>
      </c>
      <c r="AD54" s="75">
        <v>45946.625</v>
      </c>
      <c r="AE54" s="54">
        <v>102.234375</v>
      </c>
    </row>
    <row r="55" spans="1:33" x14ac:dyDescent="0.3">
      <c r="A55" s="131"/>
      <c r="B55" s="45"/>
      <c r="C55" s="31"/>
      <c r="D55" s="31"/>
      <c r="E55" s="4"/>
      <c r="F55" s="31"/>
      <c r="G55" s="32"/>
      <c r="H55" s="4"/>
      <c r="I55" s="31"/>
      <c r="J55" s="32"/>
      <c r="K55" s="4"/>
      <c r="L55" s="31"/>
      <c r="M55" s="32"/>
      <c r="N55" s="4"/>
      <c r="O55" s="31"/>
      <c r="P55" s="32"/>
      <c r="Q55" s="4"/>
      <c r="R55" s="31"/>
      <c r="S55" s="32"/>
      <c r="T55" s="38"/>
      <c r="V55" s="75">
        <v>45828.625</v>
      </c>
      <c r="W55" s="54">
        <v>79.790000000000006</v>
      </c>
      <c r="Z55" s="75">
        <v>45828.625</v>
      </c>
      <c r="AA55" s="54">
        <v>108.15</v>
      </c>
    </row>
    <row r="56" spans="1:33" x14ac:dyDescent="0.3">
      <c r="A56" s="131"/>
      <c r="B56" s="45"/>
      <c r="C56" s="31"/>
      <c r="D56" s="31"/>
      <c r="E56" s="4"/>
      <c r="F56" s="31"/>
      <c r="G56" s="32"/>
      <c r="H56" s="4"/>
      <c r="I56" s="31"/>
      <c r="J56" s="32"/>
      <c r="K56" s="4"/>
      <c r="L56" s="31"/>
      <c r="M56" s="32"/>
      <c r="N56" s="4"/>
      <c r="O56" s="31"/>
      <c r="P56" s="32"/>
      <c r="Q56" s="4"/>
      <c r="R56" s="31"/>
      <c r="S56" s="32"/>
      <c r="T56" s="38"/>
      <c r="V56" s="75">
        <v>45831.625</v>
      </c>
      <c r="W56" s="54">
        <v>79.95</v>
      </c>
      <c r="Z56" s="75">
        <v>45831.625</v>
      </c>
      <c r="AA56" s="54">
        <v>108.41</v>
      </c>
    </row>
    <row r="57" spans="1:33" x14ac:dyDescent="0.3">
      <c r="A57" s="131"/>
      <c r="B57" s="45"/>
      <c r="C57" s="31"/>
      <c r="D57" s="31"/>
      <c r="E57" s="4"/>
      <c r="F57" s="31"/>
      <c r="G57" s="32"/>
      <c r="H57" s="4"/>
      <c r="I57" s="31"/>
      <c r="J57" s="32"/>
      <c r="K57" s="4"/>
      <c r="L57" s="31"/>
      <c r="M57" s="32"/>
      <c r="N57" s="4"/>
      <c r="O57" s="31"/>
      <c r="P57" s="32"/>
      <c r="Q57" s="4"/>
      <c r="R57" s="31"/>
      <c r="S57" s="32"/>
      <c r="T57" s="38"/>
      <c r="V57" s="75">
        <v>45832.625</v>
      </c>
      <c r="W57" s="54">
        <v>80.17</v>
      </c>
      <c r="Z57" s="75">
        <v>45832.625</v>
      </c>
      <c r="AA57" s="54">
        <v>108.92</v>
      </c>
    </row>
    <row r="58" spans="1:33" x14ac:dyDescent="0.3">
      <c r="A58" s="131"/>
      <c r="B58" s="45"/>
      <c r="C58" s="31"/>
      <c r="D58" s="31"/>
      <c r="E58" s="4"/>
      <c r="F58" s="31"/>
      <c r="G58" s="32"/>
      <c r="H58" s="4"/>
      <c r="I58" s="31"/>
      <c r="J58" s="32"/>
      <c r="K58" s="4"/>
      <c r="L58" s="31"/>
      <c r="M58" s="32"/>
      <c r="N58" s="4"/>
      <c r="O58" s="31"/>
      <c r="P58" s="32"/>
      <c r="Q58" s="4"/>
      <c r="R58" s="31"/>
      <c r="S58" s="32"/>
      <c r="T58" s="38"/>
      <c r="V58" s="75">
        <v>45833.625</v>
      </c>
      <c r="W58" s="54">
        <v>80.150000000000006</v>
      </c>
      <c r="Z58" s="75">
        <v>45833.625</v>
      </c>
      <c r="AA58" s="54">
        <v>108.79</v>
      </c>
    </row>
    <row r="59" spans="1:33" x14ac:dyDescent="0.3">
      <c r="A59" s="131"/>
      <c r="B59" s="45"/>
      <c r="C59" s="31"/>
      <c r="D59" s="31"/>
      <c r="E59" s="4"/>
      <c r="F59" s="31"/>
      <c r="G59" s="32"/>
      <c r="H59" s="4"/>
      <c r="I59" s="31"/>
      <c r="J59" s="32"/>
      <c r="K59" s="4"/>
      <c r="L59" s="31"/>
      <c r="M59" s="32"/>
      <c r="N59" s="4"/>
      <c r="O59" s="31"/>
      <c r="P59" s="32"/>
      <c r="Q59" s="4"/>
      <c r="R59" s="31"/>
      <c r="S59" s="32"/>
      <c r="T59" s="38"/>
      <c r="V59" s="75">
        <v>45834.625</v>
      </c>
      <c r="W59" s="54">
        <v>80.38</v>
      </c>
      <c r="Z59" s="75">
        <v>45834.625</v>
      </c>
      <c r="AA59" s="54">
        <v>109.19</v>
      </c>
    </row>
    <row r="60" spans="1:33" x14ac:dyDescent="0.3">
      <c r="A60" s="131"/>
      <c r="B60" s="45"/>
      <c r="C60" s="31"/>
      <c r="D60" s="31"/>
      <c r="E60" s="4"/>
      <c r="F60" s="31"/>
      <c r="G60" s="32"/>
      <c r="H60" s="4"/>
      <c r="I60" s="31"/>
      <c r="J60" s="32"/>
      <c r="K60" s="4"/>
      <c r="L60" s="31"/>
      <c r="M60" s="32"/>
      <c r="N60" s="4"/>
      <c r="O60" s="31"/>
      <c r="P60" s="32"/>
      <c r="Q60" s="4"/>
      <c r="R60" s="31"/>
      <c r="S60" s="32"/>
      <c r="T60" s="38"/>
      <c r="V60" s="75">
        <v>45835.625</v>
      </c>
      <c r="W60" s="54">
        <v>80.34</v>
      </c>
      <c r="Z60" s="75">
        <v>45835.625</v>
      </c>
      <c r="AA60" s="54">
        <v>109.01</v>
      </c>
    </row>
    <row r="61" spans="1:33" x14ac:dyDescent="0.3">
      <c r="A61" s="131"/>
      <c r="B61" s="45"/>
      <c r="C61" s="31"/>
      <c r="D61" s="31"/>
      <c r="E61" s="4"/>
      <c r="F61" s="31"/>
      <c r="G61" s="32"/>
      <c r="H61" s="4"/>
      <c r="I61" s="31"/>
      <c r="J61" s="32"/>
      <c r="K61" s="4"/>
      <c r="L61" s="31"/>
      <c r="M61" s="32"/>
      <c r="N61" s="4"/>
      <c r="O61" s="31"/>
      <c r="P61" s="32"/>
      <c r="Q61" s="4"/>
      <c r="R61" s="31"/>
      <c r="S61" s="32"/>
      <c r="T61" s="38"/>
      <c r="V61" s="75">
        <v>45838.625</v>
      </c>
      <c r="W61" s="54">
        <v>80.650000000000006</v>
      </c>
      <c r="Z61" s="75">
        <v>45838.625</v>
      </c>
      <c r="AA61" s="54">
        <v>109.61</v>
      </c>
    </row>
    <row r="62" spans="1:33" ht="15" thickBot="1" x14ac:dyDescent="0.35">
      <c r="A62" s="132"/>
      <c r="B62" s="48"/>
      <c r="C62" s="49"/>
      <c r="D62" s="49"/>
      <c r="E62" s="11"/>
      <c r="F62" s="49"/>
      <c r="G62" s="50"/>
      <c r="H62" s="11"/>
      <c r="I62" s="49"/>
      <c r="J62" s="50"/>
      <c r="K62" s="11"/>
      <c r="L62" s="49"/>
      <c r="M62" s="50"/>
      <c r="N62" s="11"/>
      <c r="O62" s="49"/>
      <c r="P62" s="50"/>
      <c r="Q62" s="11"/>
      <c r="R62" s="49"/>
      <c r="S62" s="50"/>
      <c r="T62" s="51"/>
      <c r="V62" s="75">
        <v>45839.625</v>
      </c>
      <c r="W62" s="54">
        <v>80.17</v>
      </c>
      <c r="Z62" s="75">
        <v>45839.625</v>
      </c>
      <c r="AA62" s="54">
        <v>109.34</v>
      </c>
    </row>
    <row r="63" spans="1:33" x14ac:dyDescent="0.3">
      <c r="B63" s="58"/>
      <c r="C63" s="58"/>
      <c r="D63" s="58"/>
      <c r="E63" s="58"/>
      <c r="F63" s="58"/>
      <c r="H63" s="57"/>
      <c r="I63" s="57"/>
      <c r="K63" s="58"/>
      <c r="L63" s="58"/>
      <c r="N63" s="57"/>
      <c r="O63" s="57"/>
      <c r="R63" s="57"/>
      <c r="S63" s="57"/>
      <c r="T63" s="57"/>
      <c r="V63" s="75">
        <v>45840.625</v>
      </c>
      <c r="W63" s="54">
        <v>80.319999999999993</v>
      </c>
      <c r="Z63" s="75">
        <v>45840.625</v>
      </c>
      <c r="AA63" s="54">
        <v>109.32</v>
      </c>
    </row>
    <row r="64" spans="1:33" x14ac:dyDescent="0.3">
      <c r="B64" s="75"/>
      <c r="C64" s="58"/>
      <c r="D64" s="75"/>
      <c r="E64" s="58"/>
      <c r="F64" s="75"/>
      <c r="H64" s="75"/>
      <c r="J64" s="75"/>
      <c r="K64" s="58"/>
      <c r="L64" s="75"/>
      <c r="R64" s="57"/>
      <c r="S64" s="57"/>
      <c r="T64" s="57"/>
      <c r="V64" s="75">
        <v>45841.625</v>
      </c>
      <c r="W64" s="54">
        <v>80.37</v>
      </c>
      <c r="Z64" s="75">
        <v>45841.625</v>
      </c>
      <c r="AA64" s="54">
        <v>109.06</v>
      </c>
    </row>
    <row r="65" spans="2:27" x14ac:dyDescent="0.3">
      <c r="B65" s="75"/>
      <c r="C65" s="58"/>
      <c r="D65" s="75"/>
      <c r="E65" s="58"/>
      <c r="F65" s="75"/>
      <c r="H65" s="75"/>
      <c r="J65" s="75"/>
      <c r="K65" s="58"/>
      <c r="L65" s="75"/>
      <c r="R65" s="57"/>
      <c r="S65" s="57"/>
      <c r="T65" s="57"/>
      <c r="V65" s="75">
        <v>45845.625</v>
      </c>
      <c r="W65" s="54">
        <v>80.099999999999994</v>
      </c>
      <c r="Z65" s="75">
        <v>45845.625</v>
      </c>
      <c r="AA65" s="54">
        <v>108.41</v>
      </c>
    </row>
    <row r="66" spans="2:27" x14ac:dyDescent="0.3">
      <c r="B66" s="75"/>
      <c r="C66" s="58"/>
      <c r="D66" s="75"/>
      <c r="E66" s="58"/>
      <c r="F66" s="75"/>
      <c r="H66" s="75"/>
      <c r="J66" s="75"/>
      <c r="K66" s="58"/>
      <c r="L66" s="75"/>
      <c r="R66" s="57"/>
      <c r="S66" s="57"/>
      <c r="T66" s="57"/>
      <c r="V66" s="75">
        <v>45846.625</v>
      </c>
      <c r="W66" s="54">
        <v>79.989999999999995</v>
      </c>
      <c r="Z66" s="75">
        <v>45846.625</v>
      </c>
      <c r="AA66" s="54">
        <v>108.1</v>
      </c>
    </row>
    <row r="67" spans="2:27" x14ac:dyDescent="0.3">
      <c r="B67" s="75"/>
      <c r="C67" s="58"/>
      <c r="D67" s="75"/>
      <c r="E67" s="58"/>
      <c r="F67" s="75"/>
      <c r="H67" s="75"/>
      <c r="J67" s="75"/>
      <c r="K67" s="58"/>
      <c r="L67" s="75"/>
      <c r="V67" s="75">
        <v>45847.625</v>
      </c>
      <c r="W67" s="54">
        <v>80.209999999999994</v>
      </c>
      <c r="Z67" s="75">
        <v>45847.625</v>
      </c>
      <c r="AA67" s="54">
        <v>108.71</v>
      </c>
    </row>
    <row r="68" spans="2:27" x14ac:dyDescent="0.3">
      <c r="B68" s="75"/>
      <c r="C68" s="58"/>
      <c r="D68" s="75"/>
      <c r="E68" s="58"/>
      <c r="F68" s="75"/>
      <c r="H68" s="75"/>
      <c r="J68" s="75"/>
      <c r="K68" s="58"/>
      <c r="L68" s="75"/>
      <c r="V68" s="75">
        <v>45848.625</v>
      </c>
      <c r="W68" s="54">
        <v>80.13</v>
      </c>
      <c r="Z68" s="75">
        <v>45848.625</v>
      </c>
      <c r="AA68" s="54">
        <v>108.74</v>
      </c>
    </row>
    <row r="69" spans="2:27" x14ac:dyDescent="0.3">
      <c r="B69" s="75"/>
      <c r="C69" s="58"/>
      <c r="D69" s="75"/>
      <c r="E69" s="58"/>
      <c r="F69" s="75"/>
      <c r="H69" s="75"/>
      <c r="J69" s="75"/>
      <c r="K69" s="58"/>
      <c r="L69" s="75"/>
      <c r="V69" s="75">
        <v>45849.625</v>
      </c>
      <c r="W69" s="54">
        <v>80.03</v>
      </c>
      <c r="Z69" s="75">
        <v>45849.625</v>
      </c>
      <c r="AA69" s="54">
        <v>108.08</v>
      </c>
    </row>
    <row r="70" spans="2:27" x14ac:dyDescent="0.3">
      <c r="B70" s="75"/>
      <c r="C70" s="58"/>
      <c r="D70" s="75"/>
      <c r="E70" s="58"/>
      <c r="F70" s="75"/>
      <c r="H70" s="75"/>
      <c r="J70" s="75"/>
      <c r="K70" s="58"/>
      <c r="L70" s="75"/>
      <c r="V70" s="75">
        <v>45852.625</v>
      </c>
      <c r="W70" s="54">
        <v>80.09</v>
      </c>
      <c r="Z70" s="75">
        <v>45852.625</v>
      </c>
      <c r="AA70" s="54">
        <v>108.05</v>
      </c>
    </row>
    <row r="71" spans="2:27" x14ac:dyDescent="0.3">
      <c r="B71" s="75"/>
      <c r="C71" s="58"/>
      <c r="D71" s="75"/>
      <c r="E71" s="58"/>
      <c r="F71" s="75"/>
      <c r="H71" s="75"/>
      <c r="J71" s="75"/>
      <c r="K71" s="58"/>
      <c r="L71" s="75"/>
      <c r="V71" s="75">
        <v>45853.625</v>
      </c>
      <c r="W71" s="54">
        <v>79.849999999999994</v>
      </c>
      <c r="Z71" s="75">
        <v>45853.625</v>
      </c>
      <c r="AA71" s="54">
        <v>107.66</v>
      </c>
    </row>
    <row r="72" spans="2:27" x14ac:dyDescent="0.3">
      <c r="B72" s="75"/>
      <c r="C72" s="58"/>
      <c r="D72" s="75"/>
      <c r="E72" s="58"/>
      <c r="F72" s="75"/>
      <c r="H72" s="75"/>
      <c r="J72" s="75"/>
      <c r="K72" s="58"/>
      <c r="L72" s="75"/>
      <c r="V72" s="75">
        <v>45854.625</v>
      </c>
      <c r="W72" s="54">
        <v>80.06</v>
      </c>
      <c r="Z72" s="75">
        <v>45854.625</v>
      </c>
      <c r="AA72" s="54">
        <v>107.83</v>
      </c>
    </row>
    <row r="73" spans="2:27" x14ac:dyDescent="0.3">
      <c r="B73" s="75"/>
      <c r="C73" s="58"/>
      <c r="D73" s="75"/>
      <c r="E73" s="58"/>
      <c r="F73" s="75"/>
      <c r="H73" s="75"/>
      <c r="J73" s="75"/>
      <c r="K73" s="58"/>
      <c r="L73" s="75"/>
      <c r="V73" s="75">
        <v>45855.625</v>
      </c>
      <c r="W73" s="54">
        <v>80.14</v>
      </c>
      <c r="Z73" s="75">
        <v>45855.625</v>
      </c>
      <c r="AA73" s="54">
        <v>108.09</v>
      </c>
    </row>
    <row r="74" spans="2:27" x14ac:dyDescent="0.3">
      <c r="B74" s="75"/>
      <c r="C74" s="58"/>
      <c r="D74" s="75"/>
      <c r="E74" s="58"/>
      <c r="F74" s="75"/>
      <c r="H74" s="75"/>
      <c r="J74" s="75"/>
      <c r="K74" s="58"/>
      <c r="L74" s="75"/>
      <c r="V74" s="75">
        <v>45856.625</v>
      </c>
      <c r="W74" s="54">
        <v>80.25</v>
      </c>
      <c r="Z74" s="75">
        <v>45856.625</v>
      </c>
      <c r="AA74" s="54">
        <v>108.29</v>
      </c>
    </row>
    <row r="75" spans="2:27" x14ac:dyDescent="0.3">
      <c r="B75" s="75"/>
      <c r="D75" s="75"/>
      <c r="F75" s="75"/>
      <c r="H75" s="75"/>
      <c r="J75" s="75"/>
      <c r="L75" s="75"/>
      <c r="V75" s="75">
        <v>45859.625</v>
      </c>
      <c r="W75" s="54">
        <v>80.36</v>
      </c>
      <c r="Z75" s="75">
        <v>45859.625</v>
      </c>
      <c r="AA75" s="54">
        <v>108.71</v>
      </c>
    </row>
    <row r="76" spans="2:27" x14ac:dyDescent="0.3">
      <c r="B76" s="75"/>
      <c r="D76" s="75"/>
      <c r="F76" s="75"/>
      <c r="H76" s="75"/>
      <c r="J76" s="75"/>
      <c r="L76" s="75"/>
      <c r="V76" s="75">
        <v>45860.625</v>
      </c>
      <c r="W76" s="54">
        <v>80.5</v>
      </c>
      <c r="Z76" s="75">
        <v>45860.625</v>
      </c>
      <c r="AA76" s="54">
        <v>108.97</v>
      </c>
    </row>
    <row r="77" spans="2:27" x14ac:dyDescent="0.3">
      <c r="B77" s="75"/>
      <c r="D77" s="75"/>
      <c r="F77" s="75"/>
      <c r="H77" s="75"/>
      <c r="J77" s="75"/>
      <c r="L77" s="75"/>
      <c r="V77" s="75">
        <v>45861.625</v>
      </c>
      <c r="W77" s="54">
        <v>80.540000000000006</v>
      </c>
      <c r="Z77" s="75">
        <v>45861.625</v>
      </c>
      <c r="AA77" s="54">
        <v>108.8</v>
      </c>
    </row>
    <row r="78" spans="2:27" x14ac:dyDescent="0.3">
      <c r="B78" s="75"/>
      <c r="D78" s="75"/>
      <c r="F78" s="75"/>
      <c r="H78" s="75"/>
      <c r="J78" s="75"/>
      <c r="L78" s="75"/>
      <c r="V78" s="75">
        <v>45862.625</v>
      </c>
      <c r="W78" s="54">
        <v>80.44</v>
      </c>
      <c r="Z78" s="75">
        <v>45862.625</v>
      </c>
      <c r="AA78" s="54">
        <v>108.64</v>
      </c>
    </row>
    <row r="79" spans="2:27" x14ac:dyDescent="0.3">
      <c r="B79" s="75"/>
      <c r="D79" s="75"/>
      <c r="F79" s="75"/>
      <c r="H79" s="75"/>
      <c r="J79" s="75"/>
      <c r="L79" s="75"/>
      <c r="V79" s="75">
        <v>45863.625</v>
      </c>
      <c r="W79" s="54">
        <v>80.489999999999995</v>
      </c>
      <c r="Z79" s="75">
        <v>45863.625</v>
      </c>
      <c r="AA79" s="54">
        <v>108.99</v>
      </c>
    </row>
    <row r="80" spans="2:27" x14ac:dyDescent="0.3">
      <c r="B80" s="75"/>
      <c r="D80" s="75"/>
      <c r="F80" s="75"/>
      <c r="H80" s="75"/>
      <c r="J80" s="75"/>
      <c r="L80" s="75"/>
      <c r="V80" s="75">
        <v>45866.625</v>
      </c>
      <c r="W80" s="54">
        <v>80.45</v>
      </c>
      <c r="Z80" s="75">
        <v>45866.625</v>
      </c>
      <c r="AA80" s="54">
        <v>108.77</v>
      </c>
    </row>
    <row r="81" spans="2:27" x14ac:dyDescent="0.3">
      <c r="B81" s="75"/>
      <c r="D81" s="75"/>
      <c r="F81" s="75"/>
      <c r="H81" s="75"/>
      <c r="J81" s="75"/>
      <c r="L81" s="75"/>
      <c r="V81" s="75">
        <v>45867.625</v>
      </c>
      <c r="W81" s="54">
        <v>80.5</v>
      </c>
      <c r="Z81" s="75">
        <v>45867.625</v>
      </c>
      <c r="AA81" s="54">
        <v>109.49</v>
      </c>
    </row>
    <row r="82" spans="2:27" x14ac:dyDescent="0.3">
      <c r="B82" s="75"/>
      <c r="D82" s="75"/>
      <c r="F82" s="75"/>
      <c r="H82" s="75"/>
      <c r="J82" s="75"/>
      <c r="L82" s="75"/>
      <c r="V82" s="75">
        <v>45868.625</v>
      </c>
      <c r="W82" s="54">
        <v>80.33</v>
      </c>
      <c r="Z82" s="75">
        <v>45868.625</v>
      </c>
      <c r="AA82" s="54">
        <v>109.08</v>
      </c>
    </row>
    <row r="83" spans="2:27" x14ac:dyDescent="0.3">
      <c r="H83" s="75"/>
      <c r="J83" s="75"/>
      <c r="L83" s="75"/>
      <c r="V83" s="75">
        <v>45869.625</v>
      </c>
      <c r="W83" s="54">
        <v>80.38</v>
      </c>
      <c r="Z83" s="75">
        <v>45869.625</v>
      </c>
      <c r="AA83" s="54">
        <v>109.11</v>
      </c>
    </row>
    <row r="84" spans="2:27" x14ac:dyDescent="0.3">
      <c r="H84" s="75"/>
      <c r="J84" s="75"/>
      <c r="V84" s="75">
        <v>45870.625</v>
      </c>
      <c r="W84" s="54">
        <v>79.98</v>
      </c>
      <c r="Z84" s="75">
        <v>45870.625</v>
      </c>
      <c r="AA84" s="54">
        <v>109.63</v>
      </c>
    </row>
    <row r="85" spans="2:27" x14ac:dyDescent="0.3">
      <c r="H85" s="75"/>
      <c r="J85" s="75"/>
      <c r="V85" s="75">
        <v>45873.625</v>
      </c>
      <c r="W85" s="54">
        <v>80.25</v>
      </c>
      <c r="Z85" s="75">
        <v>45873.625</v>
      </c>
      <c r="AA85" s="54">
        <v>109.82</v>
      </c>
    </row>
    <row r="86" spans="2:27" x14ac:dyDescent="0.3">
      <c r="H86" s="75"/>
      <c r="J86" s="75"/>
      <c r="V86" s="75">
        <v>45874.625</v>
      </c>
      <c r="W86" s="54">
        <v>80.209999999999994</v>
      </c>
      <c r="Z86" s="75">
        <v>45874.625</v>
      </c>
      <c r="AA86" s="54">
        <v>109.9</v>
      </c>
    </row>
    <row r="87" spans="2:27" x14ac:dyDescent="0.3">
      <c r="H87" s="75"/>
      <c r="J87" s="75"/>
      <c r="V87" s="75">
        <v>45875.625</v>
      </c>
      <c r="W87" s="54">
        <v>80.290000000000006</v>
      </c>
      <c r="Z87" s="75">
        <v>45875.625</v>
      </c>
      <c r="AA87" s="54">
        <v>109.87</v>
      </c>
    </row>
    <row r="88" spans="2:27" x14ac:dyDescent="0.3">
      <c r="H88" s="75"/>
      <c r="J88" s="75"/>
      <c r="V88" s="75">
        <v>45876.625</v>
      </c>
      <c r="W88" s="54">
        <v>80.209999999999994</v>
      </c>
      <c r="Z88" s="75">
        <v>45876.625</v>
      </c>
      <c r="AA88" s="54">
        <v>109.76</v>
      </c>
    </row>
    <row r="89" spans="2:27" x14ac:dyDescent="0.3">
      <c r="H89" s="75"/>
      <c r="J89" s="75"/>
      <c r="V89" s="75">
        <v>45877.625</v>
      </c>
      <c r="W89" s="54">
        <v>80.22</v>
      </c>
      <c r="Z89" s="75">
        <v>45877.625</v>
      </c>
      <c r="AA89" s="54">
        <v>109.41</v>
      </c>
    </row>
    <row r="90" spans="2:27" x14ac:dyDescent="0.3">
      <c r="H90" s="75"/>
      <c r="J90" s="75"/>
      <c r="V90" s="75">
        <v>45880.625</v>
      </c>
      <c r="W90" s="54">
        <v>80.22</v>
      </c>
      <c r="Z90" s="75">
        <v>45880.625</v>
      </c>
      <c r="AA90" s="54">
        <v>109.58499999999999</v>
      </c>
    </row>
    <row r="91" spans="2:27" x14ac:dyDescent="0.3">
      <c r="H91" s="75"/>
      <c r="V91" s="75">
        <v>45881.625</v>
      </c>
      <c r="W91" s="54">
        <v>80.400000000000006</v>
      </c>
      <c r="Z91" s="75">
        <v>45881.625</v>
      </c>
      <c r="AA91" s="54">
        <v>109.68</v>
      </c>
    </row>
    <row r="92" spans="2:27" x14ac:dyDescent="0.3">
      <c r="H92" s="75"/>
      <c r="V92" s="75">
        <v>45882.625</v>
      </c>
      <c r="W92" s="54">
        <v>80.61</v>
      </c>
      <c r="Z92" s="75">
        <v>45882.625</v>
      </c>
      <c r="AA92" s="54">
        <v>110.26</v>
      </c>
    </row>
    <row r="93" spans="2:27" x14ac:dyDescent="0.3">
      <c r="H93" s="75"/>
      <c r="V93" s="75">
        <v>45883.625</v>
      </c>
      <c r="W93" s="54">
        <v>80.400000000000006</v>
      </c>
      <c r="Z93" s="75">
        <v>45883.625</v>
      </c>
      <c r="AA93" s="54">
        <v>109.88</v>
      </c>
    </row>
    <row r="94" spans="2:27" x14ac:dyDescent="0.3">
      <c r="H94" s="75"/>
      <c r="V94" s="75">
        <v>45884.625</v>
      </c>
      <c r="W94" s="54">
        <v>80.459999999999994</v>
      </c>
      <c r="Z94" s="75">
        <v>45884.625</v>
      </c>
      <c r="AA94" s="54">
        <v>109.74</v>
      </c>
    </row>
    <row r="95" spans="2:27" x14ac:dyDescent="0.3">
      <c r="V95" s="75">
        <v>45887.625</v>
      </c>
      <c r="W95" s="54">
        <v>80.400000000000006</v>
      </c>
      <c r="Z95" s="75">
        <v>45887.625</v>
      </c>
      <c r="AA95" s="54">
        <v>109.54</v>
      </c>
    </row>
    <row r="96" spans="2:27" x14ac:dyDescent="0.3">
      <c r="V96" s="75">
        <v>45888.625</v>
      </c>
      <c r="W96" s="54">
        <v>80.38</v>
      </c>
      <c r="Z96" s="75">
        <v>45888.625</v>
      </c>
      <c r="AA96" s="54">
        <v>109.71</v>
      </c>
    </row>
    <row r="97" spans="22:27" x14ac:dyDescent="0.3">
      <c r="V97" s="75">
        <v>45889.625</v>
      </c>
      <c r="W97" s="54">
        <v>80.349999999999994</v>
      </c>
      <c r="Z97" s="75">
        <v>45889.625</v>
      </c>
      <c r="AA97" s="54">
        <v>109.76</v>
      </c>
    </row>
    <row r="98" spans="22:27" x14ac:dyDescent="0.3">
      <c r="V98" s="75">
        <v>45890.625</v>
      </c>
      <c r="W98" s="54">
        <v>80.2</v>
      </c>
      <c r="Z98" s="75">
        <v>45890.625</v>
      </c>
      <c r="AA98" s="54">
        <v>109.34</v>
      </c>
    </row>
    <row r="99" spans="22:27" x14ac:dyDescent="0.3">
      <c r="V99" s="75">
        <v>45891.625</v>
      </c>
      <c r="W99" s="54">
        <v>80.849999999999994</v>
      </c>
      <c r="Z99" s="75">
        <v>45891.625</v>
      </c>
      <c r="AA99" s="54">
        <v>110.2</v>
      </c>
    </row>
    <row r="100" spans="22:27" x14ac:dyDescent="0.3">
      <c r="V100" s="75">
        <v>45894.625</v>
      </c>
      <c r="W100" s="54">
        <v>80.69</v>
      </c>
      <c r="Z100" s="75">
        <v>45894.625</v>
      </c>
      <c r="AA100" s="54">
        <v>109.91</v>
      </c>
    </row>
    <row r="101" spans="22:27" x14ac:dyDescent="0.3">
      <c r="V101" s="75">
        <v>45895.625</v>
      </c>
      <c r="W101" s="54">
        <v>80.87</v>
      </c>
      <c r="Z101" s="75">
        <v>45895.625</v>
      </c>
      <c r="AA101" s="54">
        <v>109.99</v>
      </c>
    </row>
    <row r="102" spans="22:27" x14ac:dyDescent="0.3">
      <c r="V102" s="75">
        <v>45896.625</v>
      </c>
      <c r="W102" s="54">
        <v>80.97</v>
      </c>
      <c r="Z102" s="75">
        <v>45896.625</v>
      </c>
      <c r="AA102" s="54">
        <v>110.03</v>
      </c>
    </row>
    <row r="103" spans="22:27" x14ac:dyDescent="0.3">
      <c r="V103" s="75">
        <v>45897.625</v>
      </c>
      <c r="W103" s="54">
        <v>81.010000000000005</v>
      </c>
      <c r="Z103" s="75">
        <v>45897.625</v>
      </c>
      <c r="AA103" s="54">
        <v>110.2</v>
      </c>
    </row>
    <row r="104" spans="22:27" x14ac:dyDescent="0.3">
      <c r="V104" s="75">
        <v>45898.625</v>
      </c>
      <c r="W104" s="54">
        <v>80.86</v>
      </c>
      <c r="Z104" s="75">
        <v>45898.625</v>
      </c>
      <c r="AA104" s="54">
        <v>109.83</v>
      </c>
    </row>
    <row r="105" spans="22:27" x14ac:dyDescent="0.3">
      <c r="V105" s="75">
        <v>45902.625</v>
      </c>
      <c r="W105" s="54">
        <v>80.39</v>
      </c>
      <c r="Z105" s="75">
        <v>45902.625</v>
      </c>
      <c r="AA105" s="54">
        <v>109.05</v>
      </c>
    </row>
    <row r="106" spans="22:27" x14ac:dyDescent="0.3">
      <c r="V106" s="75">
        <v>45903.625</v>
      </c>
      <c r="W106" s="54">
        <v>80.61</v>
      </c>
      <c r="Z106" s="75">
        <v>45903.625</v>
      </c>
      <c r="AA106" s="54">
        <v>109.7</v>
      </c>
    </row>
    <row r="107" spans="22:27" x14ac:dyDescent="0.3">
      <c r="V107" s="75">
        <v>45904.625</v>
      </c>
      <c r="W107" s="54">
        <v>80.819999999999993</v>
      </c>
      <c r="Z107" s="75">
        <v>45904.625</v>
      </c>
      <c r="AA107" s="54">
        <v>110.45</v>
      </c>
    </row>
    <row r="108" spans="22:27" x14ac:dyDescent="0.3">
      <c r="V108" s="75">
        <v>45905.625</v>
      </c>
      <c r="W108" s="54">
        <v>80.87</v>
      </c>
      <c r="Z108" s="75">
        <v>45905.625</v>
      </c>
      <c r="AA108" s="54">
        <v>111.17</v>
      </c>
    </row>
    <row r="109" spans="22:27" x14ac:dyDescent="0.3">
      <c r="V109" s="75">
        <v>45908.625</v>
      </c>
      <c r="W109" s="54">
        <v>80.87</v>
      </c>
      <c r="Z109" s="75">
        <v>45908.625</v>
      </c>
      <c r="AA109" s="54">
        <v>111.56</v>
      </c>
    </row>
    <row r="110" spans="22:27" x14ac:dyDescent="0.3">
      <c r="V110" s="75">
        <v>45909.625</v>
      </c>
      <c r="W110" s="54">
        <v>80.78</v>
      </c>
      <c r="Z110" s="75">
        <v>45909.625</v>
      </c>
      <c r="AA110" s="54">
        <v>111.36</v>
      </c>
    </row>
    <row r="111" spans="22:27" x14ac:dyDescent="0.3">
      <c r="V111" s="75">
        <v>45910.625</v>
      </c>
      <c r="W111" s="54">
        <v>80.84</v>
      </c>
      <c r="Z111" s="75">
        <v>45910.625</v>
      </c>
      <c r="AA111" s="54">
        <v>111.69</v>
      </c>
    </row>
    <row r="112" spans="22:27" x14ac:dyDescent="0.3">
      <c r="V112" s="75">
        <v>45911.625</v>
      </c>
      <c r="W112" s="54">
        <v>81.040000000000006</v>
      </c>
      <c r="Z112" s="75">
        <v>45911.625</v>
      </c>
      <c r="AA112" s="54">
        <v>112.21</v>
      </c>
    </row>
    <row r="113" spans="22:27" x14ac:dyDescent="0.3">
      <c r="V113" s="75">
        <v>45912.625</v>
      </c>
      <c r="W113" s="54">
        <v>80.959999999999994</v>
      </c>
      <c r="Z113" s="75">
        <v>45912.625</v>
      </c>
      <c r="AA113" s="54">
        <v>112.01</v>
      </c>
    </row>
    <row r="114" spans="22:27" x14ac:dyDescent="0.3">
      <c r="V114" s="75">
        <v>45915.625</v>
      </c>
      <c r="W114" s="54">
        <v>81.19</v>
      </c>
      <c r="Z114" s="75">
        <v>45915.625</v>
      </c>
      <c r="AA114" s="54">
        <v>112.36</v>
      </c>
    </row>
    <row r="115" spans="22:27" x14ac:dyDescent="0.3">
      <c r="V115" s="75">
        <v>45916.625</v>
      </c>
      <c r="W115" s="54">
        <v>81.13</v>
      </c>
      <c r="Z115" s="75">
        <v>45916.625</v>
      </c>
      <c r="AA115" s="54">
        <v>112.26</v>
      </c>
    </row>
    <row r="116" spans="22:27" x14ac:dyDescent="0.3">
      <c r="V116" s="75">
        <v>45917.625</v>
      </c>
      <c r="W116" s="54">
        <v>81.05</v>
      </c>
      <c r="Z116" s="75">
        <v>45917.625</v>
      </c>
      <c r="AA116" s="54">
        <v>112.06</v>
      </c>
    </row>
    <row r="117" spans="22:27" x14ac:dyDescent="0.3">
      <c r="V117" s="75">
        <v>45918.625</v>
      </c>
      <c r="W117" s="54">
        <v>81.23</v>
      </c>
      <c r="Z117" s="75">
        <v>45918.625</v>
      </c>
      <c r="AA117" s="54">
        <v>111.83</v>
      </c>
    </row>
    <row r="118" spans="22:27" x14ac:dyDescent="0.3">
      <c r="V118" s="75">
        <v>45919.625</v>
      </c>
      <c r="W118" s="54">
        <v>81.260000000000005</v>
      </c>
      <c r="Z118" s="75">
        <v>45919.625</v>
      </c>
      <c r="AA118" s="54">
        <v>111.74</v>
      </c>
    </row>
    <row r="119" spans="22:27" x14ac:dyDescent="0.3">
      <c r="V119" s="75">
        <v>45922.625</v>
      </c>
      <c r="W119" s="54">
        <v>81.319999999999993</v>
      </c>
      <c r="Z119" s="75">
        <v>45922.625</v>
      </c>
      <c r="AA119" s="54">
        <v>111.48</v>
      </c>
    </row>
    <row r="120" spans="22:27" x14ac:dyDescent="0.3">
      <c r="V120" s="75">
        <v>45923.625</v>
      </c>
      <c r="W120" s="54">
        <v>81.260000000000005</v>
      </c>
      <c r="Z120" s="75">
        <v>45923.625</v>
      </c>
      <c r="AA120" s="54">
        <v>111.71</v>
      </c>
    </row>
    <row r="121" spans="22:27" x14ac:dyDescent="0.3">
      <c r="V121" s="75">
        <v>45924.625</v>
      </c>
      <c r="W121" s="54">
        <v>81.150000000000006</v>
      </c>
      <c r="Z121" s="75">
        <v>45924.625</v>
      </c>
      <c r="AA121" s="54">
        <v>111.26</v>
      </c>
    </row>
    <row r="122" spans="22:27" x14ac:dyDescent="0.3">
      <c r="V122" s="75">
        <v>45925.625</v>
      </c>
      <c r="W122" s="54">
        <v>80.92</v>
      </c>
      <c r="Z122" s="75">
        <v>45925.625</v>
      </c>
      <c r="AA122" s="54">
        <v>111.06</v>
      </c>
    </row>
    <row r="123" spans="22:27" x14ac:dyDescent="0.3">
      <c r="V123" s="75">
        <v>45926.625</v>
      </c>
      <c r="W123" s="54">
        <v>81.08</v>
      </c>
      <c r="Z123" s="75">
        <v>45926.625</v>
      </c>
      <c r="AA123" s="54">
        <v>111.21</v>
      </c>
    </row>
    <row r="124" spans="22:27" x14ac:dyDescent="0.3">
      <c r="V124" s="75">
        <v>45929.625</v>
      </c>
      <c r="W124" s="54">
        <v>81.22</v>
      </c>
      <c r="Z124" s="75">
        <v>45929.625</v>
      </c>
      <c r="AA124" s="54">
        <v>111.58</v>
      </c>
    </row>
    <row r="125" spans="22:27" x14ac:dyDescent="0.3">
      <c r="V125" s="75">
        <v>45930.625</v>
      </c>
      <c r="W125" s="54">
        <v>81.19</v>
      </c>
      <c r="Z125" s="75">
        <v>45930.625</v>
      </c>
      <c r="AA125" s="54">
        <v>111.47</v>
      </c>
    </row>
    <row r="126" spans="22:27" x14ac:dyDescent="0.3">
      <c r="V126" s="75">
        <v>45931.625</v>
      </c>
      <c r="W126" s="54">
        <v>80.959999999999994</v>
      </c>
      <c r="Z126" s="75">
        <v>45931.625</v>
      </c>
      <c r="AA126" s="54">
        <v>111.51</v>
      </c>
    </row>
    <row r="127" spans="22:27" x14ac:dyDescent="0.3">
      <c r="V127" s="75">
        <v>45932.625</v>
      </c>
      <c r="W127" s="54">
        <v>80.930000000000007</v>
      </c>
      <c r="Z127" s="75">
        <v>45932.625</v>
      </c>
      <c r="AA127" s="54">
        <v>111.69</v>
      </c>
    </row>
    <row r="128" spans="22:27" x14ac:dyDescent="0.3">
      <c r="V128" s="75">
        <v>45933.625</v>
      </c>
      <c r="W128" s="54">
        <v>80.84</v>
      </c>
      <c r="Z128" s="75">
        <v>45933.625</v>
      </c>
      <c r="AA128" s="54">
        <v>111.55</v>
      </c>
    </row>
    <row r="129" spans="22:27" x14ac:dyDescent="0.3">
      <c r="V129" s="75">
        <v>45936.625</v>
      </c>
      <c r="W129" s="54">
        <v>80.86</v>
      </c>
      <c r="Z129" s="75">
        <v>45936.625</v>
      </c>
      <c r="AA129" s="54">
        <v>111.19</v>
      </c>
    </row>
    <row r="130" spans="22:27" x14ac:dyDescent="0.3">
      <c r="V130" s="75">
        <v>45937.625</v>
      </c>
      <c r="W130" s="54">
        <v>80.77</v>
      </c>
      <c r="Z130" s="75">
        <v>45937.625</v>
      </c>
      <c r="AA130" s="54">
        <v>111.4</v>
      </c>
    </row>
    <row r="131" spans="22:27" x14ac:dyDescent="0.3">
      <c r="V131" s="75">
        <v>45938.625</v>
      </c>
      <c r="W131" s="54">
        <v>80.650000000000006</v>
      </c>
      <c r="Z131" s="75">
        <v>45938.625</v>
      </c>
      <c r="AA131" s="54">
        <v>111.26</v>
      </c>
    </row>
    <row r="132" spans="22:27" x14ac:dyDescent="0.3">
      <c r="V132" s="75">
        <v>45939.625</v>
      </c>
      <c r="W132" s="54">
        <v>80.42</v>
      </c>
      <c r="Z132" s="75">
        <v>45939.625</v>
      </c>
      <c r="AA132" s="54">
        <v>111.04</v>
      </c>
    </row>
    <row r="133" spans="22:27" x14ac:dyDescent="0.3">
      <c r="V133" s="75">
        <v>45940.625</v>
      </c>
      <c r="W133" s="54">
        <v>79.984999999999999</v>
      </c>
      <c r="Z133" s="75">
        <v>45940.625</v>
      </c>
      <c r="AA133" s="54">
        <v>111.36</v>
      </c>
    </row>
    <row r="134" spans="22:27" x14ac:dyDescent="0.3">
      <c r="V134" s="75">
        <v>45943.625</v>
      </c>
      <c r="W134" s="54">
        <v>80.45</v>
      </c>
      <c r="Z134" s="75">
        <v>45943.625</v>
      </c>
      <c r="AA134" s="54">
        <v>111.73</v>
      </c>
    </row>
    <row r="135" spans="22:27" x14ac:dyDescent="0.3">
      <c r="V135" s="75">
        <v>45944.625</v>
      </c>
      <c r="W135" s="54">
        <v>80.540000000000006</v>
      </c>
      <c r="Z135" s="75">
        <v>45944.625</v>
      </c>
      <c r="AA135" s="54">
        <v>112.1</v>
      </c>
    </row>
    <row r="136" spans="22:27" x14ac:dyDescent="0.3">
      <c r="V136" s="75">
        <v>45945.625</v>
      </c>
      <c r="W136" s="54">
        <v>80.8</v>
      </c>
      <c r="Z136" s="75">
        <v>45945.625</v>
      </c>
      <c r="AA136" s="54">
        <v>112.1</v>
      </c>
    </row>
    <row r="137" spans="22:27" x14ac:dyDescent="0.3">
      <c r="V137" s="75">
        <v>45946.625</v>
      </c>
      <c r="W137" s="54">
        <v>80.510000000000005</v>
      </c>
      <c r="Z137" s="75">
        <v>45946.625</v>
      </c>
      <c r="AA137" s="54">
        <v>112.42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9">
    <cfRule type="cellIs" dxfId="19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7"/>
  <sheetViews>
    <sheetView tabSelected="1" zoomScale="80" zoomScaleNormal="80" workbookViewId="0">
      <selection activeCell="U7" sqref="U7"/>
    </sheetView>
  </sheetViews>
  <sheetFormatPr defaultColWidth="8.88671875" defaultRowHeight="14.4" x14ac:dyDescent="0.3"/>
  <cols>
    <col min="1" max="1" width="15" style="54" bestFit="1" customWidth="1"/>
    <col min="2" max="3" width="13.6640625" style="54" bestFit="1" customWidth="1"/>
    <col min="4" max="4" width="12.5546875" style="54" bestFit="1" customWidth="1"/>
    <col min="5" max="7" width="13.6640625" style="54" bestFit="1" customWidth="1"/>
    <col min="8" max="8" width="7.33203125" style="54" bestFit="1" customWidth="1"/>
    <col min="9" max="9" width="14.33203125" style="54" bestFit="1" customWidth="1"/>
    <col min="10" max="10" width="10.44140625" style="54" bestFit="1" customWidth="1"/>
    <col min="11" max="11" width="8" style="54" bestFit="1" customWidth="1"/>
    <col min="12" max="12" width="10.6640625" style="54" bestFit="1" customWidth="1"/>
    <col min="13" max="13" width="8.6640625" style="54" bestFit="1" customWidth="1"/>
    <col min="14" max="14" width="6.109375" style="54" bestFit="1" customWidth="1"/>
    <col min="15" max="15" width="10.6640625" style="54" bestFit="1" customWidth="1"/>
    <col min="16" max="16" width="11.44140625" style="54" bestFit="1" customWidth="1"/>
    <col min="17" max="17" width="7.33203125" style="54" bestFit="1" customWidth="1"/>
    <col min="18" max="18" width="10.6640625" style="54" bestFit="1" customWidth="1"/>
    <col min="19" max="19" width="10.33203125" style="54" bestFit="1" customWidth="1"/>
    <col min="20" max="20" width="11.21875" style="54" bestFit="1" customWidth="1"/>
    <col min="21" max="21" width="9.109375"/>
    <col min="22" max="22" width="11.88671875" style="75" customWidth="1"/>
    <col min="23" max="23" width="8" style="54" customWidth="1"/>
    <col min="24" max="24" width="11.88671875" style="75" customWidth="1"/>
    <col min="25" max="25" width="13.6640625" style="54" customWidth="1"/>
    <col min="26" max="26" width="11.88671875" style="75" customWidth="1"/>
    <col min="27" max="27" width="13.6640625" style="54" customWidth="1"/>
    <col min="28" max="28" width="11.88671875" style="75" customWidth="1"/>
    <col min="29" max="29" width="13.6640625" style="54" customWidth="1"/>
    <col min="30" max="30" width="11.88671875" style="75" customWidth="1"/>
    <col min="31" max="31" width="6.88671875" style="54" customWidth="1"/>
    <col min="32" max="32" width="11.88671875" style="75" customWidth="1"/>
    <col min="33" max="33" width="13.6640625" style="54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9" t="s">
        <v>100</v>
      </c>
      <c r="J1" s="120">
        <v>0.625</v>
      </c>
      <c r="K1" s="53"/>
      <c r="L1" s="1"/>
      <c r="P1" s="1"/>
      <c r="Q1" s="53"/>
      <c r="R1" s="1"/>
      <c r="S1" s="53"/>
      <c r="T1" s="1"/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1" t="s">
        <v>1</v>
      </c>
      <c r="E2" s="77" t="s">
        <v>1</v>
      </c>
      <c r="F2" s="71" t="s">
        <v>1</v>
      </c>
      <c r="G2" s="72" t="s">
        <v>0</v>
      </c>
      <c r="I2" s="53"/>
      <c r="J2" s="1"/>
      <c r="K2" s="53"/>
      <c r="L2" s="1"/>
      <c r="P2" s="1"/>
      <c r="Q2" s="53"/>
      <c r="R2" s="1"/>
      <c r="S2" s="53"/>
      <c r="T2" s="1"/>
      <c r="V2" s="102" t="s">
        <v>0</v>
      </c>
      <c r="W2" s="1"/>
      <c r="X2" s="103" t="s">
        <v>1</v>
      </c>
      <c r="Y2" s="2"/>
      <c r="Z2" s="104" t="s">
        <v>1</v>
      </c>
      <c r="AA2" s="1"/>
      <c r="AB2" s="105" t="s">
        <v>0</v>
      </c>
      <c r="AD2" s="106" t="s">
        <v>1</v>
      </c>
      <c r="AF2" s="101" t="s">
        <v>0</v>
      </c>
    </row>
    <row r="3" spans="1:33" x14ac:dyDescent="0.3">
      <c r="A3" s="15" t="s">
        <v>32</v>
      </c>
      <c r="B3" s="64" t="s">
        <v>67</v>
      </c>
      <c r="C3" s="73" t="s">
        <v>66</v>
      </c>
      <c r="D3" s="73" t="s">
        <v>68</v>
      </c>
      <c r="E3" s="73" t="s">
        <v>69</v>
      </c>
      <c r="F3" s="73" t="s">
        <v>74</v>
      </c>
      <c r="G3" s="65" t="s">
        <v>76</v>
      </c>
      <c r="I3" s="94" t="s">
        <v>80</v>
      </c>
      <c r="J3" s="86" t="s">
        <v>67</v>
      </c>
      <c r="K3" s="87" t="s">
        <v>74</v>
      </c>
      <c r="L3" s="46"/>
      <c r="Q3" s="52"/>
      <c r="S3" s="52"/>
      <c r="V3" s="52" cm="1">
        <f t="array" ref="V3:W137">_xll.BDH(B4, "LAST_PRICE", "01/01/2025 15:00:00", "01/01/2035 16:00:00", "BarSize=60", "BarType=T", "RecurDaily=True", "TZ=New_York")</f>
        <v>45751.625</v>
      </c>
      <c r="W3" s="1">
        <v>108.78</v>
      </c>
      <c r="X3" s="118" cm="1">
        <f t="array" ref="X3:Y19">_xll.BDH(C4, "LAST_PRICE", "01/01/2025 15:00:00", "01/01/2035 16:00:00", "BarSize=60", "BarType=T", "RecurDaily=True", "TZ=New_York")</f>
        <v>45924.625</v>
      </c>
      <c r="Y3" s="46">
        <v>99.59375</v>
      </c>
      <c r="Z3" s="52" cm="1">
        <f t="array" ref="Z3:AA54">_xll.BDH(D4, "LAST_PRICE", "01/01/2025 15:00:00", "01/01/2035 16:00:00", "BarSize=60", "BarType=T", "RecurDaily=True", "TZ=New_York")</f>
        <v>45875.625</v>
      </c>
      <c r="AA3" s="1">
        <v>100.140625</v>
      </c>
      <c r="AB3" s="52" cm="1">
        <f t="array" ref="AB3:AC53">_xll.BDH(E4, "LAST_PRICE", "01/01/2025 15:00:00", "01/01/2035 16:00:00", "BarSize=60", "BarType=T", "RecurDaily=True", "TZ=New_York")</f>
        <v>45876.625</v>
      </c>
      <c r="AC3" s="54">
        <v>98.9375</v>
      </c>
      <c r="AD3" s="52" cm="1">
        <f t="array" ref="AD3:AE136">_xll.BDH(F4, "LAST_PRICE", "01/01/2025 15:00:00", "01/01/2035 16:00:00", "BarSize=60", "BarType=T", "RecurDaily=True", "TZ=New_York")</f>
        <v>45751.625</v>
      </c>
      <c r="AE3" s="54">
        <v>81.790000000000006</v>
      </c>
      <c r="AF3" s="52" cm="1">
        <f t="array" ref="AF3:AG18">_xll.BDH(G4, "LAST_PRICE", "01/01/2025 15:00:00", "01/01/2035 16:00:00", "BarSize=60", "BarType=T", "RecurDaily=True", "TZ=New_York")</f>
        <v>45925.625</v>
      </c>
      <c r="AG3" s="54">
        <v>99.5625</v>
      </c>
    </row>
    <row r="4" spans="1:33" ht="32.25" customHeight="1" thickBot="1" x14ac:dyDescent="0.35">
      <c r="A4" s="15" t="s">
        <v>33</v>
      </c>
      <c r="B4" s="66" t="s">
        <v>70</v>
      </c>
      <c r="C4" s="41" t="s">
        <v>78</v>
      </c>
      <c r="D4" s="41" t="s">
        <v>72</v>
      </c>
      <c r="E4" s="41" t="s">
        <v>71</v>
      </c>
      <c r="F4" s="41" t="s">
        <v>75</v>
      </c>
      <c r="G4" s="42" t="s">
        <v>77</v>
      </c>
      <c r="I4" s="88"/>
      <c r="J4" s="89">
        <f>B5/B14</f>
        <v>322202.69478617457</v>
      </c>
      <c r="K4" s="90">
        <f>F5/N14</f>
        <v>596551.92984549305</v>
      </c>
      <c r="L4" s="1"/>
      <c r="Q4" s="75"/>
      <c r="S4" s="53"/>
      <c r="V4" s="75">
        <v>45754.625</v>
      </c>
      <c r="W4" s="58">
        <v>106.66</v>
      </c>
      <c r="X4" s="75">
        <v>45925.625</v>
      </c>
      <c r="Y4" s="58">
        <v>99.3828125</v>
      </c>
      <c r="Z4" s="75">
        <v>45876.625</v>
      </c>
      <c r="AA4" s="54">
        <v>100.0625</v>
      </c>
      <c r="AB4" s="75">
        <v>45877.625</v>
      </c>
      <c r="AC4" s="54">
        <v>98.4375</v>
      </c>
      <c r="AD4" s="75">
        <v>45754.625</v>
      </c>
      <c r="AE4" s="58">
        <v>80.599999999999994</v>
      </c>
      <c r="AF4" s="75">
        <v>45926.625</v>
      </c>
      <c r="AG4" s="54">
        <v>99.5</v>
      </c>
    </row>
    <row r="5" spans="1:33" ht="15" thickBot="1" x14ac:dyDescent="0.35">
      <c r="A5" s="15" t="s">
        <v>8</v>
      </c>
      <c r="B5" s="67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5"/>
      <c r="L5" s="1"/>
      <c r="Q5" s="75"/>
      <c r="S5" s="53"/>
      <c r="V5" s="75">
        <v>45755.625</v>
      </c>
      <c r="W5" s="58">
        <v>105.31</v>
      </c>
      <c r="X5" s="75">
        <v>45926.625</v>
      </c>
      <c r="Y5" s="58">
        <v>99.3671875</v>
      </c>
      <c r="Z5" s="75">
        <v>45877.625</v>
      </c>
      <c r="AA5" s="54">
        <v>99.734375</v>
      </c>
      <c r="AB5" s="75">
        <v>45880.625</v>
      </c>
      <c r="AC5" s="54">
        <v>98.53125</v>
      </c>
      <c r="AD5" s="75">
        <v>45755.625</v>
      </c>
      <c r="AE5" s="58">
        <v>79.91</v>
      </c>
      <c r="AF5" s="75">
        <v>45929.625</v>
      </c>
      <c r="AG5" s="54">
        <v>99.703125</v>
      </c>
    </row>
    <row r="6" spans="1:33" x14ac:dyDescent="0.3">
      <c r="A6" s="15" t="s">
        <v>10</v>
      </c>
      <c r="B6" s="69">
        <v>0</v>
      </c>
      <c r="C6" s="10">
        <f>(3+5/8)*0.01</f>
        <v>3.6249999999999998E-2</v>
      </c>
      <c r="D6" s="74">
        <v>4.2500000000000003E-2</v>
      </c>
      <c r="E6" s="74">
        <v>4.7500000000000001E-2</v>
      </c>
      <c r="F6" s="74">
        <v>0</v>
      </c>
      <c r="G6" s="10">
        <f>(3+5/8)*0.01</f>
        <v>3.6249999999999998E-2</v>
      </c>
      <c r="I6" s="95" t="s">
        <v>79</v>
      </c>
      <c r="J6" s="73" t="s">
        <v>67</v>
      </c>
      <c r="K6" s="91" t="s">
        <v>74</v>
      </c>
      <c r="L6" s="1"/>
      <c r="Q6" s="75"/>
      <c r="S6" s="53"/>
      <c r="V6" s="75">
        <v>45756.625</v>
      </c>
      <c r="W6" s="58">
        <v>107.07</v>
      </c>
      <c r="X6" s="75">
        <v>45929.625</v>
      </c>
      <c r="Y6" s="58">
        <v>99.484375</v>
      </c>
      <c r="Z6" s="75">
        <v>45880.625</v>
      </c>
      <c r="AA6" s="54">
        <v>99.8125</v>
      </c>
      <c r="AB6" s="75">
        <v>45881.625</v>
      </c>
      <c r="AC6" s="54">
        <v>98</v>
      </c>
      <c r="AD6" s="75">
        <v>45756.625</v>
      </c>
      <c r="AE6" s="58">
        <v>80.680000000000007</v>
      </c>
      <c r="AF6" s="75">
        <v>45930.625</v>
      </c>
      <c r="AG6" s="54">
        <v>99.6875</v>
      </c>
    </row>
    <row r="7" spans="1:33" ht="15" thickBot="1" x14ac:dyDescent="0.35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74">
        <v>4.2299999999999997E-2</v>
      </c>
      <c r="F7" s="74">
        <v>4.2299999999999997E-2</v>
      </c>
      <c r="G7" s="10">
        <v>4.2299999999999997E-2</v>
      </c>
      <c r="I7" s="79"/>
      <c r="J7" s="21">
        <v>0.41</v>
      </c>
      <c r="K7" s="92">
        <v>0.32600000000000001</v>
      </c>
      <c r="L7" s="1"/>
      <c r="P7" s="1"/>
      <c r="Q7" s="53"/>
      <c r="R7" s="1"/>
      <c r="S7" s="53"/>
      <c r="T7" s="1"/>
      <c r="V7" s="75">
        <v>45757.625</v>
      </c>
      <c r="W7" s="58">
        <v>105.25</v>
      </c>
      <c r="X7" s="75">
        <v>45930.625</v>
      </c>
      <c r="Y7" s="58">
        <v>99.5</v>
      </c>
      <c r="Z7" s="75">
        <v>45881.625</v>
      </c>
      <c r="AA7" s="54">
        <v>99.6875</v>
      </c>
      <c r="AB7" s="75">
        <v>45882.625</v>
      </c>
      <c r="AC7" s="54">
        <v>98.796875</v>
      </c>
      <c r="AD7" s="75">
        <v>45757.625</v>
      </c>
      <c r="AE7" s="58">
        <v>79.83</v>
      </c>
      <c r="AF7" s="75">
        <v>45931.625</v>
      </c>
      <c r="AG7" s="54">
        <v>100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5"/>
      <c r="L8" s="1"/>
      <c r="P8" s="1"/>
      <c r="Q8" s="53"/>
      <c r="R8" s="1"/>
      <c r="S8" s="53"/>
      <c r="T8" s="1"/>
      <c r="V8" s="75">
        <v>45758.625</v>
      </c>
      <c r="W8" s="58">
        <v>105.23</v>
      </c>
      <c r="X8" s="75">
        <v>45931.625</v>
      </c>
      <c r="Y8" s="58">
        <v>99.7578125</v>
      </c>
      <c r="Z8" s="75">
        <v>45882.625</v>
      </c>
      <c r="AA8" s="54">
        <v>100.125</v>
      </c>
      <c r="AB8" s="75">
        <v>45883.625</v>
      </c>
      <c r="AC8" s="54">
        <v>98.03125</v>
      </c>
      <c r="AD8" s="75">
        <v>45758.625</v>
      </c>
      <c r="AE8" s="58">
        <v>79.56</v>
      </c>
      <c r="AF8" s="75">
        <v>45932.625</v>
      </c>
      <c r="AG8" s="54">
        <v>100.078125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6" t="s">
        <v>81</v>
      </c>
      <c r="J9" s="93">
        <f>J4*J7-K4*K7</f>
        <v>-62372.824267299176</v>
      </c>
      <c r="L9" s="1"/>
      <c r="P9" s="1"/>
      <c r="Q9" s="53"/>
      <c r="R9" s="1"/>
      <c r="S9" s="53"/>
      <c r="T9" s="1"/>
      <c r="V9" s="75">
        <v>45761.625</v>
      </c>
      <c r="W9" s="58">
        <v>105.89</v>
      </c>
      <c r="X9" s="75">
        <v>45932.625</v>
      </c>
      <c r="Y9" s="58">
        <v>99.78125</v>
      </c>
      <c r="Z9" s="75">
        <v>45883.625</v>
      </c>
      <c r="AA9" s="54">
        <v>99.703125</v>
      </c>
      <c r="AB9" s="75">
        <v>45884.625</v>
      </c>
      <c r="AC9" s="54">
        <v>97.375</v>
      </c>
      <c r="AD9" s="75">
        <v>45761.625</v>
      </c>
      <c r="AE9" s="58">
        <v>80.06</v>
      </c>
      <c r="AF9" s="75">
        <v>45933.625</v>
      </c>
      <c r="AG9" s="54">
        <v>99.828125</v>
      </c>
    </row>
    <row r="10" spans="1:33" ht="15" thickBot="1" x14ac:dyDescent="0.35">
      <c r="A10" s="16" t="s">
        <v>28</v>
      </c>
      <c r="B10" s="11" cm="1">
        <f t="array" ref="B10">_xll.BDP(B4,"px_last")</f>
        <v>112.23</v>
      </c>
      <c r="C10" s="21" cm="1">
        <f t="array" ref="C10">_xll.BDP(C4,"px_last")</f>
        <v>100.203125</v>
      </c>
      <c r="D10" s="21" cm="1">
        <f t="array" ref="D10">_xll.BDP(D4,"px_last")</f>
        <v>102.046875</v>
      </c>
      <c r="E10" s="21" cm="1">
        <f t="array" ref="E10">_xll.BDP(E4,"px_last")</f>
        <v>102.484375</v>
      </c>
      <c r="F10" s="21" cm="1">
        <f t="array" ref="F10">_xll.BDP(F4,"px_last")</f>
        <v>84.466899999999995</v>
      </c>
      <c r="G10" s="22" cm="1">
        <f t="array" ref="G10">_xll.BDP(G4,"px_last")</f>
        <v>100.640625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5">
        <v>45762.625</v>
      </c>
      <c r="W10" s="58">
        <v>106.45</v>
      </c>
      <c r="X10" s="75">
        <v>45933.625</v>
      </c>
      <c r="Y10" s="58">
        <v>99.59375</v>
      </c>
      <c r="Z10" s="75">
        <v>45884.625</v>
      </c>
      <c r="AA10" s="54">
        <v>99.4375</v>
      </c>
      <c r="AB10" s="75">
        <v>45887.625</v>
      </c>
      <c r="AC10" s="54">
        <v>97.078125</v>
      </c>
      <c r="AD10" s="75">
        <v>45762.625</v>
      </c>
      <c r="AE10" s="58">
        <v>80.42</v>
      </c>
      <c r="AF10" s="75">
        <v>45936.625</v>
      </c>
      <c r="AG10" s="54">
        <v>99.59375</v>
      </c>
    </row>
    <row r="11" spans="1:33" ht="15" thickBot="1" x14ac:dyDescent="0.35"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5">
        <v>45763.625</v>
      </c>
      <c r="W11" s="58">
        <v>106.9</v>
      </c>
      <c r="X11" s="75">
        <v>45936.625</v>
      </c>
      <c r="Y11" s="58">
        <v>99.4609375</v>
      </c>
      <c r="Z11" s="75">
        <v>45887.625</v>
      </c>
      <c r="AA11" s="54">
        <v>99.3125</v>
      </c>
      <c r="AB11" s="75">
        <v>45888.625</v>
      </c>
      <c r="AC11" s="54">
        <v>97.640625</v>
      </c>
      <c r="AD11" s="75">
        <v>45763.625</v>
      </c>
      <c r="AE11" s="58">
        <v>80.72</v>
      </c>
      <c r="AF11" s="75">
        <v>45937.625</v>
      </c>
      <c r="AG11" s="54">
        <v>99.8125</v>
      </c>
    </row>
    <row r="12" spans="1:33" ht="15" thickBot="1" x14ac:dyDescent="0.35">
      <c r="A12" s="39" t="s">
        <v>22</v>
      </c>
      <c r="B12" s="153" t="s">
        <v>0</v>
      </c>
      <c r="C12" s="154"/>
      <c r="D12" s="154"/>
      <c r="E12" s="159" t="s">
        <v>1</v>
      </c>
      <c r="F12" s="160"/>
      <c r="G12" s="161"/>
      <c r="H12" s="156" t="s">
        <v>1</v>
      </c>
      <c r="I12" s="167"/>
      <c r="J12" s="158"/>
      <c r="K12" s="168" t="s">
        <v>1</v>
      </c>
      <c r="L12" s="169"/>
      <c r="M12" s="170"/>
      <c r="N12" s="156" t="s">
        <v>1</v>
      </c>
      <c r="O12" s="167"/>
      <c r="P12" s="158"/>
      <c r="Q12" s="165" t="s">
        <v>0</v>
      </c>
      <c r="R12" s="163"/>
      <c r="S12" s="166"/>
      <c r="T12" s="39" t="s">
        <v>16</v>
      </c>
      <c r="V12" s="75">
        <v>45764.625</v>
      </c>
      <c r="W12" s="54">
        <v>106.75</v>
      </c>
      <c r="X12" s="75">
        <v>45937.625</v>
      </c>
      <c r="Y12" s="54">
        <v>99.6171875</v>
      </c>
      <c r="Z12" s="75">
        <v>45888.625</v>
      </c>
      <c r="AA12" s="54">
        <v>99.59375</v>
      </c>
      <c r="AB12" s="75">
        <v>45889.625</v>
      </c>
      <c r="AC12" s="54">
        <v>97.796875</v>
      </c>
      <c r="AD12" s="75">
        <v>45764.625</v>
      </c>
      <c r="AE12" s="54">
        <v>80.739999999999995</v>
      </c>
      <c r="AF12" s="75">
        <v>45938.625</v>
      </c>
      <c r="AG12" s="54">
        <v>99.78125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8" t="s">
        <v>21</v>
      </c>
      <c r="J13" s="22" t="s">
        <v>20</v>
      </c>
      <c r="K13" s="79" t="s">
        <v>17</v>
      </c>
      <c r="L13" s="21" t="s">
        <v>21</v>
      </c>
      <c r="M13" s="80" t="s">
        <v>20</v>
      </c>
      <c r="N13" s="11" t="s">
        <v>17</v>
      </c>
      <c r="O13" s="78" t="s">
        <v>21</v>
      </c>
      <c r="P13" s="22" t="s">
        <v>20</v>
      </c>
      <c r="Q13" s="79" t="s">
        <v>17</v>
      </c>
      <c r="R13" s="21" t="s">
        <v>21</v>
      </c>
      <c r="S13" s="80" t="s">
        <v>20</v>
      </c>
      <c r="T13" s="99"/>
      <c r="V13" s="75">
        <v>45768.625</v>
      </c>
      <c r="W13" s="54">
        <v>105.6</v>
      </c>
      <c r="X13" s="75">
        <v>45938.625</v>
      </c>
      <c r="Y13" s="54">
        <v>99.5625</v>
      </c>
      <c r="Z13" s="75">
        <v>45889.625</v>
      </c>
      <c r="AA13" s="54">
        <v>99.71875</v>
      </c>
      <c r="AB13" s="75">
        <v>45890.625</v>
      </c>
      <c r="AC13" s="54">
        <v>97.328125</v>
      </c>
      <c r="AD13" s="75">
        <v>45768.625</v>
      </c>
      <c r="AE13" s="54">
        <v>80.209999999999994</v>
      </c>
      <c r="AF13" s="75">
        <v>45939.625</v>
      </c>
      <c r="AG13" s="54">
        <v>99.71875</v>
      </c>
    </row>
    <row r="14" spans="1:33" x14ac:dyDescent="0.3">
      <c r="A14" s="36">
        <v>45925</v>
      </c>
      <c r="B14" s="45">
        <v>110.955</v>
      </c>
      <c r="C14" s="46"/>
      <c r="D14" s="46"/>
      <c r="E14" s="107">
        <f>99+12/32+3/8*1/32</f>
        <v>99.38671875</v>
      </c>
      <c r="F14" s="108"/>
      <c r="G14" s="109"/>
      <c r="H14" s="45">
        <f>100+18/32+3/4*1/32</f>
        <v>100.5859375</v>
      </c>
      <c r="I14" s="46"/>
      <c r="J14" s="47"/>
      <c r="K14" s="45">
        <f>99+24/32</f>
        <v>99.75</v>
      </c>
      <c r="L14" s="46"/>
      <c r="M14" s="47"/>
      <c r="N14" s="45">
        <v>83.814999999999998</v>
      </c>
      <c r="O14" s="46"/>
      <c r="P14" s="47"/>
      <c r="Q14" s="45">
        <f>99+18/32+3/4*1/32</f>
        <v>99.5859375</v>
      </c>
      <c r="R14" s="46"/>
      <c r="S14" s="47"/>
      <c r="T14" s="82">
        <v>0</v>
      </c>
      <c r="V14" s="75">
        <v>45769.625</v>
      </c>
      <c r="W14" s="54">
        <v>105.86</v>
      </c>
      <c r="X14" s="75">
        <v>45939.625</v>
      </c>
      <c r="Y14" s="54">
        <v>99.5</v>
      </c>
      <c r="Z14" s="75">
        <v>45890.625</v>
      </c>
      <c r="AA14" s="54">
        <v>99.390625</v>
      </c>
      <c r="AB14" s="75">
        <v>45891.625</v>
      </c>
      <c r="AC14" s="54">
        <v>97.953125</v>
      </c>
      <c r="AD14" s="75">
        <v>45769.625</v>
      </c>
      <c r="AE14" s="54">
        <v>80.33</v>
      </c>
      <c r="AF14" s="75">
        <v>45940.625</v>
      </c>
      <c r="AG14" s="54">
        <v>100.25</v>
      </c>
    </row>
    <row r="15" spans="1:33" x14ac:dyDescent="0.3">
      <c r="A15" s="36">
        <v>45926</v>
      </c>
      <c r="B15" s="45">
        <f>VLOOKUP($A15+$J$1, V$3:W$509, 2)</f>
        <v>111.21</v>
      </c>
      <c r="C15" s="46">
        <f t="shared" ref="C15" si="0">(B15/$B$14-1)*$B$5</f>
        <v>82161.687170472404</v>
      </c>
      <c r="D15" s="46">
        <f t="shared" ref="D15" si="1">-1*(A15-$A$14)/360*$B$7*$B$5</f>
        <v>-4200.625</v>
      </c>
      <c r="E15" s="45">
        <f>VLOOKUP($A15+$J$1, X$3:Y$509, 2)</f>
        <v>99.3671875</v>
      </c>
      <c r="F15" s="46">
        <f t="shared" ref="F15" si="2">(E15-$E$14)/100*$C$5</f>
        <v>-3271.484375</v>
      </c>
      <c r="G15" s="47">
        <f t="shared" ref="G15" si="3">(A15-$A$14)/360*$C$6*$C$5-(A15-$A$14)/360*$C$7*$C$5*$E$14/100</f>
        <v>-269.4229139539932</v>
      </c>
      <c r="H15" s="45">
        <f>VLOOKUP($A15+$J$1, Z$3:AA$509, 2)</f>
        <v>100.5625</v>
      </c>
      <c r="I15" s="46">
        <f>(H15-$H$14)/100*$D$5</f>
        <v>-1757.8125</v>
      </c>
      <c r="J15" s="47">
        <f t="shared" ref="J15" si="4">(A15-$A$14)/360*$D$6*$D$5-(A15-$A$14)/360*$D$7*$D$5*$H$14/100</f>
        <v>-0.99690755208325754</v>
      </c>
      <c r="K15" s="45">
        <f>VLOOKUP($A15+$J$1, AB$3:AC$509, 2)</f>
        <v>99.90625</v>
      </c>
      <c r="L15" s="46">
        <f t="shared" ref="L15:L27" si="5">(K15-$K$14)/100*$E$5</f>
        <v>16406.25</v>
      </c>
      <c r="M15" s="47">
        <f t="shared" ref="M15" si="6">(A15-$A$14)/360*$E$6*$E$5-(A15-$A$14)/360*$E$7*$E$5*$K$14/100</f>
        <v>154.75104166666665</v>
      </c>
      <c r="N15" s="45">
        <f>VLOOKUP($A15+$J$1, AD$3:AE$509, 2)</f>
        <v>83.93</v>
      </c>
      <c r="O15" s="46">
        <f t="shared" ref="O15" si="7">(N15/$N$14-1)*$F$5</f>
        <v>68603.471932238142</v>
      </c>
      <c r="P15" s="47">
        <f t="shared" ref="P15" si="8">-1*(A15-$A$14)/360*$F$7*$F$5</f>
        <v>-5875</v>
      </c>
      <c r="Q15" s="45">
        <f>VLOOKUP($A15+$J$1, AF$3:AG$509, 2)</f>
        <v>99.5</v>
      </c>
      <c r="R15" s="46">
        <f t="shared" ref="R15" si="9">(Q15-$Q$14)/100*$G$5</f>
        <v>-43613.28125</v>
      </c>
      <c r="S15" s="47">
        <f>(A15-$A$14)/360*$G$6*$G$5-(A15-$A$14)/360*$G$7*$G$5*$Q$14/100</f>
        <v>-828.19087999131898</v>
      </c>
      <c r="T15" s="82">
        <f>C15+D15-F15-G15-I15-J15-L15-M15-O15-P15+R15+S15</f>
        <v>-40470.166236917648</v>
      </c>
      <c r="V15" s="75">
        <v>45770.625</v>
      </c>
      <c r="W15" s="54">
        <v>106.33</v>
      </c>
      <c r="X15" s="75">
        <v>45940.625</v>
      </c>
      <c r="Y15" s="54">
        <v>99.890625</v>
      </c>
      <c r="Z15" s="75">
        <v>45891.625</v>
      </c>
      <c r="AA15" s="54">
        <v>99.953125</v>
      </c>
      <c r="AB15" s="75">
        <v>45894.625</v>
      </c>
      <c r="AC15" s="54">
        <v>97.71875</v>
      </c>
      <c r="AD15" s="75">
        <v>45770.625</v>
      </c>
      <c r="AE15" s="54">
        <v>80.5</v>
      </c>
      <c r="AF15" s="75">
        <v>45943.625</v>
      </c>
      <c r="AG15" s="54">
        <v>100.40625</v>
      </c>
    </row>
    <row r="16" spans="1:33" x14ac:dyDescent="0.3">
      <c r="A16" s="36">
        <v>45929</v>
      </c>
      <c r="B16" s="45">
        <f t="shared" ref="B16:B28" si="10">VLOOKUP($A16+$J$1, V$3:W$509, 2)</f>
        <v>111.58</v>
      </c>
      <c r="C16" s="46">
        <f t="shared" ref="C16:C27" si="11">(B16/$B$14-1)*$B$5</f>
        <v>201376.68424135796</v>
      </c>
      <c r="D16" s="46">
        <f t="shared" ref="D16:D27" si="12">-1*(A16-$A$14)/360*$B$7*$B$5</f>
        <v>-16802.5</v>
      </c>
      <c r="E16" s="45">
        <f t="shared" ref="E16:E28" si="13">VLOOKUP($A16+$J$1, X$3:Y$509, 2)</f>
        <v>99.484375</v>
      </c>
      <c r="F16" s="46">
        <f t="shared" ref="F16:F27" si="14">(E16-$E$14)/100*$C$5</f>
        <v>16357.421875</v>
      </c>
      <c r="G16" s="47">
        <f t="shared" ref="G16:G27" si="15">(A16-$A$14)/360*$C$6*$C$5-(A16-$A$14)/360*$C$7*$C$5*$E$14/100</f>
        <v>-1077.6916558159728</v>
      </c>
      <c r="H16" s="45">
        <f t="shared" ref="H16:H28" si="16">VLOOKUP($A16+$J$1, Z$3:AA$509, 2)</f>
        <v>100.875</v>
      </c>
      <c r="I16" s="46">
        <f t="shared" ref="I16:I27" si="17">(H16-$H$14)/100*$D$5</f>
        <v>21679.6875</v>
      </c>
      <c r="J16" s="47">
        <f t="shared" ref="J16:J27" si="18">(A16-$A$14)/360*$D$6*$D$5-(A16-$A$14)/360*$D$7*$D$5*$H$14/100</f>
        <v>-3.9876302083330302</v>
      </c>
      <c r="K16" s="45">
        <f t="shared" ref="K16:K28" si="19">VLOOKUP($A16+$J$1, AB$3:AC$509, 2)</f>
        <v>100.65625</v>
      </c>
      <c r="L16" s="46">
        <f t="shared" si="5"/>
        <v>95156.25</v>
      </c>
      <c r="M16" s="47">
        <f t="shared" ref="M16:M27" si="20">(A16-$A$14)/360*$E$6*$E$5-(A16-$A$14)/360*$E$7*$E$5*$K$14/100</f>
        <v>619.00416666666661</v>
      </c>
      <c r="N16" s="45">
        <f t="shared" ref="N16:N28" si="21">VLOOKUP($A16+$J$1, AD$3:AE$509, 2)</f>
        <v>84.11</v>
      </c>
      <c r="O16" s="46">
        <f t="shared" ref="O16:O27" si="22">(N16/$N$14-1)*$F$5</f>
        <v>175982.81930442105</v>
      </c>
      <c r="P16" s="47">
        <f t="shared" ref="P16:P27" si="23">-1*(A16-$A$14)/360*$F$7*$F$5</f>
        <v>-23500</v>
      </c>
      <c r="Q16" s="45">
        <f t="shared" ref="Q16:Q28" si="24">VLOOKUP($A16+$J$1, AF$3:AG$509, 2)</f>
        <v>99.703125</v>
      </c>
      <c r="R16" s="46">
        <f t="shared" ref="R16:R27" si="25">(Q16-$Q$14)/100*$G$5</f>
        <v>59472.65625</v>
      </c>
      <c r="S16" s="47">
        <f t="shared" ref="S16:S27" si="26">(A16-$A$14)/360*$G$6*$G$5-(A16-$A$14)/360*$G$7*$G$5*$Q$14/100</f>
        <v>-3312.7635199652759</v>
      </c>
      <c r="T16" s="82">
        <f t="shared" ref="T16:T17" si="27">C16+D16-F16-G16-I16-J16-L16-M16-O16-P16+R16+S16</f>
        <v>-44479.4265886707</v>
      </c>
      <c r="V16" s="75">
        <v>45771.625</v>
      </c>
      <c r="W16" s="54">
        <v>107.38</v>
      </c>
      <c r="X16" s="75">
        <v>45943.625</v>
      </c>
      <c r="Y16" s="54">
        <v>100</v>
      </c>
      <c r="Z16" s="75">
        <v>45894.625</v>
      </c>
      <c r="AA16" s="54">
        <v>99.765625</v>
      </c>
      <c r="AB16" s="75">
        <v>45895.625</v>
      </c>
      <c r="AC16" s="54">
        <v>97.59375</v>
      </c>
      <c r="AD16" s="75">
        <v>45771.625</v>
      </c>
      <c r="AE16" s="54">
        <v>81.14</v>
      </c>
      <c r="AF16" s="75">
        <v>45944.625</v>
      </c>
      <c r="AG16" s="54">
        <v>100.53125</v>
      </c>
    </row>
    <row r="17" spans="1:33" x14ac:dyDescent="0.3">
      <c r="A17" s="36">
        <v>45930</v>
      </c>
      <c r="B17" s="45">
        <f t="shared" si="10"/>
        <v>111.47</v>
      </c>
      <c r="C17" s="46">
        <f t="shared" si="11"/>
        <v>165934.38781487718</v>
      </c>
      <c r="D17" s="46">
        <f t="shared" si="12"/>
        <v>-21003.124999999996</v>
      </c>
      <c r="E17" s="45">
        <f t="shared" si="13"/>
        <v>99.5</v>
      </c>
      <c r="F17" s="46">
        <f t="shared" si="14"/>
        <v>18974.609375</v>
      </c>
      <c r="G17" s="47">
        <f t="shared" si="15"/>
        <v>-1347.1145697699631</v>
      </c>
      <c r="H17" s="45">
        <f t="shared" si="16"/>
        <v>100.828125</v>
      </c>
      <c r="I17" s="46">
        <f t="shared" si="17"/>
        <v>18164.0625</v>
      </c>
      <c r="J17" s="47">
        <f t="shared" si="18"/>
        <v>-4.9845377604160603</v>
      </c>
      <c r="K17" s="45">
        <f t="shared" si="19"/>
        <v>100.390625</v>
      </c>
      <c r="L17" s="46">
        <f t="shared" si="5"/>
        <v>67265.625</v>
      </c>
      <c r="M17" s="47">
        <f t="shared" si="20"/>
        <v>773.75520833333485</v>
      </c>
      <c r="N17" s="45">
        <f t="shared" si="21"/>
        <v>84.11</v>
      </c>
      <c r="O17" s="46">
        <f t="shared" si="22"/>
        <v>175982.81930442105</v>
      </c>
      <c r="P17" s="47">
        <f t="shared" si="23"/>
        <v>-29374.999999999996</v>
      </c>
      <c r="Q17" s="45">
        <f t="shared" si="24"/>
        <v>99.6875</v>
      </c>
      <c r="R17" s="46">
        <f t="shared" si="25"/>
        <v>51542.96875</v>
      </c>
      <c r="S17" s="47">
        <f t="shared" si="26"/>
        <v>-4140.954399956594</v>
      </c>
      <c r="T17" s="82">
        <f t="shared" si="27"/>
        <v>-58100.495115303405</v>
      </c>
      <c r="V17" s="75">
        <v>45772.625</v>
      </c>
      <c r="W17" s="54">
        <v>107.99</v>
      </c>
      <c r="X17" s="75">
        <v>45944.625</v>
      </c>
      <c r="Y17" s="54">
        <v>100.125</v>
      </c>
      <c r="Z17" s="75">
        <v>45895.625</v>
      </c>
      <c r="AA17" s="54">
        <v>99.984375</v>
      </c>
      <c r="AB17" s="75">
        <v>45896.625</v>
      </c>
      <c r="AC17" s="54">
        <v>97.453125</v>
      </c>
      <c r="AD17" s="75">
        <v>45772.625</v>
      </c>
      <c r="AE17" s="54">
        <v>81.489999999999995</v>
      </c>
      <c r="AF17" s="75">
        <v>45945.625</v>
      </c>
      <c r="AG17" s="54">
        <v>100.40625</v>
      </c>
    </row>
    <row r="18" spans="1:33" x14ac:dyDescent="0.3">
      <c r="A18" s="36">
        <v>45931</v>
      </c>
      <c r="B18" s="45">
        <f t="shared" si="10"/>
        <v>111.51</v>
      </c>
      <c r="C18" s="46">
        <f t="shared" si="11"/>
        <v>178822.49560632836</v>
      </c>
      <c r="D18" s="46">
        <f t="shared" si="12"/>
        <v>-25203.749999999996</v>
      </c>
      <c r="E18" s="45">
        <f t="shared" si="13"/>
        <v>99.7578125</v>
      </c>
      <c r="F18" s="46">
        <f t="shared" si="14"/>
        <v>62158.203125</v>
      </c>
      <c r="G18" s="47">
        <f t="shared" si="15"/>
        <v>-1616.537483723956</v>
      </c>
      <c r="H18" s="45">
        <f t="shared" si="16"/>
        <v>101.171875</v>
      </c>
      <c r="I18" s="46">
        <f t="shared" si="17"/>
        <v>43945.3125</v>
      </c>
      <c r="J18" s="47">
        <f t="shared" si="18"/>
        <v>-5.9814453124990905</v>
      </c>
      <c r="K18" s="45">
        <f t="shared" si="19"/>
        <v>100.578125</v>
      </c>
      <c r="L18" s="46">
        <f t="shared" si="5"/>
        <v>86953.125</v>
      </c>
      <c r="M18" s="47">
        <f t="shared" si="20"/>
        <v>928.50625000000127</v>
      </c>
      <c r="N18" s="45">
        <f t="shared" si="21"/>
        <v>84.07</v>
      </c>
      <c r="O18" s="46">
        <f t="shared" si="22"/>
        <v>152120.74211059522</v>
      </c>
      <c r="P18" s="47">
        <f t="shared" si="23"/>
        <v>-35249.999999999993</v>
      </c>
      <c r="Q18" s="45">
        <f t="shared" si="24"/>
        <v>100</v>
      </c>
      <c r="R18" s="46">
        <f t="shared" si="25"/>
        <v>210136.71875</v>
      </c>
      <c r="S18" s="47">
        <f t="shared" si="26"/>
        <v>-4969.1452799479157</v>
      </c>
      <c r="T18" s="82">
        <f t="shared" ref="T18:T28" si="28">C18+D18-F18-G18-I18-J18-L18-M18-O18-P18+R18+S18+$J$9</f>
        <v>-12819.87524747751</v>
      </c>
      <c r="V18" s="75">
        <v>45775.625</v>
      </c>
      <c r="W18" s="54">
        <v>108.24</v>
      </c>
      <c r="X18" s="75">
        <v>45945.625</v>
      </c>
      <c r="Y18" s="54">
        <v>100.015625</v>
      </c>
      <c r="Z18" s="75">
        <v>45896.625</v>
      </c>
      <c r="AA18" s="54">
        <v>100.125</v>
      </c>
      <c r="AB18" s="75">
        <v>45897.625</v>
      </c>
      <c r="AC18" s="54">
        <v>98.078125</v>
      </c>
      <c r="AD18" s="75">
        <v>45775.625</v>
      </c>
      <c r="AE18" s="54">
        <v>81.680000000000007</v>
      </c>
      <c r="AF18" s="75">
        <v>45946.625</v>
      </c>
      <c r="AG18" s="54">
        <v>100.84375</v>
      </c>
    </row>
    <row r="19" spans="1:33" x14ac:dyDescent="0.3">
      <c r="A19" s="36">
        <v>45932</v>
      </c>
      <c r="B19" s="45">
        <f t="shared" si="10"/>
        <v>111.69</v>
      </c>
      <c r="C19" s="46">
        <f t="shared" si="11"/>
        <v>236818.98066783874</v>
      </c>
      <c r="D19" s="46">
        <f t="shared" si="12"/>
        <v>-29404.375</v>
      </c>
      <c r="E19" s="45">
        <f t="shared" si="13"/>
        <v>99.78125</v>
      </c>
      <c r="F19" s="46">
        <f t="shared" si="14"/>
        <v>66083.984375</v>
      </c>
      <c r="G19" s="47">
        <f t="shared" si="15"/>
        <v>-1885.9603976779508</v>
      </c>
      <c r="H19" s="45">
        <f t="shared" si="16"/>
        <v>101.3125</v>
      </c>
      <c r="I19" s="46">
        <f t="shared" si="17"/>
        <v>54492.1875</v>
      </c>
      <c r="J19" s="47">
        <f t="shared" si="18"/>
        <v>-6.9783528645830302</v>
      </c>
      <c r="K19" s="45">
        <f t="shared" si="19"/>
        <v>100.875</v>
      </c>
      <c r="L19" s="46">
        <f t="shared" si="5"/>
        <v>118125</v>
      </c>
      <c r="M19" s="47">
        <f t="shared" si="20"/>
        <v>1083.2572916666686</v>
      </c>
      <c r="N19" s="45">
        <f t="shared" si="21"/>
        <v>84.16</v>
      </c>
      <c r="O19" s="46">
        <f t="shared" si="22"/>
        <v>205810.41579669225</v>
      </c>
      <c r="P19" s="47">
        <f t="shared" si="23"/>
        <v>-41125</v>
      </c>
      <c r="Q19" s="45">
        <f t="shared" si="24"/>
        <v>100.078125</v>
      </c>
      <c r="R19" s="46">
        <f t="shared" si="25"/>
        <v>249785.15625</v>
      </c>
      <c r="S19" s="47">
        <f t="shared" si="26"/>
        <v>-5797.3361599392374</v>
      </c>
      <c r="T19" s="82">
        <f t="shared" si="28"/>
        <v>-13547.304722216068</v>
      </c>
      <c r="V19" s="75">
        <v>45776.625</v>
      </c>
      <c r="W19" s="54">
        <v>108.49</v>
      </c>
      <c r="X19" s="75">
        <v>45946.625</v>
      </c>
      <c r="Y19" s="54">
        <v>100.359375</v>
      </c>
      <c r="Z19" s="75">
        <v>45897.625</v>
      </c>
      <c r="AA19" s="54">
        <v>100.375</v>
      </c>
      <c r="AB19" s="75">
        <v>45898.625</v>
      </c>
      <c r="AC19" s="54">
        <v>97.34375</v>
      </c>
      <c r="AD19" s="75">
        <v>45776.625</v>
      </c>
      <c r="AE19" s="54">
        <v>81.83</v>
      </c>
    </row>
    <row r="20" spans="1:33" x14ac:dyDescent="0.3">
      <c r="A20" s="36">
        <v>45933</v>
      </c>
      <c r="B20" s="45">
        <f t="shared" si="10"/>
        <v>111.55</v>
      </c>
      <c r="C20" s="46">
        <f t="shared" si="11"/>
        <v>191710.60339777157</v>
      </c>
      <c r="D20" s="46">
        <f t="shared" si="12"/>
        <v>-33605</v>
      </c>
      <c r="E20" s="45">
        <f t="shared" si="13"/>
        <v>99.59375</v>
      </c>
      <c r="F20" s="46">
        <f t="shared" si="14"/>
        <v>34677.734375</v>
      </c>
      <c r="G20" s="47">
        <f t="shared" si="15"/>
        <v>-2155.3833116319456</v>
      </c>
      <c r="H20" s="45">
        <f t="shared" si="16"/>
        <v>101.046875</v>
      </c>
      <c r="I20" s="46">
        <f t="shared" si="17"/>
        <v>34570.3125</v>
      </c>
      <c r="J20" s="47">
        <f t="shared" si="18"/>
        <v>-7.9752604166660603</v>
      </c>
      <c r="K20" s="45">
        <f t="shared" si="19"/>
        <v>100.609375</v>
      </c>
      <c r="L20" s="46">
        <f t="shared" si="5"/>
        <v>90234.375000000015</v>
      </c>
      <c r="M20" s="47">
        <f t="shared" si="20"/>
        <v>1238.0083333333332</v>
      </c>
      <c r="N20" s="45">
        <f t="shared" si="21"/>
        <v>84.06</v>
      </c>
      <c r="O20" s="46">
        <f t="shared" si="22"/>
        <v>146155.22281214988</v>
      </c>
      <c r="P20" s="47">
        <f t="shared" si="23"/>
        <v>-47000</v>
      </c>
      <c r="Q20" s="45">
        <f t="shared" si="24"/>
        <v>99.828125</v>
      </c>
      <c r="R20" s="46">
        <f t="shared" si="25"/>
        <v>122910.15625</v>
      </c>
      <c r="S20" s="47">
        <f t="shared" si="26"/>
        <v>-6625.5270399305518</v>
      </c>
      <c r="T20" s="82">
        <f t="shared" si="28"/>
        <v>-45694.886107892766</v>
      </c>
      <c r="V20" s="75">
        <v>45777.625</v>
      </c>
      <c r="W20" s="54">
        <v>108</v>
      </c>
      <c r="Z20" s="75">
        <v>45898.625</v>
      </c>
      <c r="AA20" s="54">
        <v>100.21875</v>
      </c>
      <c r="AB20" s="75">
        <v>45901.625</v>
      </c>
      <c r="AC20" s="54">
        <v>97.234375</v>
      </c>
      <c r="AD20" s="75">
        <v>45777.625</v>
      </c>
      <c r="AE20" s="54">
        <v>81.78</v>
      </c>
    </row>
    <row r="21" spans="1:33" x14ac:dyDescent="0.3">
      <c r="A21" s="36">
        <v>45936</v>
      </c>
      <c r="B21" s="45">
        <f t="shared" si="10"/>
        <v>111.19</v>
      </c>
      <c r="C21" s="46">
        <f t="shared" si="11"/>
        <v>75717.633274750784</v>
      </c>
      <c r="D21" s="46">
        <f t="shared" si="12"/>
        <v>-46206.874999999993</v>
      </c>
      <c r="E21" s="45">
        <f t="shared" si="13"/>
        <v>99.4609375</v>
      </c>
      <c r="F21" s="46">
        <f t="shared" si="14"/>
        <v>12431.640625</v>
      </c>
      <c r="G21" s="47">
        <f t="shared" si="15"/>
        <v>-2963.6520534939227</v>
      </c>
      <c r="H21" s="45">
        <f t="shared" si="16"/>
        <v>100.6875</v>
      </c>
      <c r="I21" s="46">
        <f t="shared" si="17"/>
        <v>7617.1875</v>
      </c>
      <c r="J21" s="47">
        <f t="shared" si="18"/>
        <v>-10.96598307291606</v>
      </c>
      <c r="K21" s="45">
        <f t="shared" si="19"/>
        <v>99.859375</v>
      </c>
      <c r="L21" s="46">
        <f t="shared" si="5"/>
        <v>11484.375000000002</v>
      </c>
      <c r="M21" s="47">
        <f t="shared" si="20"/>
        <v>1702.2614583333343</v>
      </c>
      <c r="N21" s="45">
        <f t="shared" si="21"/>
        <v>83.89</v>
      </c>
      <c r="O21" s="46">
        <f t="shared" si="22"/>
        <v>44741.394738412324</v>
      </c>
      <c r="P21" s="47">
        <f t="shared" si="23"/>
        <v>-64624.999999999993</v>
      </c>
      <c r="Q21" s="45">
        <f t="shared" si="24"/>
        <v>99.59375</v>
      </c>
      <c r="R21" s="46">
        <f t="shared" si="25"/>
        <v>3964.84375</v>
      </c>
      <c r="S21" s="47">
        <f t="shared" si="26"/>
        <v>-9110.0996799045024</v>
      </c>
      <c r="T21" s="82">
        <f t="shared" si="28"/>
        <v>-48384.563207631712</v>
      </c>
      <c r="V21" s="75">
        <v>45778.625</v>
      </c>
      <c r="W21" s="54">
        <v>107.17</v>
      </c>
      <c r="Z21" s="75">
        <v>45901.625</v>
      </c>
      <c r="AA21" s="54">
        <v>100.171875</v>
      </c>
      <c r="AB21" s="75">
        <v>45902.625</v>
      </c>
      <c r="AC21" s="54">
        <v>96.65625</v>
      </c>
      <c r="AD21" s="75">
        <v>45778.625</v>
      </c>
      <c r="AE21" s="54">
        <v>81.17</v>
      </c>
    </row>
    <row r="22" spans="1:33" x14ac:dyDescent="0.3">
      <c r="A22" s="36">
        <v>45937</v>
      </c>
      <c r="B22" s="45">
        <f t="shared" si="10"/>
        <v>111.4</v>
      </c>
      <c r="C22" s="46">
        <f t="shared" si="11"/>
        <v>143380.19917984758</v>
      </c>
      <c r="D22" s="46">
        <f t="shared" si="12"/>
        <v>-50407.499999999993</v>
      </c>
      <c r="E22" s="45">
        <f t="shared" si="13"/>
        <v>99.6171875</v>
      </c>
      <c r="F22" s="46">
        <f t="shared" si="14"/>
        <v>38603.515625</v>
      </c>
      <c r="G22" s="47">
        <f t="shared" si="15"/>
        <v>-3233.0749674479121</v>
      </c>
      <c r="H22" s="45">
        <f t="shared" si="16"/>
        <v>100.96875</v>
      </c>
      <c r="I22" s="46">
        <f t="shared" si="17"/>
        <v>28710.9375</v>
      </c>
      <c r="J22" s="47">
        <f t="shared" si="18"/>
        <v>-11.962890624998181</v>
      </c>
      <c r="K22" s="45">
        <f t="shared" si="19"/>
        <v>100.390625</v>
      </c>
      <c r="L22" s="46">
        <f t="shared" si="5"/>
        <v>67265.625</v>
      </c>
      <c r="M22" s="47">
        <f t="shared" si="20"/>
        <v>1857.0125000000025</v>
      </c>
      <c r="N22" s="45">
        <f t="shared" si="21"/>
        <v>84</v>
      </c>
      <c r="O22" s="46">
        <f t="shared" si="22"/>
        <v>110362.10702142224</v>
      </c>
      <c r="P22" s="47">
        <f t="shared" si="23"/>
        <v>-70499.999999999985</v>
      </c>
      <c r="Q22" s="45">
        <f t="shared" si="24"/>
        <v>99.8125</v>
      </c>
      <c r="R22" s="46">
        <f t="shared" si="25"/>
        <v>114980.46874999999</v>
      </c>
      <c r="S22" s="47">
        <f t="shared" si="26"/>
        <v>-9938.2905598958314</v>
      </c>
      <c r="T22" s="82">
        <f t="shared" si="28"/>
        <v>-37412.106685696781</v>
      </c>
      <c r="V22" s="75">
        <v>45779.625</v>
      </c>
      <c r="W22" s="54">
        <v>106.91</v>
      </c>
      <c r="Z22" s="75">
        <v>45902.625</v>
      </c>
      <c r="AA22" s="54">
        <v>99.859375</v>
      </c>
      <c r="AB22" s="75">
        <v>45903.625</v>
      </c>
      <c r="AC22" s="54">
        <v>97.671875</v>
      </c>
      <c r="AD22" s="75">
        <v>45779.625</v>
      </c>
      <c r="AE22" s="54">
        <v>80.954999999999998</v>
      </c>
    </row>
    <row r="23" spans="1:33" x14ac:dyDescent="0.3">
      <c r="A23" s="36">
        <v>45938</v>
      </c>
      <c r="B23" s="45">
        <f t="shared" si="10"/>
        <v>111.26</v>
      </c>
      <c r="C23" s="46">
        <f t="shared" si="11"/>
        <v>98271.821909788341</v>
      </c>
      <c r="D23" s="46">
        <f t="shared" si="12"/>
        <v>-54608.124999999993</v>
      </c>
      <c r="E23" s="45">
        <f t="shared" si="13"/>
        <v>99.5625</v>
      </c>
      <c r="F23" s="46">
        <f t="shared" si="14"/>
        <v>29443.359375</v>
      </c>
      <c r="G23" s="47">
        <f t="shared" si="15"/>
        <v>-3502.497881401905</v>
      </c>
      <c r="H23" s="45">
        <f t="shared" si="16"/>
        <v>100.953125</v>
      </c>
      <c r="I23" s="46">
        <f t="shared" si="17"/>
        <v>27539.0625</v>
      </c>
      <c r="J23" s="47">
        <f t="shared" si="18"/>
        <v>-12.959798177082121</v>
      </c>
      <c r="K23" s="45">
        <f t="shared" si="19"/>
        <v>100.4375</v>
      </c>
      <c r="L23" s="46">
        <f t="shared" si="5"/>
        <v>72187.5</v>
      </c>
      <c r="M23" s="47">
        <f t="shared" si="20"/>
        <v>2011.7635416666672</v>
      </c>
      <c r="N23" s="45">
        <f t="shared" si="21"/>
        <v>83.91</v>
      </c>
      <c r="O23" s="46">
        <f t="shared" si="22"/>
        <v>56672.433335325237</v>
      </c>
      <c r="P23" s="47">
        <f t="shared" si="23"/>
        <v>-76374.999999999985</v>
      </c>
      <c r="Q23" s="45">
        <f t="shared" si="24"/>
        <v>99.78125</v>
      </c>
      <c r="R23" s="46">
        <f t="shared" si="25"/>
        <v>99121.09375</v>
      </c>
      <c r="S23" s="47">
        <f t="shared" si="26"/>
        <v>-10766.481439887139</v>
      </c>
      <c r="T23" s="82">
        <f t="shared" si="28"/>
        <v>-38318.176119810916</v>
      </c>
      <c r="V23" s="75">
        <v>45782.625</v>
      </c>
      <c r="W23" s="54">
        <v>106.76</v>
      </c>
      <c r="Z23" s="75">
        <v>45903.625</v>
      </c>
      <c r="AA23" s="54">
        <v>100.234375</v>
      </c>
      <c r="AB23" s="75">
        <v>45904.625</v>
      </c>
      <c r="AC23" s="54">
        <v>98.296875</v>
      </c>
      <c r="AD23" s="75">
        <v>45782.625</v>
      </c>
      <c r="AE23" s="54">
        <v>80.91</v>
      </c>
    </row>
    <row r="24" spans="1:33" x14ac:dyDescent="0.3">
      <c r="A24" s="36">
        <v>45939</v>
      </c>
      <c r="B24" s="45">
        <f t="shared" si="10"/>
        <v>111.04</v>
      </c>
      <c r="C24" s="46">
        <f t="shared" si="11"/>
        <v>27387.229056826778</v>
      </c>
      <c r="D24" s="46">
        <f t="shared" si="12"/>
        <v>-58808.75</v>
      </c>
      <c r="E24" s="45">
        <f t="shared" si="13"/>
        <v>99.5</v>
      </c>
      <c r="F24" s="46">
        <f t="shared" si="14"/>
        <v>18974.609375</v>
      </c>
      <c r="G24" s="47">
        <f t="shared" si="15"/>
        <v>-3771.9207953559016</v>
      </c>
      <c r="H24" s="45">
        <f t="shared" si="16"/>
        <v>100.875</v>
      </c>
      <c r="I24" s="46">
        <f t="shared" si="17"/>
        <v>21679.6875</v>
      </c>
      <c r="J24" s="47">
        <f t="shared" si="18"/>
        <v>-13.95670572916606</v>
      </c>
      <c r="K24" s="45">
        <f t="shared" si="19"/>
        <v>100.390625</v>
      </c>
      <c r="L24" s="46">
        <f t="shared" si="5"/>
        <v>67265.625</v>
      </c>
      <c r="M24" s="47">
        <f t="shared" si="20"/>
        <v>2166.5145833333372</v>
      </c>
      <c r="N24" s="45">
        <f t="shared" si="21"/>
        <v>83.78</v>
      </c>
      <c r="O24" s="46">
        <f t="shared" si="22"/>
        <v>-20879.317544592046</v>
      </c>
      <c r="P24" s="47">
        <f t="shared" si="23"/>
        <v>-82250</v>
      </c>
      <c r="Q24" s="45">
        <f t="shared" si="24"/>
        <v>99.71875</v>
      </c>
      <c r="R24" s="46">
        <f t="shared" si="25"/>
        <v>67402.34375</v>
      </c>
      <c r="S24" s="47">
        <f t="shared" si="26"/>
        <v>-11594.672319878475</v>
      </c>
      <c r="T24" s="82">
        <f t="shared" si="28"/>
        <v>-41157.915193007095</v>
      </c>
      <c r="V24" s="75">
        <v>45783.625</v>
      </c>
      <c r="W24" s="54">
        <v>106.97</v>
      </c>
      <c r="Z24" s="75">
        <v>45904.625</v>
      </c>
      <c r="AA24" s="54">
        <v>100.71875</v>
      </c>
      <c r="AB24" s="75">
        <v>45905.625</v>
      </c>
      <c r="AC24" s="54">
        <v>99.6875</v>
      </c>
      <c r="AD24" s="75">
        <v>45783.625</v>
      </c>
      <c r="AE24" s="54">
        <v>81.040000000000006</v>
      </c>
    </row>
    <row r="25" spans="1:33" x14ac:dyDescent="0.3">
      <c r="A25" s="36">
        <v>45940</v>
      </c>
      <c r="B25" s="45">
        <f t="shared" si="10"/>
        <v>111.36</v>
      </c>
      <c r="C25" s="46">
        <f t="shared" si="11"/>
        <v>130492.09138840434</v>
      </c>
      <c r="D25" s="46">
        <f t="shared" si="12"/>
        <v>-63009.374999999993</v>
      </c>
      <c r="E25" s="45">
        <f t="shared" si="13"/>
        <v>99.890625</v>
      </c>
      <c r="F25" s="46">
        <f t="shared" si="14"/>
        <v>84404.296875</v>
      </c>
      <c r="G25" s="47">
        <f t="shared" si="15"/>
        <v>-4041.3437093098946</v>
      </c>
      <c r="H25" s="45">
        <f t="shared" si="16"/>
        <v>101.578125</v>
      </c>
      <c r="I25" s="46">
        <f t="shared" si="17"/>
        <v>74414.0625</v>
      </c>
      <c r="J25" s="47">
        <f t="shared" si="18"/>
        <v>-14.953613281246362</v>
      </c>
      <c r="K25" s="45">
        <f t="shared" si="19"/>
        <v>101.875</v>
      </c>
      <c r="L25" s="46">
        <f t="shared" si="5"/>
        <v>223125.00000000003</v>
      </c>
      <c r="M25" s="47">
        <f t="shared" si="20"/>
        <v>2321.265625</v>
      </c>
      <c r="N25" s="45">
        <f t="shared" si="21"/>
        <v>83.94</v>
      </c>
      <c r="O25" s="46">
        <f t="shared" si="22"/>
        <v>74568.991230683503</v>
      </c>
      <c r="P25" s="47">
        <f t="shared" si="23"/>
        <v>-88124.999999999985</v>
      </c>
      <c r="Q25" s="45">
        <f t="shared" si="24"/>
        <v>100.25</v>
      </c>
      <c r="R25" s="46">
        <f t="shared" si="25"/>
        <v>337011.71875</v>
      </c>
      <c r="S25" s="47">
        <f t="shared" si="26"/>
        <v>-12422.863199869797</v>
      </c>
      <c r="T25" s="82">
        <f t="shared" si="28"/>
        <v>-36953.571236857053</v>
      </c>
      <c r="V25" s="75">
        <v>45784.625</v>
      </c>
      <c r="W25" s="54">
        <v>107.19</v>
      </c>
      <c r="Z25" s="75">
        <v>45905.625</v>
      </c>
      <c r="AA25" s="54">
        <v>101.3125</v>
      </c>
      <c r="AB25" s="75">
        <v>45908.625</v>
      </c>
      <c r="AC25" s="54">
        <v>101</v>
      </c>
      <c r="AD25" s="75">
        <v>45784.625</v>
      </c>
      <c r="AE25" s="54">
        <v>81.209999999999994</v>
      </c>
    </row>
    <row r="26" spans="1:33" x14ac:dyDescent="0.3">
      <c r="A26" s="36">
        <v>45943</v>
      </c>
      <c r="B26" s="45">
        <f t="shared" si="10"/>
        <v>111.73</v>
      </c>
      <c r="C26" s="46">
        <f t="shared" si="11"/>
        <v>249707.08845928989</v>
      </c>
      <c r="D26" s="46">
        <f t="shared" si="12"/>
        <v>-75611.25</v>
      </c>
      <c r="E26" s="45">
        <f t="shared" si="13"/>
        <v>100</v>
      </c>
      <c r="F26" s="46">
        <f t="shared" si="14"/>
        <v>102724.609375</v>
      </c>
      <c r="G26" s="47">
        <f t="shared" si="15"/>
        <v>-4849.6124511718772</v>
      </c>
      <c r="H26" s="45">
        <f t="shared" si="16"/>
        <v>101.75</v>
      </c>
      <c r="I26" s="46">
        <f t="shared" si="17"/>
        <v>87304.6875</v>
      </c>
      <c r="J26" s="47">
        <f t="shared" si="18"/>
        <v>-17.9443359375</v>
      </c>
      <c r="K26" s="45">
        <f t="shared" si="19"/>
        <v>102.109375</v>
      </c>
      <c r="L26" s="46">
        <f t="shared" si="5"/>
        <v>247734.375</v>
      </c>
      <c r="M26" s="47">
        <f t="shared" si="20"/>
        <v>2785.5187500000029</v>
      </c>
      <c r="N26" s="45">
        <f t="shared" si="21"/>
        <v>84.18</v>
      </c>
      <c r="O26" s="46">
        <f t="shared" si="22"/>
        <v>217741.45439360515</v>
      </c>
      <c r="P26" s="47">
        <f t="shared" si="23"/>
        <v>-105750</v>
      </c>
      <c r="Q26" s="45">
        <f t="shared" si="24"/>
        <v>100.40625</v>
      </c>
      <c r="R26" s="46">
        <f t="shared" si="25"/>
        <v>416308.59375</v>
      </c>
      <c r="S26" s="47">
        <f t="shared" si="26"/>
        <v>-14907.435839843747</v>
      </c>
      <c r="T26" s="82">
        <f t="shared" si="28"/>
        <v>-34548.916129348756</v>
      </c>
      <c r="V26" s="75">
        <v>45785.625</v>
      </c>
      <c r="W26" s="54">
        <v>106.65</v>
      </c>
      <c r="Z26" s="75">
        <v>45908.625</v>
      </c>
      <c r="AA26" s="54">
        <v>101.6875</v>
      </c>
      <c r="AB26" s="75">
        <v>45909.625</v>
      </c>
      <c r="AC26" s="54">
        <v>100.4375</v>
      </c>
      <c r="AD26" s="75">
        <v>45785.625</v>
      </c>
      <c r="AE26" s="54">
        <v>80.88</v>
      </c>
    </row>
    <row r="27" spans="1:33" x14ac:dyDescent="0.3">
      <c r="A27" s="36">
        <v>45944</v>
      </c>
      <c r="B27" s="45">
        <f t="shared" si="10"/>
        <v>112.1</v>
      </c>
      <c r="C27" s="46">
        <f t="shared" si="11"/>
        <v>368922.0855301675</v>
      </c>
      <c r="D27" s="46">
        <f t="shared" si="12"/>
        <v>-79811.874999999985</v>
      </c>
      <c r="E27" s="45">
        <f t="shared" si="13"/>
        <v>100.125</v>
      </c>
      <c r="F27" s="46">
        <f t="shared" si="14"/>
        <v>123662.109375</v>
      </c>
      <c r="G27" s="47">
        <f t="shared" si="15"/>
        <v>-5119.0353651258592</v>
      </c>
      <c r="H27" s="45">
        <f t="shared" si="16"/>
        <v>101.859375</v>
      </c>
      <c r="I27" s="46">
        <f t="shared" si="17"/>
        <v>95507.8125</v>
      </c>
      <c r="J27" s="47">
        <f t="shared" si="18"/>
        <v>-18.941243489578483</v>
      </c>
      <c r="K27" s="45">
        <f t="shared" si="19"/>
        <v>102.140625</v>
      </c>
      <c r="L27" s="46">
        <f t="shared" si="5"/>
        <v>251015.625</v>
      </c>
      <c r="M27" s="47">
        <f t="shared" si="20"/>
        <v>2940.269791666673</v>
      </c>
      <c r="N27" s="45">
        <f t="shared" si="21"/>
        <v>84.33</v>
      </c>
      <c r="O27" s="46">
        <f t="shared" si="22"/>
        <v>307224.24387042981</v>
      </c>
      <c r="P27" s="47">
        <f t="shared" si="23"/>
        <v>-111624.99999999999</v>
      </c>
      <c r="Q27" s="45">
        <f t="shared" si="24"/>
        <v>100.53125</v>
      </c>
      <c r="R27" s="46">
        <f t="shared" si="25"/>
        <v>479746.09375</v>
      </c>
      <c r="S27" s="47">
        <f t="shared" si="26"/>
        <v>-15735.626719835054</v>
      </c>
      <c r="T27" s="82">
        <f t="shared" si="28"/>
        <v>27160.769364552238</v>
      </c>
      <c r="V27" s="75">
        <v>45786.625</v>
      </c>
      <c r="W27" s="54">
        <v>106.61</v>
      </c>
      <c r="Z27" s="75">
        <v>45909.625</v>
      </c>
      <c r="AA27" s="54">
        <v>101.390625</v>
      </c>
      <c r="AB27" s="75">
        <v>45910.625</v>
      </c>
      <c r="AC27" s="54">
        <v>100.953125</v>
      </c>
      <c r="AD27" s="75">
        <v>45786.625</v>
      </c>
      <c r="AE27" s="54">
        <v>80.87</v>
      </c>
    </row>
    <row r="28" spans="1:33" x14ac:dyDescent="0.3">
      <c r="A28" s="36">
        <v>45945</v>
      </c>
      <c r="B28" s="45">
        <f t="shared" si="10"/>
        <v>112.1</v>
      </c>
      <c r="C28" s="46">
        <f t="shared" ref="C28" si="29">(B28/$B$14-1)*$B$5</f>
        <v>368922.0855301675</v>
      </c>
      <c r="D28" s="46">
        <f t="shared" ref="D28" si="30">-1*(A28-$A$14)/360*$B$7*$B$5</f>
        <v>-84012.499999999985</v>
      </c>
      <c r="E28" s="45">
        <f t="shared" si="13"/>
        <v>100.015625</v>
      </c>
      <c r="F28" s="46">
        <f t="shared" ref="F28" si="31">(E28-$E$14)/100*$C$5</f>
        <v>105341.796875</v>
      </c>
      <c r="G28" s="47">
        <f t="shared" ref="G28" si="32">(A28-$A$14)/360*$C$6*$C$5-(A28-$A$14)/360*$C$7*$C$5*$E$14/100</f>
        <v>-5388.4582790798522</v>
      </c>
      <c r="H28" s="45">
        <f t="shared" si="16"/>
        <v>101.734375</v>
      </c>
      <c r="I28" s="46">
        <f t="shared" ref="I28" si="33">(H28-$H$14)/100*$D$5</f>
        <v>86132.8125</v>
      </c>
      <c r="J28" s="47">
        <f t="shared" ref="J28" si="34">(A28-$A$14)/360*$D$6*$D$5-(A28-$A$14)/360*$D$7*$D$5*$H$14/100</f>
        <v>-19.938151041664241</v>
      </c>
      <c r="K28" s="45">
        <f t="shared" si="19"/>
        <v>101.921875</v>
      </c>
      <c r="L28" s="46">
        <f t="shared" ref="L28" si="35">(K28-$K$14)/100*$E$5</f>
        <v>228046.87499999997</v>
      </c>
      <c r="M28" s="47">
        <f t="shared" ref="M28" si="36">(A28-$A$14)/360*$E$6*$E$5-(A28-$A$14)/360*$E$7*$E$5*$K$14/100</f>
        <v>3095.0208333333394</v>
      </c>
      <c r="N28" s="45">
        <f t="shared" si="21"/>
        <v>84.38</v>
      </c>
      <c r="O28" s="46">
        <f t="shared" ref="O28" si="37">(N28/$N$14-1)*$F$5</f>
        <v>337051.84036270098</v>
      </c>
      <c r="P28" s="47">
        <f t="shared" ref="P28" si="38">-1*(A28-$A$14)/360*$F$7*$F$5</f>
        <v>-117499.99999999999</v>
      </c>
      <c r="Q28" s="45">
        <f t="shared" si="24"/>
        <v>100.40625</v>
      </c>
      <c r="R28" s="46">
        <f t="shared" ref="R28" si="39">(Q28-$Q$14)/100*$G$5</f>
        <v>416308.59375</v>
      </c>
      <c r="S28" s="47">
        <f t="shared" ref="S28" si="40">(A28-$A$14)/360*$G$6*$G$5-(A28-$A$14)/360*$G$7*$G$5*$Q$14/100</f>
        <v>-16563.817599826376</v>
      </c>
      <c r="T28" s="82">
        <f t="shared" si="28"/>
        <v>-14478.411727870844</v>
      </c>
      <c r="V28" s="75">
        <v>45789.625</v>
      </c>
      <c r="W28" s="54">
        <v>106.59</v>
      </c>
      <c r="Z28" s="75">
        <v>45910.625</v>
      </c>
      <c r="AA28" s="54">
        <v>101.6875</v>
      </c>
      <c r="AB28" s="75">
        <v>45911.625</v>
      </c>
      <c r="AC28" s="54">
        <v>101.640625</v>
      </c>
      <c r="AD28" s="75">
        <v>45789.625</v>
      </c>
      <c r="AE28" s="54">
        <v>80.790000000000006</v>
      </c>
    </row>
    <row r="29" spans="1:33" x14ac:dyDescent="0.3">
      <c r="A29" s="36">
        <v>45946</v>
      </c>
      <c r="B29" s="45">
        <f t="shared" ref="B29" si="41">VLOOKUP($A29+$J$1, V$3:W$509, 2)</f>
        <v>112.42</v>
      </c>
      <c r="C29" s="46">
        <f t="shared" ref="C29:C30" si="42">(B29/$B$14-1)*$B$5</f>
        <v>472026.94786174508</v>
      </c>
      <c r="D29" s="46">
        <f t="shared" ref="D29:D30" si="43">-1*(A29-$A$14)/360*$B$7*$B$5</f>
        <v>-88213.125</v>
      </c>
      <c r="E29" s="45">
        <f t="shared" ref="E29" si="44">VLOOKUP($A29+$J$1, X$3:Y$509, 2)</f>
        <v>100.359375</v>
      </c>
      <c r="F29" s="46">
        <f t="shared" ref="F29:F30" si="45">(E29-$E$14)/100*$C$5</f>
        <v>162919.921875</v>
      </c>
      <c r="G29" s="47">
        <f t="shared" ref="G29:G30" si="46">(A29-$A$14)/360*$C$6*$C$5-(A29-$A$14)/360*$C$7*$C$5*$E$14/100</f>
        <v>-5657.8811930338488</v>
      </c>
      <c r="H29" s="45">
        <f t="shared" ref="H29" si="47">VLOOKUP($A29+$J$1, Z$3:AA$509, 2)</f>
        <v>102.234375</v>
      </c>
      <c r="I29" s="46">
        <f t="shared" ref="I29:I30" si="48">(H29-$H$14)/100*$D$5</f>
        <v>123632.81249999999</v>
      </c>
      <c r="J29" s="47">
        <f t="shared" ref="J29:J30" si="49">(A29-$A$14)/360*$D$6*$D$5-(A29-$A$14)/360*$D$7*$D$5*$H$14/100</f>
        <v>-20.93505859375</v>
      </c>
      <c r="K29" s="45">
        <f t="shared" ref="K29" si="50">VLOOKUP($A29+$J$1, AB$3:AC$509, 2)</f>
        <v>102.671875</v>
      </c>
      <c r="L29" s="46">
        <f t="shared" ref="L29:L30" si="51">(K29-$K$14)/100*$E$5</f>
        <v>306796.875</v>
      </c>
      <c r="M29" s="47">
        <f t="shared" ref="M29:M30" si="52">(A29-$A$14)/360*$E$6*$E$5-(A29-$A$14)/360*$E$7*$E$5*$K$14/100</f>
        <v>3249.7718749999985</v>
      </c>
      <c r="N29" s="45">
        <f t="shared" ref="N29" si="53">VLOOKUP($A29+$J$1, AD$3:AE$509, 2)</f>
        <v>84.594999999999999</v>
      </c>
      <c r="O29" s="46">
        <f t="shared" ref="O29:O30" si="54">(N29/$N$14-1)*$F$5</f>
        <v>465310.50527948147</v>
      </c>
      <c r="P29" s="47">
        <f t="shared" ref="P29:P30" si="55">-1*(A29-$A$14)/360*$F$7*$F$5</f>
        <v>-123375</v>
      </c>
      <c r="Q29" s="45">
        <f t="shared" ref="Q29" si="56">VLOOKUP($A29+$J$1, AF$3:AG$509, 2)</f>
        <v>100.84375</v>
      </c>
      <c r="R29" s="46">
        <f t="shared" ref="R29:R30" si="57">(Q29-$Q$14)/100*$G$5</f>
        <v>638339.84375</v>
      </c>
      <c r="S29" s="47">
        <f t="shared" ref="S29:S30" si="58">(A29-$A$14)/360*$G$6*$G$5-(A29-$A$14)/360*$G$7*$G$5*$Q$14/100</f>
        <v>-17392.008479817698</v>
      </c>
      <c r="T29" s="82">
        <f t="shared" ref="T29:T30" si="59">C29+D29-F29-G29-I29-J29-L29-M29-O29-P29+R29+S29+$J$9</f>
        <v>9532.7635867743957</v>
      </c>
      <c r="V29" s="75">
        <v>45790.625</v>
      </c>
      <c r="W29" s="54">
        <v>106.68</v>
      </c>
      <c r="Z29" s="75">
        <v>45911.625</v>
      </c>
      <c r="AA29" s="54">
        <v>101.890625</v>
      </c>
      <c r="AB29" s="75">
        <v>45912.625</v>
      </c>
      <c r="AC29" s="54">
        <v>101.171875</v>
      </c>
      <c r="AD29" s="75">
        <v>45790.625</v>
      </c>
      <c r="AE29" s="54">
        <v>80.88</v>
      </c>
    </row>
    <row r="30" spans="1:33" x14ac:dyDescent="0.3">
      <c r="A30" s="131">
        <v>45947</v>
      </c>
      <c r="B30" s="45">
        <f>B10</f>
        <v>112.23</v>
      </c>
      <c r="C30" s="46">
        <f t="shared" si="42"/>
        <v>410808.43585237785</v>
      </c>
      <c r="D30" s="46">
        <f t="shared" si="43"/>
        <v>-92413.749999999985</v>
      </c>
      <c r="E30" s="45">
        <f>C10</f>
        <v>100.203125</v>
      </c>
      <c r="F30" s="46">
        <f t="shared" si="45"/>
        <v>136748.046875</v>
      </c>
      <c r="G30" s="47">
        <f t="shared" si="46"/>
        <v>-5927.3041069878454</v>
      </c>
      <c r="H30" s="45">
        <f>D10</f>
        <v>102.046875</v>
      </c>
      <c r="I30" s="46">
        <f t="shared" si="48"/>
        <v>109570.3125</v>
      </c>
      <c r="J30" s="47">
        <f t="shared" si="49"/>
        <v>-21.931966145832121</v>
      </c>
      <c r="K30" s="45">
        <f>E10</f>
        <v>102.484375</v>
      </c>
      <c r="L30" s="46">
        <f t="shared" si="51"/>
        <v>287109.375</v>
      </c>
      <c r="M30" s="47">
        <f t="shared" si="52"/>
        <v>3404.5229166666686</v>
      </c>
      <c r="N30" s="45">
        <f>F10</f>
        <v>84.466899999999995</v>
      </c>
      <c r="O30" s="46">
        <f t="shared" si="54"/>
        <v>388892.20306627115</v>
      </c>
      <c r="P30" s="47">
        <f t="shared" si="55"/>
        <v>-129249.99999999999</v>
      </c>
      <c r="Q30" s="45">
        <f>G10</f>
        <v>100.640625</v>
      </c>
      <c r="R30" s="46">
        <f t="shared" si="57"/>
        <v>535253.90625</v>
      </c>
      <c r="S30" s="47">
        <f t="shared" si="58"/>
        <v>-18220.199359809005</v>
      </c>
      <c r="T30" s="82">
        <f t="shared" si="59"/>
        <v>-17469.655809534466</v>
      </c>
      <c r="V30" s="75">
        <v>45791.625</v>
      </c>
      <c r="W30" s="54">
        <v>106.18</v>
      </c>
      <c r="Z30" s="75">
        <v>45912.625</v>
      </c>
      <c r="AA30" s="54">
        <v>101.546875</v>
      </c>
      <c r="AB30" s="75">
        <v>45915.625</v>
      </c>
      <c r="AC30" s="54">
        <v>101.4375</v>
      </c>
      <c r="AD30" s="75">
        <v>45791.625</v>
      </c>
      <c r="AE30" s="54">
        <v>80.58</v>
      </c>
    </row>
    <row r="31" spans="1:33" x14ac:dyDescent="0.3">
      <c r="A31" s="131">
        <v>45950</v>
      </c>
      <c r="B31" s="45"/>
      <c r="C31" s="46"/>
      <c r="D31" s="46"/>
      <c r="E31" s="45"/>
      <c r="F31" s="46"/>
      <c r="G31" s="47"/>
      <c r="H31" s="45"/>
      <c r="I31" s="46"/>
      <c r="J31" s="47"/>
      <c r="K31" s="45"/>
      <c r="L31" s="46"/>
      <c r="M31" s="47"/>
      <c r="N31" s="45"/>
      <c r="O31" s="46"/>
      <c r="P31" s="47"/>
      <c r="Q31" s="45"/>
      <c r="R31" s="46"/>
      <c r="S31" s="47"/>
      <c r="T31" s="82"/>
      <c r="V31" s="75">
        <v>45792.625</v>
      </c>
      <c r="W31" s="54">
        <v>106.9</v>
      </c>
      <c r="Z31" s="75">
        <v>45915.625</v>
      </c>
      <c r="AA31" s="54">
        <v>101.71875</v>
      </c>
      <c r="AB31" s="75">
        <v>45916.625</v>
      </c>
      <c r="AC31" s="54">
        <v>101.578125</v>
      </c>
      <c r="AD31" s="75">
        <v>45792.625</v>
      </c>
      <c r="AE31" s="54">
        <v>81.099999999999994</v>
      </c>
    </row>
    <row r="32" spans="1:33" x14ac:dyDescent="0.3">
      <c r="A32" s="131">
        <v>45951</v>
      </c>
      <c r="B32" s="45"/>
      <c r="C32" s="46"/>
      <c r="D32" s="46"/>
      <c r="E32" s="45"/>
      <c r="F32" s="46"/>
      <c r="G32" s="47"/>
      <c r="H32" s="45"/>
      <c r="I32" s="46"/>
      <c r="J32" s="47"/>
      <c r="K32" s="45"/>
      <c r="L32" s="46"/>
      <c r="M32" s="47"/>
      <c r="N32" s="45"/>
      <c r="O32" s="46"/>
      <c r="P32" s="47"/>
      <c r="Q32" s="45"/>
      <c r="R32" s="46"/>
      <c r="S32" s="47"/>
      <c r="T32" s="82"/>
      <c r="V32" s="75">
        <v>45793.625</v>
      </c>
      <c r="W32" s="54">
        <v>107.1</v>
      </c>
      <c r="Z32" s="75">
        <v>45916.625</v>
      </c>
      <c r="AA32" s="54">
        <v>101.765625</v>
      </c>
      <c r="AB32" s="75">
        <v>45917.625</v>
      </c>
      <c r="AC32" s="54">
        <v>101.375</v>
      </c>
      <c r="AD32" s="75">
        <v>45793.625</v>
      </c>
      <c r="AE32" s="54">
        <v>81.19</v>
      </c>
    </row>
    <row r="33" spans="1:31" x14ac:dyDescent="0.3">
      <c r="A33" s="131">
        <v>45952</v>
      </c>
      <c r="B33" s="45"/>
      <c r="C33" s="46"/>
      <c r="D33" s="46"/>
      <c r="E33" s="45"/>
      <c r="F33" s="46"/>
      <c r="G33" s="47"/>
      <c r="H33" s="45"/>
      <c r="I33" s="46"/>
      <c r="J33" s="47"/>
      <c r="K33" s="45"/>
      <c r="L33" s="46"/>
      <c r="M33" s="47"/>
      <c r="N33" s="45"/>
      <c r="O33" s="46"/>
      <c r="P33" s="47"/>
      <c r="Q33" s="45"/>
      <c r="R33" s="46"/>
      <c r="S33" s="47"/>
      <c r="T33" s="82"/>
      <c r="V33" s="75">
        <v>45796.625</v>
      </c>
      <c r="W33" s="54">
        <v>107.11</v>
      </c>
      <c r="Z33" s="75">
        <v>45917.625</v>
      </c>
      <c r="AA33" s="54">
        <v>101.5</v>
      </c>
      <c r="AB33" s="75">
        <v>45918.625</v>
      </c>
      <c r="AC33" s="54">
        <v>100.328125</v>
      </c>
      <c r="AD33" s="75">
        <v>45796.625</v>
      </c>
      <c r="AE33" s="54">
        <v>81.239999999999995</v>
      </c>
    </row>
    <row r="34" spans="1:31" x14ac:dyDescent="0.3">
      <c r="A34" s="131">
        <v>45953</v>
      </c>
      <c r="B34" s="45"/>
      <c r="C34" s="46"/>
      <c r="D34" s="46"/>
      <c r="E34" s="45"/>
      <c r="F34" s="46"/>
      <c r="G34" s="47"/>
      <c r="H34" s="45"/>
      <c r="I34" s="46"/>
      <c r="J34" s="47"/>
      <c r="K34" s="45"/>
      <c r="L34" s="46"/>
      <c r="M34" s="47"/>
      <c r="N34" s="45"/>
      <c r="O34" s="46"/>
      <c r="P34" s="47"/>
      <c r="Q34" s="45"/>
      <c r="R34" s="46"/>
      <c r="S34" s="47"/>
      <c r="T34" s="82"/>
      <c r="V34" s="75">
        <v>45797.625</v>
      </c>
      <c r="W34" s="54">
        <v>106.86</v>
      </c>
      <c r="Z34" s="75">
        <v>45918.625</v>
      </c>
      <c r="AA34" s="54">
        <v>101.09375</v>
      </c>
      <c r="AB34" s="75">
        <v>45919.625</v>
      </c>
      <c r="AC34" s="54">
        <v>100.125</v>
      </c>
      <c r="AD34" s="75">
        <v>45797.625</v>
      </c>
      <c r="AE34" s="54">
        <v>81.16</v>
      </c>
    </row>
    <row r="35" spans="1:31" x14ac:dyDescent="0.3">
      <c r="A35" s="131">
        <v>45954</v>
      </c>
      <c r="B35" s="45"/>
      <c r="C35" s="46"/>
      <c r="D35" s="46"/>
      <c r="E35" s="45"/>
      <c r="F35" s="46"/>
      <c r="G35" s="47"/>
      <c r="H35" s="45"/>
      <c r="I35" s="46"/>
      <c r="J35" s="47"/>
      <c r="K35" s="45"/>
      <c r="L35" s="46"/>
      <c r="M35" s="47"/>
      <c r="N35" s="45"/>
      <c r="O35" s="46"/>
      <c r="P35" s="47"/>
      <c r="Q35" s="45"/>
      <c r="R35" s="46"/>
      <c r="S35" s="47"/>
      <c r="T35" s="82"/>
      <c r="V35" s="75">
        <v>45798.625</v>
      </c>
      <c r="W35" s="54">
        <v>105.66</v>
      </c>
      <c r="Z35" s="75">
        <v>45919.625</v>
      </c>
      <c r="AA35" s="54">
        <v>101.015625</v>
      </c>
      <c r="AB35" s="75">
        <v>45922.625</v>
      </c>
      <c r="AC35" s="54">
        <v>99.734375</v>
      </c>
      <c r="AD35" s="75">
        <v>45798.625</v>
      </c>
      <c r="AE35" s="54">
        <v>80.52</v>
      </c>
    </row>
    <row r="36" spans="1:31" x14ac:dyDescent="0.3">
      <c r="A36" s="131">
        <v>45955</v>
      </c>
      <c r="B36" s="45"/>
      <c r="C36" s="46"/>
      <c r="D36" s="46"/>
      <c r="E36" s="45"/>
      <c r="F36" s="46"/>
      <c r="G36" s="47"/>
      <c r="H36" s="45"/>
      <c r="I36" s="46"/>
      <c r="J36" s="47"/>
      <c r="K36" s="45"/>
      <c r="L36" s="46"/>
      <c r="M36" s="47"/>
      <c r="N36" s="45"/>
      <c r="O36" s="46"/>
      <c r="P36" s="47"/>
      <c r="Q36" s="45"/>
      <c r="R36" s="46"/>
      <c r="S36" s="47"/>
      <c r="T36" s="82"/>
      <c r="V36" s="75">
        <v>45799.625</v>
      </c>
      <c r="W36" s="54">
        <v>106.2</v>
      </c>
      <c r="Z36" s="75">
        <v>45922.625</v>
      </c>
      <c r="AA36" s="54">
        <v>100.8125</v>
      </c>
      <c r="AB36" s="75">
        <v>45923.625</v>
      </c>
      <c r="AC36" s="54">
        <v>100.421875</v>
      </c>
      <c r="AD36" s="75">
        <v>45799.625</v>
      </c>
      <c r="AE36" s="54">
        <v>80.81</v>
      </c>
    </row>
    <row r="37" spans="1:31" x14ac:dyDescent="0.3">
      <c r="A37" s="131">
        <v>45956</v>
      </c>
      <c r="B37" s="45"/>
      <c r="C37" s="46"/>
      <c r="D37" s="46"/>
      <c r="E37" s="45"/>
      <c r="F37" s="46"/>
      <c r="G37" s="47"/>
      <c r="H37" s="45"/>
      <c r="I37" s="46"/>
      <c r="J37" s="47"/>
      <c r="K37" s="45"/>
      <c r="L37" s="46"/>
      <c r="M37" s="47"/>
      <c r="N37" s="45"/>
      <c r="O37" s="46"/>
      <c r="P37" s="47"/>
      <c r="Q37" s="45"/>
      <c r="R37" s="46"/>
      <c r="S37" s="47"/>
      <c r="T37" s="82"/>
      <c r="V37" s="75">
        <v>45800.625</v>
      </c>
      <c r="W37" s="54">
        <v>106.28</v>
      </c>
      <c r="Z37" s="75">
        <v>45923.625</v>
      </c>
      <c r="AA37" s="54">
        <v>101.140625</v>
      </c>
      <c r="AB37" s="75">
        <v>45924.625</v>
      </c>
      <c r="AC37" s="54">
        <v>100.015625</v>
      </c>
      <c r="AD37" s="75">
        <v>45800.625</v>
      </c>
      <c r="AE37" s="54">
        <v>80.915000000000006</v>
      </c>
    </row>
    <row r="38" spans="1:31" x14ac:dyDescent="0.3">
      <c r="A38" s="36"/>
      <c r="B38" s="45"/>
      <c r="C38" s="46"/>
      <c r="D38" s="46"/>
      <c r="E38" s="45"/>
      <c r="F38" s="46"/>
      <c r="G38" s="47"/>
      <c r="H38" s="45"/>
      <c r="I38" s="46"/>
      <c r="J38" s="47"/>
      <c r="K38" s="45"/>
      <c r="L38" s="46"/>
      <c r="M38" s="47"/>
      <c r="N38" s="45"/>
      <c r="O38" s="46"/>
      <c r="P38" s="47"/>
      <c r="Q38" s="45"/>
      <c r="R38" s="46"/>
      <c r="S38" s="47"/>
      <c r="T38" s="82"/>
      <c r="V38" s="75">
        <v>45804.625</v>
      </c>
      <c r="W38" s="54">
        <v>107.24</v>
      </c>
      <c r="Z38" s="75">
        <v>45924.625</v>
      </c>
      <c r="AA38" s="54">
        <v>100.859375</v>
      </c>
      <c r="AB38" s="75">
        <v>45925.625</v>
      </c>
      <c r="AC38" s="54">
        <v>100.03125</v>
      </c>
      <c r="AD38" s="75">
        <v>45804.625</v>
      </c>
      <c r="AE38" s="54">
        <v>81.37</v>
      </c>
    </row>
    <row r="39" spans="1:31" x14ac:dyDescent="0.3">
      <c r="A39" s="36"/>
      <c r="B39" s="45"/>
      <c r="C39" s="46"/>
      <c r="D39" s="46"/>
      <c r="E39" s="45"/>
      <c r="F39" s="46"/>
      <c r="G39" s="47"/>
      <c r="H39" s="45"/>
      <c r="I39" s="46"/>
      <c r="J39" s="47"/>
      <c r="K39" s="45"/>
      <c r="L39" s="46"/>
      <c r="M39" s="47"/>
      <c r="N39" s="45"/>
      <c r="O39" s="46"/>
      <c r="P39" s="47"/>
      <c r="Q39" s="45"/>
      <c r="R39" s="46"/>
      <c r="S39" s="47"/>
      <c r="T39" s="82"/>
      <c r="V39" s="75">
        <v>45805.625</v>
      </c>
      <c r="W39" s="54">
        <v>106.98</v>
      </c>
      <c r="Z39" s="75">
        <v>45925.625</v>
      </c>
      <c r="AA39" s="54">
        <v>100.640625</v>
      </c>
      <c r="AB39" s="75">
        <v>45926.625</v>
      </c>
      <c r="AC39" s="54">
        <v>99.90625</v>
      </c>
      <c r="AD39" s="75">
        <v>45805.625</v>
      </c>
      <c r="AE39" s="54">
        <v>81.209999999999994</v>
      </c>
    </row>
    <row r="40" spans="1:31" x14ac:dyDescent="0.3">
      <c r="A40" s="36"/>
      <c r="B40" s="45"/>
      <c r="C40" s="46"/>
      <c r="D40" s="46"/>
      <c r="E40" s="45"/>
      <c r="F40" s="46"/>
      <c r="G40" s="47"/>
      <c r="H40" s="45"/>
      <c r="I40" s="46"/>
      <c r="J40" s="47"/>
      <c r="K40" s="45"/>
      <c r="L40" s="46"/>
      <c r="M40" s="47"/>
      <c r="N40" s="45"/>
      <c r="O40" s="46"/>
      <c r="P40" s="47"/>
      <c r="Q40" s="45"/>
      <c r="R40" s="46"/>
      <c r="S40" s="47"/>
      <c r="T40" s="82"/>
      <c r="V40" s="75">
        <v>45806.625</v>
      </c>
      <c r="W40" s="54">
        <v>107.46</v>
      </c>
      <c r="Z40" s="75">
        <v>45926.625</v>
      </c>
      <c r="AA40" s="54">
        <v>100.5625</v>
      </c>
      <c r="AB40" s="75">
        <v>45929.625</v>
      </c>
      <c r="AC40" s="54">
        <v>100.65625</v>
      </c>
      <c r="AD40" s="75">
        <v>45806.625</v>
      </c>
      <c r="AE40" s="54">
        <v>81.489999999999995</v>
      </c>
    </row>
    <row r="41" spans="1:31" x14ac:dyDescent="0.3">
      <c r="A41" s="36"/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82"/>
      <c r="V41" s="75">
        <v>45807.625</v>
      </c>
      <c r="W41" s="54">
        <v>107.77</v>
      </c>
      <c r="Z41" s="75">
        <v>45929.625</v>
      </c>
      <c r="AA41" s="54">
        <v>100.875</v>
      </c>
      <c r="AB41" s="75">
        <v>45930.625</v>
      </c>
      <c r="AC41" s="54">
        <v>100.390625</v>
      </c>
      <c r="AD41" s="75">
        <v>45807.625</v>
      </c>
      <c r="AE41" s="54">
        <v>81.72</v>
      </c>
    </row>
    <row r="42" spans="1:31" x14ac:dyDescent="0.3">
      <c r="A42" s="36"/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5">
        <v>45810.625</v>
      </c>
      <c r="W42" s="54">
        <v>107.07</v>
      </c>
      <c r="Z42" s="75">
        <v>45930.625</v>
      </c>
      <c r="AA42" s="54">
        <v>100.828125</v>
      </c>
      <c r="AB42" s="75">
        <v>45931.625</v>
      </c>
      <c r="AC42" s="54">
        <v>100.578125</v>
      </c>
      <c r="AD42" s="75">
        <v>45810.625</v>
      </c>
      <c r="AE42" s="54">
        <v>81.25</v>
      </c>
    </row>
    <row r="43" spans="1:31" x14ac:dyDescent="0.3">
      <c r="A43" s="36"/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5">
        <v>45811.625</v>
      </c>
      <c r="W43" s="54">
        <v>107.12</v>
      </c>
      <c r="Z43" s="75">
        <v>45931.625</v>
      </c>
      <c r="AA43" s="54">
        <v>101.171875</v>
      </c>
      <c r="AB43" s="75">
        <v>45932.625</v>
      </c>
      <c r="AC43" s="54">
        <v>100.875</v>
      </c>
      <c r="AD43" s="75">
        <v>45811.625</v>
      </c>
      <c r="AE43" s="54">
        <v>81.27</v>
      </c>
    </row>
    <row r="44" spans="1:31" x14ac:dyDescent="0.3">
      <c r="A44" s="36"/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5">
        <v>45812.625</v>
      </c>
      <c r="W44" s="54">
        <v>107.9</v>
      </c>
      <c r="Z44" s="75">
        <v>45932.625</v>
      </c>
      <c r="AA44" s="54">
        <v>101.3125</v>
      </c>
      <c r="AB44" s="75">
        <v>45933.625</v>
      </c>
      <c r="AC44" s="54">
        <v>100.609375</v>
      </c>
      <c r="AD44" s="75">
        <v>45812.625</v>
      </c>
      <c r="AE44" s="54">
        <v>81.72</v>
      </c>
    </row>
    <row r="45" spans="1:31" x14ac:dyDescent="0.3">
      <c r="A45" s="36"/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5">
        <v>45813.625</v>
      </c>
      <c r="W45" s="54">
        <v>107.57</v>
      </c>
      <c r="Z45" s="75">
        <v>45933.625</v>
      </c>
      <c r="AA45" s="54">
        <v>101.046875</v>
      </c>
      <c r="AB45" s="75">
        <v>45936.625</v>
      </c>
      <c r="AC45" s="54">
        <v>99.859375</v>
      </c>
      <c r="AD45" s="75">
        <v>45813.625</v>
      </c>
      <c r="AE45" s="54">
        <v>81.405000000000001</v>
      </c>
    </row>
    <row r="46" spans="1:31" x14ac:dyDescent="0.3">
      <c r="A46" s="36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5">
        <v>45814.625</v>
      </c>
      <c r="W46" s="54">
        <v>106.92</v>
      </c>
      <c r="Z46" s="75">
        <v>45936.625</v>
      </c>
      <c r="AA46" s="54">
        <v>100.6875</v>
      </c>
      <c r="AB46" s="75">
        <v>45937.625</v>
      </c>
      <c r="AC46" s="54">
        <v>100.390625</v>
      </c>
      <c r="AD46" s="75">
        <v>45814.625</v>
      </c>
      <c r="AE46" s="54">
        <v>81.03</v>
      </c>
    </row>
    <row r="47" spans="1:31" x14ac:dyDescent="0.3">
      <c r="A47" s="36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5">
        <v>45817.625</v>
      </c>
      <c r="W47" s="54">
        <v>107.24</v>
      </c>
      <c r="Z47" s="75">
        <v>45937.625</v>
      </c>
      <c r="AA47" s="54">
        <v>100.96875</v>
      </c>
      <c r="AB47" s="75">
        <v>45938.625</v>
      </c>
      <c r="AC47" s="54">
        <v>100.4375</v>
      </c>
      <c r="AD47" s="75">
        <v>45817.625</v>
      </c>
      <c r="AE47" s="54">
        <v>81.209999999999994</v>
      </c>
    </row>
    <row r="48" spans="1:31" x14ac:dyDescent="0.3">
      <c r="A48" s="15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5">
        <v>45818.625</v>
      </c>
      <c r="W48" s="54">
        <v>107.5</v>
      </c>
      <c r="Z48" s="75">
        <v>45938.625</v>
      </c>
      <c r="AA48" s="54">
        <v>100.953125</v>
      </c>
      <c r="AB48" s="75">
        <v>45939.625</v>
      </c>
      <c r="AC48" s="54">
        <v>100.390625</v>
      </c>
      <c r="AD48" s="75">
        <v>45818.625</v>
      </c>
      <c r="AE48" s="54">
        <v>81.33</v>
      </c>
    </row>
    <row r="49" spans="1:31" x14ac:dyDescent="0.3">
      <c r="A49" s="15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5">
        <v>45819.625</v>
      </c>
      <c r="W49" s="54">
        <v>107.84</v>
      </c>
      <c r="Z49" s="75">
        <v>45939.625</v>
      </c>
      <c r="AA49" s="54">
        <v>100.875</v>
      </c>
      <c r="AB49" s="75">
        <v>45940.625</v>
      </c>
      <c r="AC49" s="54">
        <v>101.875</v>
      </c>
      <c r="AD49" s="75">
        <v>45819.625</v>
      </c>
      <c r="AE49" s="54">
        <v>81.62</v>
      </c>
    </row>
    <row r="50" spans="1:31" ht="15" thickBot="1" x14ac:dyDescent="0.35">
      <c r="A50" s="16"/>
      <c r="B50" s="48"/>
      <c r="C50" s="49"/>
      <c r="D50" s="49"/>
      <c r="E50" s="11"/>
      <c r="F50" s="49"/>
      <c r="G50" s="50"/>
      <c r="H50" s="11"/>
      <c r="I50" s="49"/>
      <c r="J50" s="50"/>
      <c r="K50" s="11"/>
      <c r="L50" s="49"/>
      <c r="M50" s="50"/>
      <c r="N50" s="11"/>
      <c r="O50" s="49"/>
      <c r="P50" s="50"/>
      <c r="Q50" s="11"/>
      <c r="R50" s="49"/>
      <c r="S50" s="50"/>
      <c r="T50" s="51"/>
      <c r="V50" s="75">
        <v>45820.625</v>
      </c>
      <c r="W50" s="54">
        <v>108.44</v>
      </c>
      <c r="Z50" s="75">
        <v>45940.625</v>
      </c>
      <c r="AA50" s="54">
        <v>101.578125</v>
      </c>
      <c r="AB50" s="75">
        <v>45943.625</v>
      </c>
      <c r="AC50" s="54">
        <v>102.109375</v>
      </c>
      <c r="AD50" s="75">
        <v>45820.625</v>
      </c>
      <c r="AE50" s="54">
        <v>81.91</v>
      </c>
    </row>
    <row r="51" spans="1:31" x14ac:dyDescent="0.3">
      <c r="B51" s="58"/>
      <c r="C51" s="58"/>
      <c r="D51" s="58"/>
      <c r="E51" s="58"/>
      <c r="F51" s="58"/>
      <c r="H51" s="57"/>
      <c r="I51" s="57"/>
      <c r="K51" s="58"/>
      <c r="L51" s="58"/>
      <c r="N51" s="57"/>
      <c r="O51" s="57"/>
      <c r="R51" s="57"/>
      <c r="S51" s="57"/>
      <c r="T51" s="57"/>
      <c r="V51" s="75">
        <v>45821.625</v>
      </c>
      <c r="W51" s="54">
        <v>107.79</v>
      </c>
      <c r="Z51" s="75">
        <v>45943.625</v>
      </c>
      <c r="AA51" s="54">
        <v>101.75</v>
      </c>
      <c r="AB51" s="75">
        <v>45944.625</v>
      </c>
      <c r="AC51" s="54">
        <v>102.140625</v>
      </c>
      <c r="AD51" s="75">
        <v>45821.625</v>
      </c>
      <c r="AE51" s="54">
        <v>81.56</v>
      </c>
    </row>
    <row r="52" spans="1:31" x14ac:dyDescent="0.3">
      <c r="R52" s="57"/>
      <c r="S52" s="57"/>
      <c r="T52" s="57"/>
      <c r="V52" s="75">
        <v>45824.625</v>
      </c>
      <c r="W52" s="54">
        <v>107.6</v>
      </c>
      <c r="Z52" s="75">
        <v>45944.625</v>
      </c>
      <c r="AA52" s="54">
        <v>101.859375</v>
      </c>
      <c r="AB52" s="75">
        <v>45945.625</v>
      </c>
      <c r="AC52" s="54">
        <v>101.921875</v>
      </c>
      <c r="AD52" s="75">
        <v>45824.625</v>
      </c>
      <c r="AE52" s="54">
        <v>81.52</v>
      </c>
    </row>
    <row r="53" spans="1:31" x14ac:dyDescent="0.3">
      <c r="R53" s="57"/>
      <c r="S53" s="57"/>
      <c r="T53" s="57"/>
      <c r="V53" s="75">
        <v>45825.625</v>
      </c>
      <c r="W53" s="54">
        <v>107.97</v>
      </c>
      <c r="Z53" s="75">
        <v>45945.625</v>
      </c>
      <c r="AA53" s="54">
        <v>101.734375</v>
      </c>
      <c r="AB53" s="75">
        <v>45946.625</v>
      </c>
      <c r="AC53" s="54">
        <v>102.671875</v>
      </c>
      <c r="AD53" s="75">
        <v>45825.625</v>
      </c>
      <c r="AE53" s="54">
        <v>81.709999999999994</v>
      </c>
    </row>
    <row r="54" spans="1:31" x14ac:dyDescent="0.3">
      <c r="R54" s="57"/>
      <c r="S54" s="57"/>
      <c r="T54" s="57"/>
      <c r="V54" s="75">
        <v>45826.625</v>
      </c>
      <c r="W54" s="54">
        <v>108.05</v>
      </c>
      <c r="Z54" s="75">
        <v>45946.625</v>
      </c>
      <c r="AA54" s="54">
        <v>102.234375</v>
      </c>
      <c r="AD54" s="75">
        <v>45826.625</v>
      </c>
      <c r="AE54" s="54">
        <v>81.77</v>
      </c>
    </row>
    <row r="55" spans="1:31" x14ac:dyDescent="0.3">
      <c r="V55" s="75">
        <v>45828.625</v>
      </c>
      <c r="W55" s="54">
        <v>108.15</v>
      </c>
      <c r="AD55" s="75">
        <v>45828.625</v>
      </c>
      <c r="AE55" s="54">
        <v>81.89</v>
      </c>
    </row>
    <row r="56" spans="1:31" x14ac:dyDescent="0.3">
      <c r="V56" s="75">
        <v>45831.625</v>
      </c>
      <c r="W56" s="54">
        <v>108.41</v>
      </c>
      <c r="AD56" s="75">
        <v>45831.625</v>
      </c>
      <c r="AE56" s="54">
        <v>82.12</v>
      </c>
    </row>
    <row r="57" spans="1:31" x14ac:dyDescent="0.3">
      <c r="V57" s="75">
        <v>45832.625</v>
      </c>
      <c r="W57" s="54">
        <v>108.92</v>
      </c>
      <c r="AD57" s="75">
        <v>45832.625</v>
      </c>
      <c r="AE57" s="54">
        <v>82.45</v>
      </c>
    </row>
    <row r="58" spans="1:31" x14ac:dyDescent="0.3">
      <c r="V58" s="75">
        <v>45833.625</v>
      </c>
      <c r="W58" s="54">
        <v>108.79</v>
      </c>
      <c r="AD58" s="75">
        <v>45833.625</v>
      </c>
      <c r="AE58" s="54">
        <v>82.41</v>
      </c>
    </row>
    <row r="59" spans="1:31" x14ac:dyDescent="0.3">
      <c r="V59" s="75">
        <v>45834.625</v>
      </c>
      <c r="W59" s="54">
        <v>109.19</v>
      </c>
      <c r="AD59" s="75">
        <v>45834.625</v>
      </c>
      <c r="AE59" s="54">
        <v>82.67</v>
      </c>
    </row>
    <row r="60" spans="1:31" x14ac:dyDescent="0.3">
      <c r="V60" s="75">
        <v>45835.625</v>
      </c>
      <c r="W60" s="54">
        <v>109.01</v>
      </c>
      <c r="AD60" s="75">
        <v>45835.625</v>
      </c>
      <c r="AE60" s="54">
        <v>82.59</v>
      </c>
    </row>
    <row r="61" spans="1:31" x14ac:dyDescent="0.3">
      <c r="V61" s="75">
        <v>45838.625</v>
      </c>
      <c r="W61" s="54">
        <v>109.61</v>
      </c>
      <c r="AD61" s="75">
        <v>45838.625</v>
      </c>
      <c r="AE61" s="54">
        <v>82.92</v>
      </c>
    </row>
    <row r="62" spans="1:31" x14ac:dyDescent="0.3">
      <c r="V62" s="75">
        <v>45839.625</v>
      </c>
      <c r="W62" s="54">
        <v>109.34</v>
      </c>
      <c r="AD62" s="75">
        <v>45839.625</v>
      </c>
      <c r="AE62" s="54">
        <v>82.59</v>
      </c>
    </row>
    <row r="63" spans="1:31" x14ac:dyDescent="0.3">
      <c r="V63" s="75">
        <v>45840.625</v>
      </c>
      <c r="W63" s="54">
        <v>109.32</v>
      </c>
      <c r="AD63" s="75">
        <v>45840.625</v>
      </c>
      <c r="AE63" s="54">
        <v>82.58</v>
      </c>
    </row>
    <row r="64" spans="1:31" x14ac:dyDescent="0.3">
      <c r="V64" s="75">
        <v>45841.625</v>
      </c>
      <c r="W64" s="54">
        <v>109.06</v>
      </c>
      <c r="AD64" s="75">
        <v>45845.625</v>
      </c>
      <c r="AE64" s="54">
        <v>82.18</v>
      </c>
    </row>
    <row r="65" spans="22:31" x14ac:dyDescent="0.3">
      <c r="V65" s="75">
        <v>45845.625</v>
      </c>
      <c r="W65" s="54">
        <v>108.41</v>
      </c>
      <c r="AD65" s="75">
        <v>45846.625</v>
      </c>
      <c r="AE65" s="54">
        <v>81.96</v>
      </c>
    </row>
    <row r="66" spans="22:31" x14ac:dyDescent="0.3">
      <c r="V66" s="75">
        <v>45846.625</v>
      </c>
      <c r="W66" s="54">
        <v>108.1</v>
      </c>
      <c r="AD66" s="75">
        <v>45847.625</v>
      </c>
      <c r="AE66" s="54">
        <v>82.31</v>
      </c>
    </row>
    <row r="67" spans="22:31" x14ac:dyDescent="0.3">
      <c r="V67" s="75">
        <v>45847.625</v>
      </c>
      <c r="W67" s="54">
        <v>108.71</v>
      </c>
      <c r="AD67" s="75">
        <v>45848.625</v>
      </c>
      <c r="AE67" s="54">
        <v>82.31</v>
      </c>
    </row>
    <row r="68" spans="22:31" x14ac:dyDescent="0.3">
      <c r="V68" s="75">
        <v>45848.625</v>
      </c>
      <c r="W68" s="54">
        <v>108.74</v>
      </c>
      <c r="AD68" s="75">
        <v>45849.625</v>
      </c>
      <c r="AE68" s="54">
        <v>82.02</v>
      </c>
    </row>
    <row r="69" spans="22:31" x14ac:dyDescent="0.3">
      <c r="V69" s="75">
        <v>45849.625</v>
      </c>
      <c r="W69" s="54">
        <v>108.08</v>
      </c>
      <c r="AD69" s="75">
        <v>45852.625</v>
      </c>
      <c r="AE69" s="54">
        <v>82</v>
      </c>
    </row>
    <row r="70" spans="22:31" x14ac:dyDescent="0.3">
      <c r="V70" s="75">
        <v>45852.625</v>
      </c>
      <c r="W70" s="54">
        <v>108.05</v>
      </c>
      <c r="AD70" s="75">
        <v>45853.625</v>
      </c>
      <c r="AE70" s="54">
        <v>81.75</v>
      </c>
    </row>
    <row r="71" spans="22:31" x14ac:dyDescent="0.3">
      <c r="V71" s="75">
        <v>45853.625</v>
      </c>
      <c r="W71" s="54">
        <v>107.66</v>
      </c>
      <c r="AD71" s="75">
        <v>45854.625</v>
      </c>
      <c r="AE71" s="54">
        <v>81.97</v>
      </c>
    </row>
    <row r="72" spans="22:31" x14ac:dyDescent="0.3">
      <c r="V72" s="75">
        <v>45854.625</v>
      </c>
      <c r="W72" s="54">
        <v>107.83</v>
      </c>
      <c r="AD72" s="75">
        <v>45855.625</v>
      </c>
      <c r="AE72" s="54">
        <v>82.06</v>
      </c>
    </row>
    <row r="73" spans="22:31" x14ac:dyDescent="0.3">
      <c r="V73" s="75">
        <v>45855.625</v>
      </c>
      <c r="W73" s="54">
        <v>108.09</v>
      </c>
      <c r="AD73" s="75">
        <v>45856.625</v>
      </c>
      <c r="AE73" s="54">
        <v>82.25</v>
      </c>
    </row>
    <row r="74" spans="22:31" x14ac:dyDescent="0.3">
      <c r="V74" s="75">
        <v>45856.625</v>
      </c>
      <c r="W74" s="54">
        <v>108.29</v>
      </c>
      <c r="AD74" s="75">
        <v>45859.625</v>
      </c>
      <c r="AE74" s="54">
        <v>82.49</v>
      </c>
    </row>
    <row r="75" spans="22:31" x14ac:dyDescent="0.3">
      <c r="V75" s="75">
        <v>45859.625</v>
      </c>
      <c r="W75" s="54">
        <v>108.71</v>
      </c>
      <c r="AD75" s="75">
        <v>45860.625</v>
      </c>
      <c r="AE75" s="54">
        <v>82.64</v>
      </c>
    </row>
    <row r="76" spans="22:31" x14ac:dyDescent="0.3">
      <c r="V76" s="75">
        <v>45860.625</v>
      </c>
      <c r="W76" s="54">
        <v>108.97</v>
      </c>
      <c r="AD76" s="75">
        <v>45861.625</v>
      </c>
      <c r="AE76" s="54">
        <v>82.53</v>
      </c>
    </row>
    <row r="77" spans="22:31" x14ac:dyDescent="0.3">
      <c r="V77" s="75">
        <v>45861.625</v>
      </c>
      <c r="W77" s="54">
        <v>108.8</v>
      </c>
      <c r="AD77" s="75">
        <v>45862.625</v>
      </c>
      <c r="AE77" s="54">
        <v>82.43</v>
      </c>
    </row>
    <row r="78" spans="22:31" x14ac:dyDescent="0.3">
      <c r="V78" s="75">
        <v>45862.625</v>
      </c>
      <c r="W78" s="54">
        <v>108.64</v>
      </c>
      <c r="AD78" s="75">
        <v>45863.625</v>
      </c>
      <c r="AE78" s="54">
        <v>82.63</v>
      </c>
    </row>
    <row r="79" spans="22:31" x14ac:dyDescent="0.3">
      <c r="V79" s="75">
        <v>45863.625</v>
      </c>
      <c r="W79" s="54">
        <v>108.99</v>
      </c>
      <c r="AD79" s="75">
        <v>45866.625</v>
      </c>
      <c r="AE79" s="54">
        <v>82.525000000000006</v>
      </c>
    </row>
    <row r="80" spans="22:31" x14ac:dyDescent="0.3">
      <c r="V80" s="75">
        <v>45866.625</v>
      </c>
      <c r="W80" s="54">
        <v>108.77</v>
      </c>
      <c r="AD80" s="75">
        <v>45867.625</v>
      </c>
      <c r="AE80" s="54">
        <v>82.81</v>
      </c>
    </row>
    <row r="81" spans="22:31" x14ac:dyDescent="0.3">
      <c r="V81" s="75">
        <v>45867.625</v>
      </c>
      <c r="W81" s="54">
        <v>109.49</v>
      </c>
      <c r="AD81" s="75">
        <v>45868.625</v>
      </c>
      <c r="AE81" s="54">
        <v>82.67</v>
      </c>
    </row>
    <row r="82" spans="22:31" x14ac:dyDescent="0.3">
      <c r="V82" s="75">
        <v>45868.625</v>
      </c>
      <c r="W82" s="54">
        <v>109.08</v>
      </c>
      <c r="AD82" s="75">
        <v>45869.625</v>
      </c>
      <c r="AE82" s="54">
        <v>82.68</v>
      </c>
    </row>
    <row r="83" spans="22:31" x14ac:dyDescent="0.3">
      <c r="V83" s="75">
        <v>45869.625</v>
      </c>
      <c r="W83" s="54">
        <v>109.11</v>
      </c>
      <c r="AD83" s="75">
        <v>45870.625</v>
      </c>
      <c r="AE83" s="54">
        <v>83.04</v>
      </c>
    </row>
    <row r="84" spans="22:31" x14ac:dyDescent="0.3">
      <c r="V84" s="75">
        <v>45870.625</v>
      </c>
      <c r="W84" s="54">
        <v>109.63</v>
      </c>
      <c r="AD84" s="75">
        <v>45873.625</v>
      </c>
      <c r="AE84" s="54">
        <v>83.17</v>
      </c>
    </row>
    <row r="85" spans="22:31" x14ac:dyDescent="0.3">
      <c r="V85" s="75">
        <v>45873.625</v>
      </c>
      <c r="W85" s="54">
        <v>109.82</v>
      </c>
      <c r="AD85" s="75">
        <v>45874.625</v>
      </c>
      <c r="AE85" s="54">
        <v>83.12</v>
      </c>
    </row>
    <row r="86" spans="22:31" x14ac:dyDescent="0.3">
      <c r="V86" s="75">
        <v>45874.625</v>
      </c>
      <c r="W86" s="54">
        <v>109.9</v>
      </c>
      <c r="AD86" s="75">
        <v>45875.625</v>
      </c>
      <c r="AE86" s="54">
        <v>83.16</v>
      </c>
    </row>
    <row r="87" spans="22:31" x14ac:dyDescent="0.3">
      <c r="V87" s="75">
        <v>45875.625</v>
      </c>
      <c r="W87" s="54">
        <v>109.87</v>
      </c>
      <c r="AD87" s="75">
        <v>45876.625</v>
      </c>
      <c r="AE87" s="54">
        <v>83.09</v>
      </c>
    </row>
    <row r="88" spans="22:31" x14ac:dyDescent="0.3">
      <c r="V88" s="75">
        <v>45876.625</v>
      </c>
      <c r="W88" s="54">
        <v>109.76</v>
      </c>
      <c r="AD88" s="75">
        <v>45877.625</v>
      </c>
      <c r="AE88" s="54">
        <v>82.88</v>
      </c>
    </row>
    <row r="89" spans="22:31" x14ac:dyDescent="0.3">
      <c r="V89" s="75">
        <v>45877.625</v>
      </c>
      <c r="W89" s="54">
        <v>109.41</v>
      </c>
      <c r="AD89" s="75">
        <v>45880.625</v>
      </c>
      <c r="AE89" s="54">
        <v>82.93</v>
      </c>
    </row>
    <row r="90" spans="22:31" x14ac:dyDescent="0.3">
      <c r="V90" s="75">
        <v>45880.625</v>
      </c>
      <c r="W90" s="54">
        <v>109.58499999999999</v>
      </c>
      <c r="AD90" s="75">
        <v>45881.625</v>
      </c>
      <c r="AE90" s="54">
        <v>83.02</v>
      </c>
    </row>
    <row r="91" spans="22:31" x14ac:dyDescent="0.3">
      <c r="V91" s="75">
        <v>45881.625</v>
      </c>
      <c r="W91" s="54">
        <v>109.68</v>
      </c>
      <c r="AD91" s="75">
        <v>45882.625</v>
      </c>
      <c r="AE91" s="54">
        <v>83.34</v>
      </c>
    </row>
    <row r="92" spans="22:31" x14ac:dyDescent="0.3">
      <c r="V92" s="75">
        <v>45882.625</v>
      </c>
      <c r="W92" s="54">
        <v>110.26</v>
      </c>
      <c r="AD92" s="75">
        <v>45883.625</v>
      </c>
      <c r="AE92" s="54">
        <v>83.12</v>
      </c>
    </row>
    <row r="93" spans="22:31" x14ac:dyDescent="0.3">
      <c r="V93" s="75">
        <v>45883.625</v>
      </c>
      <c r="W93" s="54">
        <v>109.88</v>
      </c>
      <c r="AD93" s="75">
        <v>45884.625</v>
      </c>
      <c r="AE93" s="54">
        <v>83.06</v>
      </c>
    </row>
    <row r="94" spans="22:31" x14ac:dyDescent="0.3">
      <c r="V94" s="75">
        <v>45884.625</v>
      </c>
      <c r="W94" s="54">
        <v>109.74</v>
      </c>
      <c r="AD94" s="75">
        <v>45887.625</v>
      </c>
      <c r="AE94" s="54">
        <v>82.96</v>
      </c>
    </row>
    <row r="95" spans="22:31" x14ac:dyDescent="0.3">
      <c r="V95" s="75">
        <v>45887.625</v>
      </c>
      <c r="W95" s="54">
        <v>109.54</v>
      </c>
      <c r="AD95" s="75">
        <v>45888.625</v>
      </c>
      <c r="AE95" s="54">
        <v>83.08</v>
      </c>
    </row>
    <row r="96" spans="22:31" x14ac:dyDescent="0.3">
      <c r="V96" s="75">
        <v>45888.625</v>
      </c>
      <c r="W96" s="54">
        <v>109.71</v>
      </c>
      <c r="AD96" s="75">
        <v>45889.625</v>
      </c>
      <c r="AE96" s="54">
        <v>83.11</v>
      </c>
    </row>
    <row r="97" spans="22:31" x14ac:dyDescent="0.3">
      <c r="V97" s="75">
        <v>45889.625</v>
      </c>
      <c r="W97" s="54">
        <v>109.76</v>
      </c>
      <c r="AD97" s="75">
        <v>45890.625</v>
      </c>
      <c r="AE97" s="54">
        <v>82.86</v>
      </c>
    </row>
    <row r="98" spans="22:31" x14ac:dyDescent="0.3">
      <c r="V98" s="75">
        <v>45890.625</v>
      </c>
      <c r="W98" s="54">
        <v>109.34</v>
      </c>
      <c r="AD98" s="75">
        <v>45891.625</v>
      </c>
      <c r="AE98" s="54">
        <v>83.38</v>
      </c>
    </row>
    <row r="99" spans="22:31" x14ac:dyDescent="0.3">
      <c r="V99" s="75">
        <v>45891.625</v>
      </c>
      <c r="W99" s="54">
        <v>110.2</v>
      </c>
      <c r="AD99" s="75">
        <v>45894.625</v>
      </c>
      <c r="AE99" s="54">
        <v>83.23</v>
      </c>
    </row>
    <row r="100" spans="22:31" x14ac:dyDescent="0.3">
      <c r="V100" s="75">
        <v>45894.625</v>
      </c>
      <c r="W100" s="54">
        <v>109.91</v>
      </c>
      <c r="AD100" s="75">
        <v>45895.625</v>
      </c>
      <c r="AE100" s="54">
        <v>83.36</v>
      </c>
    </row>
    <row r="101" spans="22:31" x14ac:dyDescent="0.3">
      <c r="V101" s="75">
        <v>45895.625</v>
      </c>
      <c r="W101" s="54">
        <v>109.99</v>
      </c>
      <c r="AD101" s="75">
        <v>45896.625</v>
      </c>
      <c r="AE101" s="54">
        <v>83.46</v>
      </c>
    </row>
    <row r="102" spans="22:31" x14ac:dyDescent="0.3">
      <c r="V102" s="75">
        <v>45896.625</v>
      </c>
      <c r="W102" s="54">
        <v>110.03</v>
      </c>
      <c r="AD102" s="75">
        <v>45897.625</v>
      </c>
      <c r="AE102" s="54">
        <v>83.53</v>
      </c>
    </row>
    <row r="103" spans="22:31" x14ac:dyDescent="0.3">
      <c r="V103" s="75">
        <v>45897.625</v>
      </c>
      <c r="W103" s="54">
        <v>110.2</v>
      </c>
      <c r="AD103" s="75">
        <v>45898.625</v>
      </c>
      <c r="AE103" s="54">
        <v>83.42</v>
      </c>
    </row>
    <row r="104" spans="22:31" x14ac:dyDescent="0.3">
      <c r="V104" s="75">
        <v>45898.625</v>
      </c>
      <c r="W104" s="54">
        <v>109.83</v>
      </c>
      <c r="AD104" s="75">
        <v>45902.625</v>
      </c>
      <c r="AE104" s="54">
        <v>82.9</v>
      </c>
    </row>
    <row r="105" spans="22:31" x14ac:dyDescent="0.3">
      <c r="V105" s="75">
        <v>45902.625</v>
      </c>
      <c r="W105" s="54">
        <v>109.05</v>
      </c>
      <c r="AD105" s="75">
        <v>45903.625</v>
      </c>
      <c r="AE105" s="54">
        <v>83.2</v>
      </c>
    </row>
    <row r="106" spans="22:31" x14ac:dyDescent="0.3">
      <c r="V106" s="75">
        <v>45903.625</v>
      </c>
      <c r="W106" s="54">
        <v>109.7</v>
      </c>
      <c r="AD106" s="75">
        <v>45904.625</v>
      </c>
      <c r="AE106" s="54">
        <v>83.66</v>
      </c>
    </row>
    <row r="107" spans="22:31" x14ac:dyDescent="0.3">
      <c r="V107" s="75">
        <v>45904.625</v>
      </c>
      <c r="W107" s="54">
        <v>110.45</v>
      </c>
      <c r="AD107" s="75">
        <v>45905.625</v>
      </c>
      <c r="AE107" s="54">
        <v>83.99</v>
      </c>
    </row>
    <row r="108" spans="22:31" x14ac:dyDescent="0.3">
      <c r="V108" s="75">
        <v>45905.625</v>
      </c>
      <c r="W108" s="54">
        <v>111.17</v>
      </c>
      <c r="AD108" s="75">
        <v>45908.625</v>
      </c>
      <c r="AE108" s="54">
        <v>84.15</v>
      </c>
    </row>
    <row r="109" spans="22:31" x14ac:dyDescent="0.3">
      <c r="V109" s="75">
        <v>45908.625</v>
      </c>
      <c r="W109" s="54">
        <v>111.56</v>
      </c>
      <c r="AD109" s="75">
        <v>45909.625</v>
      </c>
      <c r="AE109" s="54">
        <v>84.04</v>
      </c>
    </row>
    <row r="110" spans="22:31" x14ac:dyDescent="0.3">
      <c r="V110" s="75">
        <v>45909.625</v>
      </c>
      <c r="W110" s="54">
        <v>111.36</v>
      </c>
      <c r="AD110" s="75">
        <v>45910.625</v>
      </c>
      <c r="AE110" s="54">
        <v>84.24</v>
      </c>
    </row>
    <row r="111" spans="22:31" x14ac:dyDescent="0.3">
      <c r="V111" s="75">
        <v>45910.625</v>
      </c>
      <c r="W111" s="54">
        <v>111.69</v>
      </c>
      <c r="AD111" s="75">
        <v>45911.625</v>
      </c>
      <c r="AE111" s="54">
        <v>84.49</v>
      </c>
    </row>
    <row r="112" spans="22:31" x14ac:dyDescent="0.3">
      <c r="V112" s="75">
        <v>45911.625</v>
      </c>
      <c r="W112" s="54">
        <v>112.21</v>
      </c>
      <c r="AD112" s="75">
        <v>45912.625</v>
      </c>
      <c r="AE112" s="54">
        <v>84.34</v>
      </c>
    </row>
    <row r="113" spans="22:31" x14ac:dyDescent="0.3">
      <c r="V113" s="75">
        <v>45912.625</v>
      </c>
      <c r="W113" s="54">
        <v>112.01</v>
      </c>
      <c r="AD113" s="75">
        <v>45915.625</v>
      </c>
      <c r="AE113" s="54">
        <v>84.54</v>
      </c>
    </row>
    <row r="114" spans="22:31" x14ac:dyDescent="0.3">
      <c r="V114" s="75">
        <v>45915.625</v>
      </c>
      <c r="W114" s="54">
        <v>112.36</v>
      </c>
      <c r="AD114" s="75">
        <v>45916.625</v>
      </c>
      <c r="AE114" s="54">
        <v>84.53</v>
      </c>
    </row>
    <row r="115" spans="22:31" x14ac:dyDescent="0.3">
      <c r="V115" s="75">
        <v>45916.625</v>
      </c>
      <c r="W115" s="54">
        <v>112.26</v>
      </c>
      <c r="AD115" s="75">
        <v>45917.625</v>
      </c>
      <c r="AE115" s="54">
        <v>84.37</v>
      </c>
    </row>
    <row r="116" spans="22:31" x14ac:dyDescent="0.3">
      <c r="V116" s="75">
        <v>45917.625</v>
      </c>
      <c r="W116" s="54">
        <v>112.06</v>
      </c>
      <c r="AD116" s="75">
        <v>45918.625</v>
      </c>
      <c r="AE116" s="54">
        <v>84.295000000000002</v>
      </c>
    </row>
    <row r="117" spans="22:31" x14ac:dyDescent="0.3">
      <c r="V117" s="75">
        <v>45918.625</v>
      </c>
      <c r="W117" s="54">
        <v>111.83</v>
      </c>
      <c r="AD117" s="75">
        <v>45919.625</v>
      </c>
      <c r="AE117" s="54">
        <v>84.29</v>
      </c>
    </row>
    <row r="118" spans="22:31" x14ac:dyDescent="0.3">
      <c r="V118" s="75">
        <v>45919.625</v>
      </c>
      <c r="W118" s="54">
        <v>111.74</v>
      </c>
      <c r="AD118" s="75">
        <v>45922.625</v>
      </c>
      <c r="AE118" s="54">
        <v>84.154300000000006</v>
      </c>
    </row>
    <row r="119" spans="22:31" x14ac:dyDescent="0.3">
      <c r="V119" s="75">
        <v>45922.625</v>
      </c>
      <c r="W119" s="54">
        <v>111.48</v>
      </c>
      <c r="AD119" s="75">
        <v>45923.625</v>
      </c>
      <c r="AE119" s="54">
        <v>84.29</v>
      </c>
    </row>
    <row r="120" spans="22:31" x14ac:dyDescent="0.3">
      <c r="V120" s="75">
        <v>45923.625</v>
      </c>
      <c r="W120" s="54">
        <v>111.71</v>
      </c>
      <c r="AD120" s="75">
        <v>45924.625</v>
      </c>
      <c r="AE120" s="54">
        <v>84.05</v>
      </c>
    </row>
    <row r="121" spans="22:31" x14ac:dyDescent="0.3">
      <c r="V121" s="75">
        <v>45924.625</v>
      </c>
      <c r="W121" s="54">
        <v>111.26</v>
      </c>
      <c r="AD121" s="75">
        <v>45925.625</v>
      </c>
      <c r="AE121" s="54">
        <v>83.87</v>
      </c>
    </row>
    <row r="122" spans="22:31" x14ac:dyDescent="0.3">
      <c r="V122" s="75">
        <v>45925.625</v>
      </c>
      <c r="W122" s="54">
        <v>111.06</v>
      </c>
      <c r="AD122" s="75">
        <v>45926.625</v>
      </c>
      <c r="AE122" s="54">
        <v>83.93</v>
      </c>
    </row>
    <row r="123" spans="22:31" x14ac:dyDescent="0.3">
      <c r="V123" s="75">
        <v>45926.625</v>
      </c>
      <c r="W123" s="54">
        <v>111.21</v>
      </c>
      <c r="AD123" s="75">
        <v>45929.625</v>
      </c>
      <c r="AE123" s="54">
        <v>84.11</v>
      </c>
    </row>
    <row r="124" spans="22:31" x14ac:dyDescent="0.3">
      <c r="V124" s="75">
        <v>45929.625</v>
      </c>
      <c r="W124" s="54">
        <v>111.58</v>
      </c>
      <c r="AD124" s="75">
        <v>45930.625</v>
      </c>
      <c r="AE124" s="54">
        <v>84.11</v>
      </c>
    </row>
    <row r="125" spans="22:31" x14ac:dyDescent="0.3">
      <c r="V125" s="75">
        <v>45930.625</v>
      </c>
      <c r="W125" s="54">
        <v>111.47</v>
      </c>
      <c r="AD125" s="75">
        <v>45931.625</v>
      </c>
      <c r="AE125" s="54">
        <v>84.07</v>
      </c>
    </row>
    <row r="126" spans="22:31" x14ac:dyDescent="0.3">
      <c r="V126" s="75">
        <v>45931.625</v>
      </c>
      <c r="W126" s="54">
        <v>111.51</v>
      </c>
      <c r="AD126" s="75">
        <v>45932.625</v>
      </c>
      <c r="AE126" s="54">
        <v>84.16</v>
      </c>
    </row>
    <row r="127" spans="22:31" x14ac:dyDescent="0.3">
      <c r="V127" s="75">
        <v>45932.625</v>
      </c>
      <c r="W127" s="54">
        <v>111.69</v>
      </c>
      <c r="AD127" s="75">
        <v>45933.625</v>
      </c>
      <c r="AE127" s="54">
        <v>84.06</v>
      </c>
    </row>
    <row r="128" spans="22:31" x14ac:dyDescent="0.3">
      <c r="V128" s="75">
        <v>45933.625</v>
      </c>
      <c r="W128" s="54">
        <v>111.55</v>
      </c>
      <c r="AD128" s="75">
        <v>45936.625</v>
      </c>
      <c r="AE128" s="54">
        <v>83.89</v>
      </c>
    </row>
    <row r="129" spans="22:31" x14ac:dyDescent="0.3">
      <c r="V129" s="75">
        <v>45936.625</v>
      </c>
      <c r="W129" s="54">
        <v>111.19</v>
      </c>
      <c r="AD129" s="75">
        <v>45937.625</v>
      </c>
      <c r="AE129" s="54">
        <v>84</v>
      </c>
    </row>
    <row r="130" spans="22:31" x14ac:dyDescent="0.3">
      <c r="V130" s="75">
        <v>45937.625</v>
      </c>
      <c r="W130" s="54">
        <v>111.4</v>
      </c>
      <c r="AD130" s="75">
        <v>45938.625</v>
      </c>
      <c r="AE130" s="54">
        <v>83.91</v>
      </c>
    </row>
    <row r="131" spans="22:31" x14ac:dyDescent="0.3">
      <c r="V131" s="75">
        <v>45938.625</v>
      </c>
      <c r="W131" s="54">
        <v>111.26</v>
      </c>
      <c r="AD131" s="75">
        <v>45939.625</v>
      </c>
      <c r="AE131" s="54">
        <v>83.78</v>
      </c>
    </row>
    <row r="132" spans="22:31" x14ac:dyDescent="0.3">
      <c r="V132" s="75">
        <v>45939.625</v>
      </c>
      <c r="W132" s="54">
        <v>111.04</v>
      </c>
      <c r="AD132" s="75">
        <v>45940.625</v>
      </c>
      <c r="AE132" s="54">
        <v>83.94</v>
      </c>
    </row>
    <row r="133" spans="22:31" x14ac:dyDescent="0.3">
      <c r="V133" s="75">
        <v>45940.625</v>
      </c>
      <c r="W133" s="54">
        <v>111.36</v>
      </c>
      <c r="AD133" s="75">
        <v>45943.625</v>
      </c>
      <c r="AE133" s="54">
        <v>84.18</v>
      </c>
    </row>
    <row r="134" spans="22:31" x14ac:dyDescent="0.3">
      <c r="V134" s="75">
        <v>45943.625</v>
      </c>
      <c r="W134" s="54">
        <v>111.73</v>
      </c>
      <c r="AD134" s="75">
        <v>45944.625</v>
      </c>
      <c r="AE134" s="54">
        <v>84.33</v>
      </c>
    </row>
    <row r="135" spans="22:31" x14ac:dyDescent="0.3">
      <c r="V135" s="75">
        <v>45944.625</v>
      </c>
      <c r="W135" s="54">
        <v>112.1</v>
      </c>
      <c r="AD135" s="75">
        <v>45945.625</v>
      </c>
      <c r="AE135" s="54">
        <v>84.38</v>
      </c>
    </row>
    <row r="136" spans="22:31" x14ac:dyDescent="0.3">
      <c r="V136" s="75">
        <v>45945.625</v>
      </c>
      <c r="W136" s="54">
        <v>112.1</v>
      </c>
      <c r="AD136" s="75">
        <v>45946.625</v>
      </c>
      <c r="AE136" s="54">
        <v>84.594999999999999</v>
      </c>
    </row>
    <row r="137" spans="22:31" x14ac:dyDescent="0.3">
      <c r="V137" s="75">
        <v>45946.625</v>
      </c>
      <c r="W137" s="54">
        <v>112.42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18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topLeftCell="A3" zoomScale="80" zoomScaleNormal="80" workbookViewId="0">
      <selection activeCell="B21" sqref="B21"/>
    </sheetView>
  </sheetViews>
  <sheetFormatPr defaultColWidth="9.109375" defaultRowHeight="14.4" x14ac:dyDescent="0.3"/>
  <cols>
    <col min="1" max="1" width="15.44140625" style="134" bestFit="1" customWidth="1"/>
    <col min="2" max="2" width="21.33203125" style="3" bestFit="1" customWidth="1"/>
    <col min="3" max="3" width="19.109375" style="3" bestFit="1" customWidth="1"/>
    <col min="4" max="4" width="1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5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2">
        <f ca="1">TODAY()-150</f>
        <v>45797</v>
      </c>
    </row>
    <row r="2" spans="1:18" ht="15" thickBot="1" x14ac:dyDescent="0.35">
      <c r="A2" s="14"/>
      <c r="B2" s="27" t="s">
        <v>0</v>
      </c>
      <c r="C2" s="28" t="s">
        <v>1</v>
      </c>
      <c r="D2" s="111" t="s">
        <v>0</v>
      </c>
      <c r="E2" s="1"/>
      <c r="H2" s="1"/>
      <c r="L2" s="3"/>
      <c r="M2" s="52" cm="1">
        <f t="array" aca="1" ref="M2:N109" ca="1">_xll.BDH(B4, "px_last",M1,"")</f>
        <v>45797</v>
      </c>
      <c r="N2" s="3">
        <f ca="1"/>
        <v>59.835000000000001</v>
      </c>
      <c r="O2" s="52" cm="1">
        <f t="array" aca="1" ref="O2:P105" ca="1">_xll.BDH(C4, "px_last",M1,"")</f>
        <v>45797</v>
      </c>
      <c r="P2" s="3">
        <f ca="1"/>
        <v>100.066</v>
      </c>
      <c r="Q2" s="52" cm="1">
        <f t="array" aca="1" ref="Q2:R54" ca="1">_xll.BDH(D4, "px_last",M1,"")</f>
        <v>45875</v>
      </c>
      <c r="R2" s="3">
        <f ca="1"/>
        <v>100.0703125</v>
      </c>
    </row>
    <row r="3" spans="1:18" x14ac:dyDescent="0.3">
      <c r="A3" s="14" t="s">
        <v>32</v>
      </c>
      <c r="B3" s="15" t="s">
        <v>82</v>
      </c>
      <c r="C3" s="5" t="s">
        <v>84</v>
      </c>
      <c r="D3" s="14" t="s">
        <v>68</v>
      </c>
      <c r="L3" s="3"/>
      <c r="M3" s="52">
        <f ca="1"/>
        <v>45798</v>
      </c>
      <c r="N3" s="3">
        <f ca="1"/>
        <v>60.844000000000001</v>
      </c>
      <c r="O3" s="52">
        <f ca="1"/>
        <v>45798</v>
      </c>
      <c r="P3" s="3">
        <f ca="1"/>
        <v>99.025999999999996</v>
      </c>
      <c r="Q3" s="52">
        <f ca="1"/>
        <v>45876</v>
      </c>
      <c r="R3" s="3">
        <f ca="1"/>
        <v>99.9921875</v>
      </c>
    </row>
    <row r="4" spans="1:18" ht="30" customHeight="1" x14ac:dyDescent="0.3">
      <c r="A4" s="15" t="s">
        <v>33</v>
      </c>
      <c r="B4" s="17" t="s">
        <v>83</v>
      </c>
      <c r="C4" s="6" t="s">
        <v>85</v>
      </c>
      <c r="D4" s="17" t="s">
        <v>72</v>
      </c>
      <c r="L4" s="3"/>
      <c r="M4" s="52">
        <f ca="1"/>
        <v>45799</v>
      </c>
      <c r="N4" s="3">
        <f ca="1"/>
        <v>64.116</v>
      </c>
      <c r="O4" s="52">
        <f ca="1"/>
        <v>45799</v>
      </c>
      <c r="P4" s="3">
        <f ca="1"/>
        <v>99.465000000000003</v>
      </c>
      <c r="Q4" s="52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2">
        <f ca="1"/>
        <v>45800</v>
      </c>
      <c r="N5" s="3">
        <f ca="1"/>
        <v>65.477999999999994</v>
      </c>
      <c r="O5" s="52">
        <f ca="1"/>
        <v>45800</v>
      </c>
      <c r="P5" s="3">
        <f ca="1"/>
        <v>99.475999999999999</v>
      </c>
      <c r="Q5" s="52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12">
        <v>4.2500000000000003E-2</v>
      </c>
      <c r="L6" s="3"/>
      <c r="M6" s="52">
        <f ca="1"/>
        <v>45803</v>
      </c>
      <c r="N6" s="3">
        <f ca="1"/>
        <v>65.347999999999999</v>
      </c>
      <c r="O6" s="52">
        <f ca="1"/>
        <v>45804</v>
      </c>
      <c r="P6" s="3">
        <f ca="1"/>
        <v>100.30800000000001</v>
      </c>
      <c r="Q6" s="52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12">
        <v>4.1000000000000002E-2</v>
      </c>
      <c r="E7" s="1"/>
      <c r="H7" s="1"/>
      <c r="L7" s="3"/>
      <c r="M7" s="52">
        <f ca="1"/>
        <v>45804</v>
      </c>
      <c r="N7" s="3">
        <f ca="1"/>
        <v>60.889000000000003</v>
      </c>
      <c r="O7" s="52">
        <f ca="1"/>
        <v>45805</v>
      </c>
      <c r="P7" s="3">
        <f ca="1"/>
        <v>100.041</v>
      </c>
      <c r="Q7" s="52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2">
        <f ca="1"/>
        <v>45805</v>
      </c>
      <c r="N8" s="3">
        <f ca="1"/>
        <v>60.351999999999997</v>
      </c>
      <c r="O8" s="52">
        <f ca="1"/>
        <v>45806</v>
      </c>
      <c r="P8" s="3">
        <f ca="1"/>
        <v>100.55800000000001</v>
      </c>
      <c r="Q8" s="52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2">
        <f ca="1"/>
        <v>45806</v>
      </c>
      <c r="N9" s="3">
        <f ca="1"/>
        <v>60.35</v>
      </c>
      <c r="O9" s="52">
        <f ca="1"/>
        <v>45807</v>
      </c>
      <c r="P9" s="3">
        <f ca="1"/>
        <v>100.679</v>
      </c>
      <c r="Q9" s="52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2">
        <f ca="1"/>
        <v>45807</v>
      </c>
      <c r="N10" s="3">
        <f ca="1"/>
        <v>60.487000000000002</v>
      </c>
      <c r="O10" s="52">
        <f ca="1"/>
        <v>45810</v>
      </c>
      <c r="P10" s="3">
        <f ca="1"/>
        <v>100.422</v>
      </c>
      <c r="Q10" s="52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2">
        <f ca="1"/>
        <v>45810</v>
      </c>
      <c r="N11" s="3">
        <f ca="1"/>
        <v>60.633000000000003</v>
      </c>
      <c r="O11" s="52">
        <f ca="1"/>
        <v>45811</v>
      </c>
      <c r="P11" s="3">
        <f ca="1"/>
        <v>100.51300000000001</v>
      </c>
      <c r="Q11" s="52">
        <f ca="1"/>
        <v>45888</v>
      </c>
      <c r="R11" s="3">
        <f ca="1"/>
        <v>99.5390625</v>
      </c>
    </row>
    <row r="12" spans="1:18" ht="15" thickBot="1" x14ac:dyDescent="0.35">
      <c r="A12" s="39" t="s">
        <v>22</v>
      </c>
      <c r="B12" s="153" t="s">
        <v>0</v>
      </c>
      <c r="C12" s="154"/>
      <c r="D12" s="155"/>
      <c r="E12" s="156" t="s">
        <v>1</v>
      </c>
      <c r="F12" s="157"/>
      <c r="G12" s="158"/>
      <c r="H12" s="171" t="s">
        <v>0</v>
      </c>
      <c r="I12" s="169"/>
      <c r="J12" s="172"/>
      <c r="K12" s="39" t="s">
        <v>16</v>
      </c>
      <c r="M12" s="52">
        <f ca="1"/>
        <v>45811</v>
      </c>
      <c r="N12" s="3">
        <f ca="1"/>
        <v>59.41</v>
      </c>
      <c r="O12" s="52">
        <f ca="1"/>
        <v>45812</v>
      </c>
      <c r="P12" s="3">
        <f ca="1"/>
        <v>101.38500000000001</v>
      </c>
      <c r="Q12" s="52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2">
        <f ca="1"/>
        <v>45812</v>
      </c>
      <c r="N13" s="3">
        <f ca="1"/>
        <v>58.587000000000003</v>
      </c>
      <c r="O13" s="52">
        <f ca="1"/>
        <v>45813</v>
      </c>
      <c r="P13" s="3">
        <f ca="1"/>
        <v>100.863</v>
      </c>
      <c r="Q13" s="52">
        <f ca="1"/>
        <v>45890</v>
      </c>
      <c r="R13" s="3">
        <f ca="1"/>
        <v>99.3671875</v>
      </c>
    </row>
    <row r="14" spans="1:18" x14ac:dyDescent="0.3">
      <c r="A14" s="131">
        <v>45938</v>
      </c>
      <c r="B14" s="45">
        <v>54.5</v>
      </c>
      <c r="C14" s="31"/>
      <c r="D14" s="5"/>
      <c r="E14" s="45">
        <f ca="1">VLOOKUP(A14,O:P,2)</f>
        <v>104.66200000000001</v>
      </c>
      <c r="F14" s="1"/>
      <c r="G14" s="5"/>
      <c r="H14" s="45">
        <f ca="1">VLOOKUP(A14,Q:R,2)</f>
        <v>101.046875</v>
      </c>
      <c r="I14" s="1"/>
      <c r="J14" s="5"/>
      <c r="K14" s="81">
        <v>0</v>
      </c>
      <c r="M14" s="52">
        <f ca="1"/>
        <v>45813</v>
      </c>
      <c r="N14" s="3">
        <f ca="1"/>
        <v>58.533000000000001</v>
      </c>
      <c r="O14" s="52">
        <f ca="1"/>
        <v>45814</v>
      </c>
      <c r="P14" s="3">
        <f ca="1"/>
        <v>100.096</v>
      </c>
      <c r="Q14" s="52">
        <f ca="1"/>
        <v>45891</v>
      </c>
      <c r="R14" s="3">
        <f ca="1"/>
        <v>99.9609375</v>
      </c>
    </row>
    <row r="15" spans="1:18" x14ac:dyDescent="0.3">
      <c r="A15" s="131">
        <v>45939</v>
      </c>
      <c r="B15" s="45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5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5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82">
        <f ca="1">C15+D15-F15-G15+I15+J15</f>
        <v>-9054.9197092012582</v>
      </c>
      <c r="M15" s="52">
        <f ca="1"/>
        <v>45814</v>
      </c>
      <c r="N15" s="3">
        <f ca="1"/>
        <v>58.752000000000002</v>
      </c>
      <c r="O15" s="52">
        <f ca="1"/>
        <v>45817</v>
      </c>
      <c r="P15" s="3">
        <f ca="1"/>
        <v>100.477</v>
      </c>
      <c r="Q15" s="52">
        <f ca="1"/>
        <v>45894</v>
      </c>
      <c r="R15" s="3">
        <f ca="1"/>
        <v>99.7890625</v>
      </c>
    </row>
    <row r="16" spans="1:18" x14ac:dyDescent="0.3">
      <c r="A16" s="131">
        <v>45940</v>
      </c>
      <c r="B16" s="45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5">
        <f t="shared" ref="E16" ca="1" si="1">VLOOKUP(A16,O:P,2)</f>
        <v>104.739</v>
      </c>
      <c r="F16" s="31">
        <f ca="1">(E16-$E$14)/100*$C$5</f>
        <v>7699.9999999998181</v>
      </c>
      <c r="G16" s="32">
        <f ca="1">$C$6*(A16-$A$14)/360*$C$5-$C$7*(A16-$A$14)/360*$C$5*$E$14/100</f>
        <v>651.58777777777777</v>
      </c>
      <c r="H16" s="45">
        <f t="shared" ref="H16" ca="1" si="2">VLOOKUP(A16,Q:R,2)</f>
        <v>101.734375</v>
      </c>
      <c r="I16" s="31">
        <f ca="1">(H16-$H$14)/100*$D$5</f>
        <v>66481.25</v>
      </c>
      <c r="J16" s="32">
        <f ca="1">$D$6*(A16-$A$14)/360*$D$5-$D$7*(A16-$A$14)/360*$D$5*$H$14/100</f>
        <v>57.524748263888796</v>
      </c>
      <c r="K16" s="82">
        <f ca="1">C16+D16-F16-G16+I16+J16</f>
        <v>1101.0980815974117</v>
      </c>
      <c r="M16" s="52">
        <f ca="1"/>
        <v>45817</v>
      </c>
      <c r="N16" s="3">
        <f ca="1"/>
        <v>58.752000000000002</v>
      </c>
      <c r="O16" s="52">
        <f ca="1"/>
        <v>45818</v>
      </c>
      <c r="P16" s="3">
        <f ca="1"/>
        <v>100.437</v>
      </c>
      <c r="Q16" s="52">
        <f ca="1"/>
        <v>45895</v>
      </c>
      <c r="R16" s="3">
        <f ca="1"/>
        <v>99.8984375</v>
      </c>
    </row>
    <row r="17" spans="1:18" x14ac:dyDescent="0.3">
      <c r="A17" s="131">
        <v>45943</v>
      </c>
      <c r="B17" s="45">
        <v>59.666499999999999</v>
      </c>
      <c r="C17" s="31">
        <f t="shared" ref="C17" si="3">-1*(B17-$B$14)*$B$8*$B$5*10^-4</f>
        <v>-60758.039999999994</v>
      </c>
      <c r="D17" s="32">
        <f t="shared" ref="D17" si="4">$B$6*(A17-$A$14)/360*$B$5</f>
        <v>3402.7777777777778</v>
      </c>
      <c r="E17" s="45">
        <f t="shared" ref="E17" ca="1" si="5">VLOOKUP(A17,O:P,2)</f>
        <v>104.739</v>
      </c>
      <c r="F17" s="31">
        <f t="shared" ref="F17" ca="1" si="6">(E17-$E$14)/100*$C$5</f>
        <v>7699.9999999998181</v>
      </c>
      <c r="G17" s="32">
        <f t="shared" ref="G17" ca="1" si="7">$C$6*(A17-$A$14)/360*$C$5-$C$7*(A17-$A$14)/360*$C$5*$E$14/100</f>
        <v>1628.9694444444449</v>
      </c>
      <c r="H17" s="45">
        <f t="shared" ref="H17" ca="1" si="8">VLOOKUP(A17,Q:R,2)</f>
        <v>101.734375</v>
      </c>
      <c r="I17" s="31">
        <f t="shared" ref="I17" ca="1" si="9">(H17-$H$14)/100*$D$5</f>
        <v>66481.25</v>
      </c>
      <c r="J17" s="32">
        <f t="shared" ref="J17" ca="1" si="10">$D$6*(A17-$A$14)/360*$D$5-$D$7*(A17-$A$14)/360*$D$5*$H$14/100</f>
        <v>143.81187065972244</v>
      </c>
      <c r="K17" s="82">
        <f t="shared" ref="K17" ca="1" si="11">C17+D17-F17-G17+I17+J17</f>
        <v>-59.169796006747674</v>
      </c>
      <c r="M17" s="52">
        <f ca="1"/>
        <v>45818</v>
      </c>
      <c r="N17" s="3">
        <f ca="1"/>
        <v>57.036999999999999</v>
      </c>
      <c r="O17" s="52">
        <f ca="1"/>
        <v>45819</v>
      </c>
      <c r="P17" s="3">
        <f ca="1"/>
        <v>100.79600000000001</v>
      </c>
      <c r="Q17" s="52">
        <f ca="1"/>
        <v>45896</v>
      </c>
      <c r="R17" s="3">
        <f ca="1"/>
        <v>100.1171875</v>
      </c>
    </row>
    <row r="18" spans="1:18" x14ac:dyDescent="0.3">
      <c r="A18" s="131">
        <v>45944</v>
      </c>
      <c r="B18" s="45">
        <v>58.685699999999997</v>
      </c>
      <c r="C18" s="31">
        <f t="shared" ref="C18" si="12">-1*(B18-$B$14)*$B$8*$B$5*10^-4</f>
        <v>-49223.831999999958</v>
      </c>
      <c r="D18" s="32">
        <f t="shared" ref="D18" si="13">$B$6*(A18-$A$14)/360*$B$5</f>
        <v>4083.333333333333</v>
      </c>
      <c r="E18" s="45">
        <f t="shared" ref="E18" ca="1" si="14">VLOOKUP(A18,O:P,2)</f>
        <v>105.012</v>
      </c>
      <c r="F18" s="31">
        <f t="shared" ref="F18" ca="1" si="15">(E18-$E$14)/100*$C$5</f>
        <v>34999.999999999432</v>
      </c>
      <c r="G18" s="32">
        <f t="shared" ref="G18" ca="1" si="16">$C$6*(A18-$A$14)/360*$C$5-$C$7*(A18-$A$14)/360*$C$5*$E$14/100</f>
        <v>1954.7633333333342</v>
      </c>
      <c r="H18" s="45">
        <f t="shared" ref="H18" ca="1" si="17">VLOOKUP(A18,Q:R,2)</f>
        <v>101.7421875</v>
      </c>
      <c r="I18" s="31">
        <f t="shared" ref="I18" ca="1" si="18">(H18-$H$14)/100*$D$5</f>
        <v>67236.71875</v>
      </c>
      <c r="J18" s="32">
        <f t="shared" ref="J18" ca="1" si="19">$D$6*(A18-$A$14)/360*$D$5-$D$7*(A18-$A$14)/360*$D$5*$H$14/100</f>
        <v>172.5742447916673</v>
      </c>
      <c r="K18" s="82">
        <f t="shared" ref="K18" ca="1" si="20">C18+D18-F18-G18+I18+J18</f>
        <v>-14685.969005207724</v>
      </c>
      <c r="M18" s="52">
        <f ca="1"/>
        <v>45819</v>
      </c>
      <c r="N18" s="3">
        <f ca="1"/>
        <v>57.186</v>
      </c>
      <c r="O18" s="52">
        <f ca="1"/>
        <v>45820</v>
      </c>
      <c r="P18" s="3">
        <f ca="1"/>
        <v>101.16</v>
      </c>
      <c r="Q18" s="52">
        <f ca="1"/>
        <v>45897</v>
      </c>
      <c r="R18" s="3">
        <f ca="1"/>
        <v>100.359375</v>
      </c>
    </row>
    <row r="19" spans="1:18" x14ac:dyDescent="0.3">
      <c r="A19" s="131">
        <v>45945</v>
      </c>
      <c r="B19" s="45">
        <v>56.786799999999999</v>
      </c>
      <c r="C19" s="31">
        <f t="shared" ref="C19:C20" si="21">-1*(B19-$B$14)*$B$8*$B$5*10^-4</f>
        <v>-26892.767999999996</v>
      </c>
      <c r="D19" s="32">
        <f t="shared" ref="D19:D20" si="22">$B$6*(A19-$A$14)/360*$B$5</f>
        <v>4763.8888888888896</v>
      </c>
      <c r="E19" s="45">
        <f t="shared" ref="E19:E20" ca="1" si="23">VLOOKUP(A19,O:P,2)</f>
        <v>105.131</v>
      </c>
      <c r="F19" s="31">
        <f t="shared" ref="F19:F20" ca="1" si="24">(E19-$E$14)/100*$C$5</f>
        <v>46899.999999999411</v>
      </c>
      <c r="G19" s="32">
        <f t="shared" ref="G19:G20" ca="1" si="25">$C$6*(A19-$A$14)/360*$C$5-$C$7*(A19-$A$14)/360*$C$5*$E$14/100</f>
        <v>2280.5572222222199</v>
      </c>
      <c r="H19" s="45">
        <f t="shared" ref="H19:H20" ca="1" si="26">VLOOKUP(A19,Q:R,2)</f>
        <v>101.7734375</v>
      </c>
      <c r="I19" s="31">
        <f t="shared" ref="I19:I20" ca="1" si="27">(H19-$H$14)/100*$D$5</f>
        <v>70258.59375</v>
      </c>
      <c r="J19" s="32">
        <f t="shared" ref="J19:J20" ca="1" si="28">$D$6*(A19-$A$14)/360*$D$5-$D$7*(A19-$A$14)/360*$D$5*$H$14/100</f>
        <v>201.33661892361124</v>
      </c>
      <c r="K19" s="82">
        <f t="shared" ref="K19:K20" ca="1" si="29">C19+D19-F19-G19+I19+J19</f>
        <v>-849.50596440913796</v>
      </c>
      <c r="M19" s="52">
        <f ca="1"/>
        <v>45820</v>
      </c>
      <c r="N19" s="3">
        <f ca="1"/>
        <v>57.186</v>
      </c>
      <c r="O19" s="52">
        <f ca="1"/>
        <v>45821</v>
      </c>
      <c r="P19" s="3">
        <f ca="1"/>
        <v>100.727</v>
      </c>
      <c r="Q19" s="52">
        <f ca="1"/>
        <v>45898</v>
      </c>
      <c r="R19" s="3">
        <f ca="1"/>
        <v>100.15625</v>
      </c>
    </row>
    <row r="20" spans="1:18" x14ac:dyDescent="0.3">
      <c r="A20" s="131">
        <v>45946</v>
      </c>
      <c r="B20" s="45">
        <v>57.617400000000004</v>
      </c>
      <c r="C20" s="31">
        <f t="shared" si="21"/>
        <v>-36660.624000000047</v>
      </c>
      <c r="D20" s="32">
        <f t="shared" si="22"/>
        <v>5444.4444444444443</v>
      </c>
      <c r="E20" s="45">
        <f t="shared" ca="1" si="23"/>
        <v>105.45099999999999</v>
      </c>
      <c r="F20" s="31">
        <f t="shared" ca="1" si="24"/>
        <v>78899.999999998734</v>
      </c>
      <c r="G20" s="32">
        <f t="shared" ca="1" si="25"/>
        <v>2606.3511111111111</v>
      </c>
      <c r="H20" s="45">
        <f t="shared" ca="1" si="26"/>
        <v>102.2109375</v>
      </c>
      <c r="I20" s="31">
        <f t="shared" ca="1" si="27"/>
        <v>112564.84375</v>
      </c>
      <c r="J20" s="32">
        <f t="shared" ca="1" si="28"/>
        <v>230.09899305555518</v>
      </c>
      <c r="K20" s="82">
        <f t="shared" ca="1" si="29"/>
        <v>72.41207639010463</v>
      </c>
      <c r="M20" s="52">
        <f ca="1"/>
        <v>45821</v>
      </c>
      <c r="N20" s="3">
        <f ca="1"/>
        <v>57.186</v>
      </c>
      <c r="O20" s="52">
        <f ca="1"/>
        <v>45824</v>
      </c>
      <c r="P20" s="3">
        <f ca="1"/>
        <v>100.501</v>
      </c>
      <c r="Q20" s="52">
        <f ca="1"/>
        <v>45901</v>
      </c>
      <c r="R20" s="3">
        <f ca="1"/>
        <v>100.15625</v>
      </c>
    </row>
    <row r="21" spans="1:18" x14ac:dyDescent="0.3">
      <c r="A21" s="131">
        <v>45947</v>
      </c>
      <c r="B21" s="45"/>
      <c r="C21" s="31"/>
      <c r="D21" s="32"/>
      <c r="E21" s="45"/>
      <c r="F21" s="31"/>
      <c r="G21" s="32"/>
      <c r="H21" s="45"/>
      <c r="I21" s="31"/>
      <c r="J21" s="32"/>
      <c r="K21" s="82"/>
      <c r="M21" s="52">
        <f ca="1"/>
        <v>45824</v>
      </c>
      <c r="N21" s="3">
        <f ca="1"/>
        <v>57.186</v>
      </c>
      <c r="O21" s="52">
        <f ca="1"/>
        <v>45825</v>
      </c>
      <c r="P21" s="3">
        <f ca="1"/>
        <v>100.82599999999999</v>
      </c>
      <c r="Q21" s="52">
        <f ca="1"/>
        <v>45902</v>
      </c>
      <c r="R21" s="3">
        <f ca="1"/>
        <v>99.8984375</v>
      </c>
    </row>
    <row r="22" spans="1:18" x14ac:dyDescent="0.3">
      <c r="A22" s="131">
        <v>45950</v>
      </c>
      <c r="B22" s="45"/>
      <c r="C22" s="31"/>
      <c r="D22" s="32"/>
      <c r="E22" s="45"/>
      <c r="F22" s="31"/>
      <c r="G22" s="32"/>
      <c r="H22" s="45"/>
      <c r="I22" s="31"/>
      <c r="J22" s="32"/>
      <c r="K22" s="82"/>
      <c r="M22" s="52">
        <f ca="1"/>
        <v>45825</v>
      </c>
      <c r="N22" s="3">
        <f ca="1"/>
        <v>57.186</v>
      </c>
      <c r="O22" s="52">
        <f ca="1"/>
        <v>45826</v>
      </c>
      <c r="P22" s="3">
        <f ca="1"/>
        <v>100.81399999999999</v>
      </c>
      <c r="Q22" s="52">
        <f ca="1"/>
        <v>45903</v>
      </c>
      <c r="R22" s="3">
        <f ca="1"/>
        <v>100.2578125</v>
      </c>
    </row>
    <row r="23" spans="1:18" ht="14.4" customHeight="1" x14ac:dyDescent="0.3">
      <c r="A23" s="131">
        <v>45951</v>
      </c>
      <c r="B23" s="45"/>
      <c r="C23" s="31"/>
      <c r="D23" s="32"/>
      <c r="E23" s="45"/>
      <c r="F23" s="31"/>
      <c r="G23" s="32"/>
      <c r="H23" s="45"/>
      <c r="I23" s="31"/>
      <c r="J23" s="32"/>
      <c r="K23" s="82"/>
      <c r="M23" s="52">
        <f ca="1"/>
        <v>45826</v>
      </c>
      <c r="N23" s="3">
        <f ca="1"/>
        <v>57.186</v>
      </c>
      <c r="O23" s="52">
        <f ca="1"/>
        <v>45828</v>
      </c>
      <c r="P23" s="3">
        <f ca="1"/>
        <v>100.89</v>
      </c>
      <c r="Q23" s="52">
        <f ca="1"/>
        <v>45904</v>
      </c>
      <c r="R23" s="3">
        <f ca="1"/>
        <v>100.7109375</v>
      </c>
    </row>
    <row r="24" spans="1:18" ht="14.4" customHeight="1" x14ac:dyDescent="0.3">
      <c r="A24" s="131">
        <v>45952</v>
      </c>
      <c r="B24" s="45"/>
      <c r="C24" s="31"/>
      <c r="D24" s="32"/>
      <c r="E24" s="45"/>
      <c r="F24" s="31"/>
      <c r="G24" s="32"/>
      <c r="H24" s="45"/>
      <c r="I24" s="31"/>
      <c r="J24" s="32"/>
      <c r="K24" s="82"/>
      <c r="M24" s="52">
        <f ca="1"/>
        <v>45827</v>
      </c>
      <c r="N24" s="3">
        <f ca="1"/>
        <v>57.186</v>
      </c>
      <c r="O24" s="52">
        <f ca="1"/>
        <v>45831</v>
      </c>
      <c r="P24" s="3">
        <f ca="1"/>
        <v>101.033</v>
      </c>
      <c r="Q24" s="52">
        <f ca="1"/>
        <v>45905</v>
      </c>
      <c r="R24" s="3">
        <f ca="1"/>
        <v>101.40625</v>
      </c>
    </row>
    <row r="25" spans="1:18" ht="14.4" customHeight="1" x14ac:dyDescent="0.3">
      <c r="A25" s="131">
        <v>45953</v>
      </c>
      <c r="B25" s="45"/>
      <c r="C25" s="31"/>
      <c r="D25" s="32"/>
      <c r="E25" s="45"/>
      <c r="F25" s="31"/>
      <c r="G25" s="32"/>
      <c r="H25" s="45"/>
      <c r="I25" s="31"/>
      <c r="J25" s="32"/>
      <c r="K25" s="82"/>
      <c r="M25" s="52">
        <f ca="1"/>
        <v>45828</v>
      </c>
      <c r="N25" s="3">
        <f ca="1"/>
        <v>57.186</v>
      </c>
      <c r="O25" s="52">
        <f ca="1"/>
        <v>45832</v>
      </c>
      <c r="P25" s="3">
        <f ca="1"/>
        <v>101.688</v>
      </c>
      <c r="Q25" s="52">
        <f ca="1"/>
        <v>45908</v>
      </c>
      <c r="R25" s="3">
        <f ca="1"/>
        <v>101.6953125</v>
      </c>
    </row>
    <row r="26" spans="1:18" ht="14.4" customHeight="1" x14ac:dyDescent="0.3">
      <c r="A26" s="131">
        <v>45954</v>
      </c>
      <c r="B26" s="45"/>
      <c r="C26" s="31"/>
      <c r="D26" s="32"/>
      <c r="E26" s="45"/>
      <c r="F26" s="31"/>
      <c r="G26" s="32"/>
      <c r="H26" s="45"/>
      <c r="I26" s="31"/>
      <c r="J26" s="32"/>
      <c r="K26" s="82"/>
      <c r="M26" s="52">
        <f ca="1"/>
        <v>45831</v>
      </c>
      <c r="N26" s="3">
        <f ca="1"/>
        <v>57.186</v>
      </c>
      <c r="O26" s="52">
        <f ca="1"/>
        <v>45833</v>
      </c>
      <c r="P26" s="3">
        <f ca="1"/>
        <v>101.746</v>
      </c>
      <c r="Q26" s="52">
        <f ca="1"/>
        <v>45909</v>
      </c>
      <c r="R26" s="3">
        <f ca="1"/>
        <v>101.3046875</v>
      </c>
    </row>
    <row r="27" spans="1:18" ht="14.4" customHeight="1" x14ac:dyDescent="0.3">
      <c r="A27" s="131">
        <v>45955</v>
      </c>
      <c r="B27" s="31"/>
      <c r="C27" s="31"/>
      <c r="D27" s="32"/>
      <c r="E27" s="45"/>
      <c r="F27" s="31"/>
      <c r="G27" s="32"/>
      <c r="H27" s="45"/>
      <c r="I27" s="31"/>
      <c r="J27" s="32"/>
      <c r="K27" s="82"/>
      <c r="M27" s="52">
        <f ca="1"/>
        <v>45832</v>
      </c>
      <c r="N27" s="3">
        <f ca="1"/>
        <v>57.186</v>
      </c>
      <c r="O27" s="52">
        <f ca="1"/>
        <v>45834</v>
      </c>
      <c r="P27" s="3">
        <f ca="1"/>
        <v>102.17100000000001</v>
      </c>
      <c r="Q27" s="52">
        <f ca="1"/>
        <v>45910</v>
      </c>
      <c r="R27" s="3">
        <f ca="1"/>
        <v>101.640625</v>
      </c>
    </row>
    <row r="28" spans="1:18" ht="14.4" customHeight="1" x14ac:dyDescent="0.3">
      <c r="A28" s="131">
        <v>45956</v>
      </c>
      <c r="B28" s="45"/>
      <c r="C28" s="31"/>
      <c r="D28" s="32"/>
      <c r="E28" s="45"/>
      <c r="F28" s="31"/>
      <c r="G28" s="32"/>
      <c r="H28" s="45"/>
      <c r="I28" s="31"/>
      <c r="J28" s="32"/>
      <c r="K28" s="82"/>
      <c r="M28" s="52">
        <f ca="1"/>
        <v>45833</v>
      </c>
      <c r="N28" s="3">
        <f ca="1"/>
        <v>57.186</v>
      </c>
      <c r="O28" s="52">
        <f ca="1"/>
        <v>45835</v>
      </c>
      <c r="P28" s="3">
        <f ca="1"/>
        <v>102.10599999999999</v>
      </c>
      <c r="Q28" s="52">
        <f ca="1"/>
        <v>45911</v>
      </c>
      <c r="R28" s="3">
        <f ca="1"/>
        <v>101.84375</v>
      </c>
    </row>
    <row r="29" spans="1:18" ht="14.4" customHeight="1" x14ac:dyDescent="0.3">
      <c r="A29" s="131"/>
      <c r="B29" s="45"/>
      <c r="C29" s="31"/>
      <c r="D29" s="32"/>
      <c r="E29" s="45"/>
      <c r="F29" s="31"/>
      <c r="G29" s="32"/>
      <c r="H29" s="45"/>
      <c r="I29" s="31"/>
      <c r="J29" s="32"/>
      <c r="K29" s="82"/>
      <c r="M29" s="52">
        <f ca="1"/>
        <v>45834</v>
      </c>
      <c r="N29" s="3">
        <f ca="1"/>
        <v>68.790999999999997</v>
      </c>
      <c r="O29" s="52">
        <f ca="1"/>
        <v>45838</v>
      </c>
      <c r="P29" s="3">
        <f ca="1"/>
        <v>102.623</v>
      </c>
      <c r="Q29" s="52">
        <f ca="1"/>
        <v>45912</v>
      </c>
      <c r="R29" s="3">
        <f ca="1"/>
        <v>101.4765625</v>
      </c>
    </row>
    <row r="30" spans="1:18" ht="14.4" customHeight="1" x14ac:dyDescent="0.3">
      <c r="A30" s="131"/>
      <c r="B30" s="45"/>
      <c r="C30" s="31"/>
      <c r="D30" s="32"/>
      <c r="E30" s="45"/>
      <c r="F30" s="31"/>
      <c r="G30" s="32"/>
      <c r="H30" s="45"/>
      <c r="I30" s="31"/>
      <c r="J30" s="32"/>
      <c r="K30" s="82"/>
      <c r="M30" s="52">
        <f ca="1"/>
        <v>45835</v>
      </c>
      <c r="N30" s="3">
        <f ca="1"/>
        <v>68.721999999999994</v>
      </c>
      <c r="O30" s="52">
        <f ca="1"/>
        <v>45839</v>
      </c>
      <c r="P30" s="3">
        <f ca="1"/>
        <v>102.741</v>
      </c>
      <c r="Q30" s="52">
        <f ca="1"/>
        <v>45915</v>
      </c>
      <c r="R30" s="3">
        <f ca="1"/>
        <v>101.703125</v>
      </c>
    </row>
    <row r="31" spans="1:18" ht="14.4" customHeight="1" x14ac:dyDescent="0.3">
      <c r="A31" s="131"/>
      <c r="B31" s="45"/>
      <c r="C31" s="31"/>
      <c r="D31" s="32"/>
      <c r="E31" s="45"/>
      <c r="F31" s="31"/>
      <c r="G31" s="32"/>
      <c r="H31" s="45"/>
      <c r="I31" s="31"/>
      <c r="J31" s="32"/>
      <c r="K31" s="82"/>
      <c r="M31" s="52">
        <f ca="1"/>
        <v>45838</v>
      </c>
      <c r="N31" s="3">
        <f ca="1"/>
        <v>68.069999999999993</v>
      </c>
      <c r="O31" s="52">
        <f ca="1"/>
        <v>45840</v>
      </c>
      <c r="P31" s="3">
        <f ca="1"/>
        <v>102.589</v>
      </c>
      <c r="Q31" s="52">
        <f ca="1"/>
        <v>45916</v>
      </c>
      <c r="R31" s="3">
        <f ca="1"/>
        <v>101.7890625</v>
      </c>
    </row>
    <row r="32" spans="1:18" ht="14.4" customHeight="1" x14ac:dyDescent="0.3">
      <c r="A32" s="131"/>
      <c r="B32" s="45"/>
      <c r="C32" s="31"/>
      <c r="D32" s="32"/>
      <c r="E32" s="45"/>
      <c r="F32" s="1"/>
      <c r="G32" s="32"/>
      <c r="H32" s="45"/>
      <c r="I32" s="1"/>
      <c r="J32" s="32"/>
      <c r="K32" s="82"/>
      <c r="M32" s="52">
        <f ca="1"/>
        <v>45839</v>
      </c>
      <c r="N32" s="3">
        <f ca="1"/>
        <v>68.171999999999997</v>
      </c>
      <c r="O32" s="52">
        <f ca="1"/>
        <v>45841</v>
      </c>
      <c r="P32" s="3">
        <f ca="1"/>
        <v>102.17100000000001</v>
      </c>
      <c r="Q32" s="52">
        <f ca="1"/>
        <v>45917</v>
      </c>
      <c r="R32" s="3">
        <f ca="1"/>
        <v>101.296875</v>
      </c>
    </row>
    <row r="33" spans="1:18" ht="14.4" customHeight="1" x14ac:dyDescent="0.3">
      <c r="A33" s="131"/>
      <c r="B33" s="45"/>
      <c r="C33" s="31"/>
      <c r="D33" s="32"/>
      <c r="E33" s="45"/>
      <c r="F33" s="1"/>
      <c r="G33" s="32"/>
      <c r="H33" s="45"/>
      <c r="I33" s="1"/>
      <c r="J33" s="32"/>
      <c r="K33" s="82"/>
      <c r="M33" s="52">
        <f ca="1"/>
        <v>45840</v>
      </c>
      <c r="N33" s="3">
        <f ca="1"/>
        <v>67.387</v>
      </c>
      <c r="O33" s="52">
        <f ca="1"/>
        <v>45845</v>
      </c>
      <c r="P33" s="3">
        <f ca="1"/>
        <v>101.631</v>
      </c>
      <c r="Q33" s="52">
        <f ca="1"/>
        <v>45918</v>
      </c>
      <c r="R33" s="3">
        <f ca="1"/>
        <v>101.15625</v>
      </c>
    </row>
    <row r="34" spans="1:18" ht="14.4" customHeight="1" x14ac:dyDescent="0.3">
      <c r="A34" s="131"/>
      <c r="B34" s="45"/>
      <c r="C34" s="31"/>
      <c r="D34" s="32"/>
      <c r="E34" s="45"/>
      <c r="F34" s="1"/>
      <c r="G34" s="32"/>
      <c r="H34" s="45"/>
      <c r="I34" s="1"/>
      <c r="J34" s="32"/>
      <c r="K34" s="82"/>
      <c r="M34" s="52">
        <f ca="1"/>
        <v>45841</v>
      </c>
      <c r="N34" s="3">
        <f ca="1"/>
        <v>67.069999999999993</v>
      </c>
      <c r="O34" s="52">
        <f ca="1"/>
        <v>45846</v>
      </c>
      <c r="P34" s="3">
        <f ca="1"/>
        <v>101.41500000000001</v>
      </c>
      <c r="Q34" s="52">
        <f ca="1"/>
        <v>45919</v>
      </c>
      <c r="R34" s="3">
        <f ca="1"/>
        <v>100.9765625</v>
      </c>
    </row>
    <row r="35" spans="1:18" ht="14.4" customHeight="1" x14ac:dyDescent="0.3">
      <c r="A35" s="131"/>
      <c r="B35" s="45"/>
      <c r="C35" s="31"/>
      <c r="D35" s="32"/>
      <c r="E35" s="45"/>
      <c r="F35" s="1"/>
      <c r="G35" s="32"/>
      <c r="H35" s="45"/>
      <c r="I35" s="1"/>
      <c r="J35" s="32"/>
      <c r="K35" s="82"/>
      <c r="M35" s="52">
        <f ca="1"/>
        <v>45842</v>
      </c>
      <c r="N35" s="3">
        <f ca="1"/>
        <v>66.430999999999997</v>
      </c>
      <c r="O35" s="52">
        <f ca="1"/>
        <v>45847</v>
      </c>
      <c r="P35" s="3">
        <f ca="1"/>
        <v>101.871</v>
      </c>
      <c r="Q35" s="52">
        <f ca="1"/>
        <v>45922</v>
      </c>
      <c r="R35" s="3">
        <f ca="1"/>
        <v>100.8203125</v>
      </c>
    </row>
    <row r="36" spans="1:18" ht="14.4" customHeight="1" x14ac:dyDescent="0.3">
      <c r="A36" s="131"/>
      <c r="B36" s="45"/>
      <c r="C36" s="31"/>
      <c r="D36" s="32"/>
      <c r="E36" s="45"/>
      <c r="F36" s="1"/>
      <c r="G36" s="32"/>
      <c r="H36" s="45"/>
      <c r="I36" s="1"/>
      <c r="J36" s="32"/>
      <c r="K36" s="82"/>
      <c r="M36" s="52">
        <f ca="1"/>
        <v>45845</v>
      </c>
      <c r="N36" s="3">
        <f ca="1"/>
        <v>65.94</v>
      </c>
      <c r="O36" s="52">
        <f ca="1"/>
        <v>45848</v>
      </c>
      <c r="P36" s="3">
        <f ca="1"/>
        <v>101.907</v>
      </c>
      <c r="Q36" s="52">
        <f ca="1"/>
        <v>45923</v>
      </c>
      <c r="R36" s="3">
        <f ca="1"/>
        <v>101.1484375</v>
      </c>
    </row>
    <row r="37" spans="1:18" x14ac:dyDescent="0.3">
      <c r="A37" s="131"/>
      <c r="B37" s="45"/>
      <c r="C37" s="31"/>
      <c r="D37" s="32"/>
      <c r="E37" s="45"/>
      <c r="F37" s="1"/>
      <c r="G37" s="32"/>
      <c r="H37" s="45"/>
      <c r="I37" s="1"/>
      <c r="J37" s="32"/>
      <c r="K37" s="82"/>
      <c r="M37" s="52">
        <f ca="1"/>
        <v>45846</v>
      </c>
      <c r="N37" s="3">
        <f ca="1"/>
        <v>66.525000000000006</v>
      </c>
      <c r="O37" s="52">
        <f ca="1"/>
        <v>45849</v>
      </c>
      <c r="P37" s="3">
        <f ca="1"/>
        <v>101.364</v>
      </c>
      <c r="Q37" s="52">
        <f ca="1"/>
        <v>45924</v>
      </c>
      <c r="R37" s="3">
        <f ca="1"/>
        <v>100.8203125</v>
      </c>
    </row>
    <row r="38" spans="1:18" x14ac:dyDescent="0.3">
      <c r="A38" s="131"/>
      <c r="B38" s="45"/>
      <c r="C38" s="31"/>
      <c r="D38" s="32"/>
      <c r="E38" s="45"/>
      <c r="F38" s="1"/>
      <c r="G38" s="32"/>
      <c r="H38" s="45"/>
      <c r="I38" s="1"/>
      <c r="J38" s="32"/>
      <c r="K38" s="82"/>
      <c r="M38" s="52">
        <f ca="1"/>
        <v>45847</v>
      </c>
      <c r="N38" s="3">
        <f ca="1"/>
        <v>66.244</v>
      </c>
      <c r="O38" s="52">
        <f ca="1"/>
        <v>45852</v>
      </c>
      <c r="P38" s="3">
        <f ca="1"/>
        <v>101.203</v>
      </c>
      <c r="Q38" s="52">
        <f ca="1"/>
        <v>45925</v>
      </c>
      <c r="R38" s="3">
        <f ca="1"/>
        <v>100.6328125</v>
      </c>
    </row>
    <row r="39" spans="1:18" x14ac:dyDescent="0.3">
      <c r="A39" s="131"/>
      <c r="B39" s="45"/>
      <c r="C39" s="31"/>
      <c r="D39" s="32"/>
      <c r="E39" s="45"/>
      <c r="F39" s="1"/>
      <c r="G39" s="32"/>
      <c r="H39" s="45"/>
      <c r="I39" s="1"/>
      <c r="J39" s="32"/>
      <c r="K39" s="82"/>
      <c r="M39" s="52">
        <f ca="1"/>
        <v>45848</v>
      </c>
      <c r="N39" s="3">
        <f ca="1"/>
        <v>66.423000000000002</v>
      </c>
      <c r="O39" s="52">
        <f ca="1"/>
        <v>45853</v>
      </c>
      <c r="P39" s="3">
        <f ca="1"/>
        <v>100.934</v>
      </c>
      <c r="Q39" s="52">
        <f ca="1"/>
        <v>45926</v>
      </c>
      <c r="R39" s="3">
        <f ca="1"/>
        <v>100.5859375</v>
      </c>
    </row>
    <row r="40" spans="1:18" x14ac:dyDescent="0.3">
      <c r="B40" s="45"/>
      <c r="C40" s="31"/>
      <c r="D40" s="32"/>
      <c r="E40" s="45"/>
      <c r="F40" s="1"/>
      <c r="G40" s="32"/>
      <c r="H40" s="45"/>
      <c r="I40" s="1"/>
      <c r="J40" s="32"/>
      <c r="K40" s="82"/>
      <c r="M40" s="52">
        <f ca="1"/>
        <v>45849</v>
      </c>
      <c r="N40" s="3">
        <f ca="1"/>
        <v>67.114000000000004</v>
      </c>
      <c r="O40" s="52">
        <f ca="1"/>
        <v>45854</v>
      </c>
      <c r="P40" s="3">
        <f ca="1"/>
        <v>101.27</v>
      </c>
      <c r="Q40" s="52">
        <f ca="1"/>
        <v>45929</v>
      </c>
      <c r="R40" s="3">
        <f ca="1"/>
        <v>100.8828125</v>
      </c>
    </row>
    <row r="41" spans="1:18" x14ac:dyDescent="0.3">
      <c r="B41" s="45"/>
      <c r="C41" s="31"/>
      <c r="D41" s="32"/>
      <c r="E41" s="45"/>
      <c r="F41" s="1"/>
      <c r="G41" s="32"/>
      <c r="H41" s="45"/>
      <c r="I41" s="1"/>
      <c r="J41" s="32"/>
      <c r="K41" s="82"/>
      <c r="M41" s="52">
        <f ca="1"/>
        <v>45852</v>
      </c>
      <c r="N41" s="3">
        <f ca="1"/>
        <v>67.042000000000002</v>
      </c>
      <c r="O41" s="52">
        <f ca="1"/>
        <v>45855</v>
      </c>
      <c r="P41" s="3">
        <f ca="1"/>
        <v>101.5</v>
      </c>
      <c r="Q41" s="52">
        <f ca="1"/>
        <v>45930</v>
      </c>
      <c r="R41" s="3">
        <f ca="1"/>
        <v>100.7890625</v>
      </c>
    </row>
    <row r="42" spans="1:18" x14ac:dyDescent="0.3">
      <c r="B42" s="45"/>
      <c r="C42" s="31"/>
      <c r="D42" s="32"/>
      <c r="E42" s="45"/>
      <c r="F42" s="1"/>
      <c r="G42" s="32"/>
      <c r="H42" s="45"/>
      <c r="I42" s="1"/>
      <c r="J42" s="32"/>
      <c r="K42" s="82"/>
      <c r="M42" s="52">
        <f ca="1"/>
        <v>45853</v>
      </c>
      <c r="N42" s="3">
        <f ca="1"/>
        <v>67.724999999999994</v>
      </c>
      <c r="O42" s="52">
        <f ca="1"/>
        <v>45856</v>
      </c>
      <c r="P42" s="3">
        <f ca="1"/>
        <v>101.68</v>
      </c>
      <c r="Q42" s="52">
        <f ca="1"/>
        <v>45931</v>
      </c>
      <c r="R42" s="3">
        <f ca="1"/>
        <v>101.2109375</v>
      </c>
    </row>
    <row r="43" spans="1:18" x14ac:dyDescent="0.3">
      <c r="B43" s="45"/>
      <c r="C43" s="31"/>
      <c r="D43" s="32"/>
      <c r="E43" s="45"/>
      <c r="F43" s="1"/>
      <c r="G43" s="32"/>
      <c r="H43" s="45"/>
      <c r="I43" s="1"/>
      <c r="J43" s="32"/>
      <c r="K43" s="82"/>
      <c r="M43" s="52">
        <f ca="1"/>
        <v>45854</v>
      </c>
      <c r="N43" s="3">
        <f ca="1"/>
        <v>67.887</v>
      </c>
      <c r="O43" s="52">
        <f ca="1"/>
        <v>45859</v>
      </c>
      <c r="P43" s="3">
        <f ca="1"/>
        <v>101.997</v>
      </c>
      <c r="Q43" s="52">
        <f ca="1"/>
        <v>45932</v>
      </c>
      <c r="R43" s="3">
        <f ca="1"/>
        <v>101.3359375</v>
      </c>
    </row>
    <row r="44" spans="1:18" x14ac:dyDescent="0.3">
      <c r="B44" s="45"/>
      <c r="C44" s="31"/>
      <c r="D44" s="5"/>
      <c r="E44" s="45"/>
      <c r="F44" s="1"/>
      <c r="G44" s="5"/>
      <c r="H44" s="45"/>
      <c r="I44" s="1"/>
      <c r="J44" s="5"/>
      <c r="K44" s="81"/>
      <c r="M44" s="52">
        <f ca="1"/>
        <v>45855</v>
      </c>
      <c r="N44" s="3">
        <f ca="1"/>
        <v>67.484999999999999</v>
      </c>
      <c r="O44" s="52">
        <f ca="1"/>
        <v>45860</v>
      </c>
      <c r="P44" s="3">
        <f ca="1"/>
        <v>102.188</v>
      </c>
      <c r="Q44" s="52">
        <f ca="1"/>
        <v>45933</v>
      </c>
      <c r="R44" s="3">
        <f ca="1"/>
        <v>101.0390625</v>
      </c>
    </row>
    <row r="45" spans="1:18" x14ac:dyDescent="0.3">
      <c r="B45" s="45"/>
      <c r="C45" s="31"/>
      <c r="D45" s="5"/>
      <c r="E45" s="45"/>
      <c r="F45" s="1"/>
      <c r="G45" s="5"/>
      <c r="H45" s="45"/>
      <c r="I45" s="1"/>
      <c r="J45" s="5"/>
      <c r="K45" s="81"/>
      <c r="M45" s="52">
        <f ca="1"/>
        <v>45856</v>
      </c>
      <c r="N45" s="3">
        <f ca="1"/>
        <v>66.545000000000002</v>
      </c>
      <c r="O45" s="52">
        <f ca="1"/>
        <v>45861</v>
      </c>
      <c r="P45" s="3">
        <f ca="1"/>
        <v>101.98399999999999</v>
      </c>
      <c r="Q45" s="52">
        <f ca="1"/>
        <v>45936</v>
      </c>
      <c r="R45" s="3">
        <f ca="1"/>
        <v>100.765625</v>
      </c>
    </row>
    <row r="46" spans="1:18" x14ac:dyDescent="0.3">
      <c r="B46" s="45"/>
      <c r="C46" s="31"/>
      <c r="D46" s="5"/>
      <c r="E46" s="45"/>
      <c r="F46" s="1"/>
      <c r="G46" s="5"/>
      <c r="H46" s="45"/>
      <c r="I46" s="1"/>
      <c r="J46" s="5"/>
      <c r="K46" s="81"/>
      <c r="M46" s="52">
        <f ca="1"/>
        <v>45859</v>
      </c>
      <c r="N46" s="3">
        <f ca="1"/>
        <v>66.367000000000004</v>
      </c>
      <c r="O46" s="52">
        <f ca="1"/>
        <v>45862</v>
      </c>
      <c r="P46" s="3">
        <f ca="1"/>
        <v>102.03</v>
      </c>
      <c r="Q46" s="52">
        <f ca="1"/>
        <v>45937</v>
      </c>
      <c r="R46" s="3">
        <f ca="1"/>
        <v>101.0078125</v>
      </c>
    </row>
    <row r="47" spans="1:18" x14ac:dyDescent="0.3">
      <c r="B47" s="45"/>
      <c r="C47" s="31"/>
      <c r="D47" s="5"/>
      <c r="E47" s="45"/>
      <c r="F47" s="1"/>
      <c r="G47" s="5"/>
      <c r="H47" s="45"/>
      <c r="I47" s="1"/>
      <c r="J47" s="5"/>
      <c r="K47" s="81"/>
      <c r="M47" s="52">
        <f ca="1"/>
        <v>45860</v>
      </c>
      <c r="N47" s="3">
        <f ca="1"/>
        <v>66.105000000000004</v>
      </c>
      <c r="O47" s="52">
        <f ca="1"/>
        <v>45863</v>
      </c>
      <c r="P47" s="3">
        <f ca="1"/>
        <v>102.10899999999999</v>
      </c>
      <c r="Q47" s="52">
        <f ca="1"/>
        <v>45938</v>
      </c>
      <c r="R47" s="3">
        <f ca="1"/>
        <v>101.046875</v>
      </c>
    </row>
    <row r="48" spans="1:18" x14ac:dyDescent="0.3">
      <c r="B48" s="59"/>
      <c r="C48" s="60"/>
      <c r="D48" s="34"/>
      <c r="E48" s="59"/>
      <c r="G48" s="34"/>
      <c r="H48" s="59"/>
      <c r="J48" s="34"/>
      <c r="K48" s="83"/>
      <c r="M48" s="52">
        <f ca="1"/>
        <v>45861</v>
      </c>
      <c r="N48" s="3">
        <f ca="1"/>
        <v>65.403000000000006</v>
      </c>
      <c r="O48" s="52">
        <f ca="1"/>
        <v>45866</v>
      </c>
      <c r="P48" s="3">
        <f ca="1"/>
        <v>101.959</v>
      </c>
      <c r="Q48" s="52">
        <f ca="1"/>
        <v>45939</v>
      </c>
      <c r="R48" s="3">
        <f ca="1"/>
        <v>100.8828125</v>
      </c>
    </row>
    <row r="49" spans="2:18" ht="15" thickBot="1" x14ac:dyDescent="0.35">
      <c r="B49" s="35"/>
      <c r="C49" s="70"/>
      <c r="D49" s="13"/>
      <c r="E49" s="117"/>
      <c r="F49" s="12"/>
      <c r="G49" s="13"/>
      <c r="H49" s="117"/>
      <c r="I49" s="12"/>
      <c r="J49" s="13"/>
      <c r="K49" s="84"/>
      <c r="M49" s="52">
        <f ca="1"/>
        <v>45862</v>
      </c>
      <c r="N49" s="3">
        <f ca="1"/>
        <v>65.320999999999998</v>
      </c>
      <c r="O49" s="52">
        <f ca="1"/>
        <v>45867</v>
      </c>
      <c r="P49" s="3">
        <f ca="1"/>
        <v>102.581</v>
      </c>
      <c r="Q49" s="52">
        <f ca="1"/>
        <v>45940</v>
      </c>
      <c r="R49" s="3">
        <f ca="1"/>
        <v>101.734375</v>
      </c>
    </row>
    <row r="50" spans="2:18" x14ac:dyDescent="0.3">
      <c r="E50" s="62"/>
      <c r="H50" s="62"/>
      <c r="M50" s="52">
        <f ca="1"/>
        <v>45863</v>
      </c>
      <c r="N50" s="3">
        <f ca="1"/>
        <v>64.915999999999997</v>
      </c>
      <c r="O50" s="52">
        <f ca="1"/>
        <v>45868</v>
      </c>
      <c r="P50" s="3">
        <f ca="1"/>
        <v>102.148</v>
      </c>
      <c r="Q50" s="52">
        <f ca="1"/>
        <v>45943</v>
      </c>
      <c r="R50" s="3">
        <f ca="1"/>
        <v>101.734375</v>
      </c>
    </row>
    <row r="51" spans="2:18" x14ac:dyDescent="0.3">
      <c r="E51" s="62"/>
      <c r="H51" s="62"/>
      <c r="M51" s="52">
        <f ca="1"/>
        <v>45866</v>
      </c>
      <c r="N51" s="3">
        <f ca="1"/>
        <v>64.944999999999993</v>
      </c>
      <c r="O51" s="52">
        <f ca="1"/>
        <v>45869</v>
      </c>
      <c r="P51" s="3">
        <f ca="1"/>
        <v>102.137</v>
      </c>
      <c r="Q51" s="52">
        <f ca="1"/>
        <v>45944</v>
      </c>
      <c r="R51" s="3">
        <f ca="1"/>
        <v>101.7421875</v>
      </c>
    </row>
    <row r="52" spans="2:18" x14ac:dyDescent="0.3">
      <c r="H52" s="62"/>
      <c r="M52" s="52">
        <f ca="1"/>
        <v>45867</v>
      </c>
      <c r="N52" s="3">
        <f ca="1"/>
        <v>64.834000000000003</v>
      </c>
      <c r="O52" s="52">
        <f ca="1"/>
        <v>45870</v>
      </c>
      <c r="P52" s="3">
        <f ca="1"/>
        <v>102.979</v>
      </c>
      <c r="Q52" s="52">
        <f ca="1"/>
        <v>45945</v>
      </c>
      <c r="R52" s="3">
        <f ca="1"/>
        <v>101.7734375</v>
      </c>
    </row>
    <row r="53" spans="2:18" x14ac:dyDescent="0.3">
      <c r="H53" s="62"/>
      <c r="M53" s="52">
        <f ca="1"/>
        <v>45868</v>
      </c>
      <c r="N53" s="3">
        <f ca="1"/>
        <v>65.064999999999998</v>
      </c>
      <c r="O53" s="52">
        <f ca="1"/>
        <v>45873</v>
      </c>
      <c r="P53" s="3">
        <f ca="1"/>
        <v>103.155</v>
      </c>
      <c r="Q53" s="52">
        <f ca="1"/>
        <v>45946</v>
      </c>
      <c r="R53" s="3">
        <f ca="1"/>
        <v>102.2109375</v>
      </c>
    </row>
    <row r="54" spans="2:18" x14ac:dyDescent="0.3">
      <c r="H54" s="62"/>
      <c r="M54" s="52">
        <f ca="1"/>
        <v>45869</v>
      </c>
      <c r="N54" s="3">
        <f ca="1"/>
        <v>65.272000000000006</v>
      </c>
      <c r="O54" s="52">
        <f ca="1"/>
        <v>45874</v>
      </c>
      <c r="P54" s="3">
        <f ca="1"/>
        <v>103.024</v>
      </c>
      <c r="Q54" s="52">
        <f ca="1"/>
        <v>45947</v>
      </c>
      <c r="R54" s="3">
        <f ca="1"/>
        <v>102.0390625</v>
      </c>
    </row>
    <row r="55" spans="2:18" x14ac:dyDescent="0.3">
      <c r="H55" s="62"/>
      <c r="M55" s="52">
        <f ca="1"/>
        <v>45870</v>
      </c>
      <c r="N55" s="3">
        <f ca="1"/>
        <v>66.826999999999998</v>
      </c>
      <c r="O55" s="52">
        <f ca="1"/>
        <v>45875</v>
      </c>
      <c r="P55" s="3">
        <f ca="1"/>
        <v>102.974</v>
      </c>
    </row>
    <row r="56" spans="2:18" x14ac:dyDescent="0.3">
      <c r="H56" s="62"/>
      <c r="M56" s="52">
        <f ca="1"/>
        <v>45873</v>
      </c>
      <c r="N56" s="3">
        <f ca="1"/>
        <v>66.061000000000007</v>
      </c>
      <c r="O56" s="52">
        <f ca="1"/>
        <v>45876</v>
      </c>
      <c r="P56" s="3">
        <f ca="1"/>
        <v>102.893</v>
      </c>
    </row>
    <row r="57" spans="2:18" x14ac:dyDescent="0.3">
      <c r="M57" s="52">
        <f ca="1"/>
        <v>45874</v>
      </c>
      <c r="N57" s="3">
        <f ca="1"/>
        <v>65.790999999999997</v>
      </c>
      <c r="O57" s="52">
        <f ca="1"/>
        <v>45877</v>
      </c>
      <c r="P57" s="3">
        <f ca="1"/>
        <v>102.575</v>
      </c>
    </row>
    <row r="58" spans="2:18" x14ac:dyDescent="0.3">
      <c r="M58" s="52">
        <f ca="1"/>
        <v>45875</v>
      </c>
      <c r="N58" s="3">
        <f ca="1"/>
        <v>65.372</v>
      </c>
      <c r="O58" s="52">
        <f ca="1"/>
        <v>45880</v>
      </c>
      <c r="P58" s="3">
        <f ca="1"/>
        <v>102.467</v>
      </c>
    </row>
    <row r="59" spans="2:18" x14ac:dyDescent="0.3">
      <c r="M59" s="52">
        <f ca="1"/>
        <v>45876</v>
      </c>
      <c r="N59" s="3">
        <f ca="1"/>
        <v>65.460999999999999</v>
      </c>
      <c r="O59" s="52">
        <f ca="1"/>
        <v>45881</v>
      </c>
      <c r="P59" s="3">
        <f ca="1"/>
        <v>102.56699999999999</v>
      </c>
    </row>
    <row r="60" spans="2:18" x14ac:dyDescent="0.3">
      <c r="M60" s="52">
        <f ca="1"/>
        <v>45877</v>
      </c>
      <c r="N60" s="3">
        <f ca="1"/>
        <v>65.619</v>
      </c>
      <c r="O60" s="52">
        <f ca="1"/>
        <v>45882</v>
      </c>
      <c r="P60" s="3">
        <f ca="1"/>
        <v>103.23699999999999</v>
      </c>
    </row>
    <row r="61" spans="2:18" x14ac:dyDescent="0.3">
      <c r="M61" s="52">
        <f ca="1"/>
        <v>45880</v>
      </c>
      <c r="N61" s="3">
        <f ca="1"/>
        <v>65.174999999999997</v>
      </c>
      <c r="O61" s="52">
        <f ca="1"/>
        <v>45883</v>
      </c>
      <c r="P61" s="3">
        <f ca="1"/>
        <v>102.833</v>
      </c>
    </row>
    <row r="62" spans="2:18" x14ac:dyDescent="0.3">
      <c r="M62" s="52">
        <f ca="1"/>
        <v>45881</v>
      </c>
      <c r="N62" s="3">
        <f ca="1"/>
        <v>64.944000000000003</v>
      </c>
      <c r="O62" s="52">
        <f ca="1"/>
        <v>45884</v>
      </c>
      <c r="P62" s="3">
        <f ca="1"/>
        <v>102.70399999999999</v>
      </c>
    </row>
    <row r="63" spans="2:18" x14ac:dyDescent="0.3">
      <c r="M63" s="52">
        <f ca="1"/>
        <v>45882</v>
      </c>
      <c r="N63" s="3">
        <f ca="1"/>
        <v>63.802</v>
      </c>
      <c r="O63" s="52">
        <f ca="1"/>
        <v>45887</v>
      </c>
      <c r="P63" s="3">
        <f ca="1"/>
        <v>102.584</v>
      </c>
    </row>
    <row r="64" spans="2:18" x14ac:dyDescent="0.3">
      <c r="M64" s="52">
        <f ca="1"/>
        <v>45883</v>
      </c>
      <c r="N64" s="3">
        <f ca="1"/>
        <v>64.509</v>
      </c>
      <c r="O64" s="52">
        <f ca="1"/>
        <v>45888</v>
      </c>
      <c r="P64" s="3">
        <f ca="1"/>
        <v>102.634</v>
      </c>
    </row>
    <row r="65" spans="13:16" x14ac:dyDescent="0.3">
      <c r="M65" s="52">
        <f ca="1"/>
        <v>45884</v>
      </c>
      <c r="N65" s="3">
        <f ca="1"/>
        <v>64.003</v>
      </c>
      <c r="O65" s="52">
        <f ca="1"/>
        <v>45889</v>
      </c>
      <c r="P65" s="3">
        <f ca="1"/>
        <v>102.47799999999999</v>
      </c>
    </row>
    <row r="66" spans="13:16" x14ac:dyDescent="0.3">
      <c r="M66" s="52">
        <f ca="1"/>
        <v>45887</v>
      </c>
      <c r="N66" s="3">
        <f ca="1"/>
        <v>64.117999999999995</v>
      </c>
      <c r="O66" s="52">
        <f ca="1"/>
        <v>45890</v>
      </c>
      <c r="P66" s="3">
        <f ca="1"/>
        <v>102.20099999999999</v>
      </c>
    </row>
    <row r="67" spans="13:16" x14ac:dyDescent="0.3">
      <c r="M67" s="52">
        <f ca="1"/>
        <v>45888</v>
      </c>
      <c r="N67" s="3">
        <f ca="1"/>
        <v>63.433999999999997</v>
      </c>
      <c r="O67" s="52">
        <f ca="1"/>
        <v>45891</v>
      </c>
      <c r="P67" s="3">
        <f ca="1"/>
        <v>102.886</v>
      </c>
    </row>
    <row r="68" spans="13:16" x14ac:dyDescent="0.3">
      <c r="M68" s="52">
        <f ca="1"/>
        <v>45889</v>
      </c>
      <c r="N68" s="3">
        <f ca="1"/>
        <v>63.737000000000002</v>
      </c>
      <c r="O68" s="52">
        <f ca="1"/>
        <v>45894</v>
      </c>
      <c r="P68" s="3">
        <f ca="1"/>
        <v>102.70099999999999</v>
      </c>
    </row>
    <row r="69" spans="13:16" x14ac:dyDescent="0.3">
      <c r="M69" s="52">
        <f ca="1"/>
        <v>45890</v>
      </c>
      <c r="N69" s="3">
        <f ca="1"/>
        <v>63.795000000000002</v>
      </c>
      <c r="O69" s="52">
        <f ca="1"/>
        <v>45895</v>
      </c>
      <c r="P69" s="3">
        <f ca="1"/>
        <v>102.666</v>
      </c>
    </row>
    <row r="70" spans="13:16" x14ac:dyDescent="0.3">
      <c r="M70" s="52">
        <f ca="1"/>
        <v>45891</v>
      </c>
      <c r="N70" s="3">
        <f ca="1"/>
        <v>63.033000000000001</v>
      </c>
      <c r="O70" s="52">
        <f ca="1"/>
        <v>45896</v>
      </c>
      <c r="P70" s="3">
        <f ca="1"/>
        <v>102.883</v>
      </c>
    </row>
    <row r="71" spans="13:16" x14ac:dyDescent="0.3">
      <c r="M71" s="52">
        <f ca="1"/>
        <v>45894</v>
      </c>
      <c r="N71" s="3">
        <f ca="1"/>
        <v>63.055</v>
      </c>
      <c r="O71" s="52">
        <f ca="1"/>
        <v>45897</v>
      </c>
      <c r="P71" s="3">
        <f ca="1"/>
        <v>103.069</v>
      </c>
    </row>
    <row r="72" spans="13:16" x14ac:dyDescent="0.3">
      <c r="M72" s="52">
        <f ca="1"/>
        <v>45895</v>
      </c>
      <c r="N72" s="3">
        <f ca="1"/>
        <v>62.975000000000001</v>
      </c>
      <c r="O72" s="52">
        <f ca="1"/>
        <v>45898</v>
      </c>
      <c r="P72" s="3">
        <f ca="1"/>
        <v>102.70099999999999</v>
      </c>
    </row>
    <row r="73" spans="13:16" x14ac:dyDescent="0.3">
      <c r="M73" s="52">
        <f ca="1"/>
        <v>45896</v>
      </c>
      <c r="N73" s="3">
        <f ca="1"/>
        <v>62.814999999999998</v>
      </c>
      <c r="O73" s="52">
        <f ca="1"/>
        <v>45902</v>
      </c>
      <c r="P73" s="3">
        <f ca="1"/>
        <v>102.49299999999999</v>
      </c>
    </row>
    <row r="74" spans="13:16" x14ac:dyDescent="0.3">
      <c r="M74" s="52">
        <f ca="1"/>
        <v>45897</v>
      </c>
      <c r="N74" s="3">
        <f ca="1"/>
        <v>63.460999999999999</v>
      </c>
      <c r="O74" s="52">
        <f ca="1"/>
        <v>45903</v>
      </c>
      <c r="P74" s="3">
        <f ca="1"/>
        <v>102.964</v>
      </c>
    </row>
    <row r="75" spans="13:16" x14ac:dyDescent="0.3">
      <c r="M75" s="52">
        <f ca="1"/>
        <v>45898</v>
      </c>
      <c r="N75" s="3">
        <f ca="1"/>
        <v>64.126999999999995</v>
      </c>
      <c r="O75" s="52">
        <f ca="1"/>
        <v>45904</v>
      </c>
      <c r="P75" s="3">
        <f ca="1"/>
        <v>103.59099999999999</v>
      </c>
    </row>
    <row r="76" spans="13:16" x14ac:dyDescent="0.3">
      <c r="M76" s="52">
        <f ca="1"/>
        <v>45901</v>
      </c>
      <c r="N76" s="3">
        <f ca="1"/>
        <v>64.126000000000005</v>
      </c>
      <c r="O76" s="52">
        <f ca="1"/>
        <v>45905</v>
      </c>
      <c r="P76" s="3">
        <f ca="1"/>
        <v>104.31399999999999</v>
      </c>
    </row>
    <row r="77" spans="13:16" x14ac:dyDescent="0.3">
      <c r="M77" s="52">
        <f ca="1"/>
        <v>45902</v>
      </c>
      <c r="N77" s="3">
        <f ca="1"/>
        <v>65.56</v>
      </c>
      <c r="O77" s="52">
        <f ca="1"/>
        <v>45908</v>
      </c>
      <c r="P77" s="3">
        <f ca="1"/>
        <v>104.47499999999999</v>
      </c>
    </row>
    <row r="78" spans="13:16" x14ac:dyDescent="0.3">
      <c r="M78" s="52">
        <f ca="1"/>
        <v>45903</v>
      </c>
      <c r="N78" s="3">
        <f ca="1"/>
        <v>64.844999999999999</v>
      </c>
      <c r="O78" s="52">
        <f ca="1"/>
        <v>45909</v>
      </c>
      <c r="P78" s="3">
        <f ca="1"/>
        <v>104.056</v>
      </c>
    </row>
    <row r="79" spans="13:16" x14ac:dyDescent="0.3">
      <c r="M79" s="52">
        <f ca="1"/>
        <v>45904</v>
      </c>
      <c r="N79" s="3">
        <f ca="1"/>
        <v>64.320999999999998</v>
      </c>
      <c r="O79" s="52">
        <f ca="1"/>
        <v>45910</v>
      </c>
      <c r="P79" s="3">
        <f ca="1"/>
        <v>104.554</v>
      </c>
    </row>
    <row r="80" spans="13:16" x14ac:dyDescent="0.3">
      <c r="M80" s="52">
        <f ca="1"/>
        <v>45905</v>
      </c>
      <c r="N80" s="3">
        <f ca="1"/>
        <v>63.731999999999999</v>
      </c>
      <c r="O80" s="52">
        <f ca="1"/>
        <v>45911</v>
      </c>
      <c r="P80" s="3">
        <f ca="1"/>
        <v>104.824</v>
      </c>
    </row>
    <row r="81" spans="13:16" x14ac:dyDescent="0.3">
      <c r="M81" s="52">
        <f ca="1"/>
        <v>45908</v>
      </c>
      <c r="N81" s="3">
        <f ca="1"/>
        <v>63.633000000000003</v>
      </c>
      <c r="O81" s="52">
        <f ca="1"/>
        <v>45912</v>
      </c>
      <c r="P81" s="3">
        <f ca="1"/>
        <v>104.553</v>
      </c>
    </row>
    <row r="82" spans="13:16" x14ac:dyDescent="0.3">
      <c r="M82" s="52">
        <f ca="1"/>
        <v>45909</v>
      </c>
      <c r="N82" s="3">
        <f ca="1"/>
        <v>63.423000000000002</v>
      </c>
      <c r="O82" s="52">
        <f ca="1"/>
        <v>45915</v>
      </c>
      <c r="P82" s="3">
        <f ca="1"/>
        <v>104.831</v>
      </c>
    </row>
    <row r="83" spans="13:16" x14ac:dyDescent="0.3">
      <c r="M83" s="52">
        <f ca="1"/>
        <v>45910</v>
      </c>
      <c r="N83" s="3">
        <f ca="1"/>
        <v>63.201999999999998</v>
      </c>
      <c r="O83" s="52">
        <f ca="1"/>
        <v>45916</v>
      </c>
      <c r="P83" s="3">
        <f ca="1"/>
        <v>104.877</v>
      </c>
    </row>
    <row r="84" spans="13:16" x14ac:dyDescent="0.3">
      <c r="M84" s="52">
        <f ca="1"/>
        <v>45911</v>
      </c>
      <c r="N84" s="3">
        <f ca="1"/>
        <v>62.77</v>
      </c>
      <c r="O84" s="52">
        <f ca="1"/>
        <v>45917</v>
      </c>
      <c r="P84" s="3">
        <f ca="1"/>
        <v>104.45699999999999</v>
      </c>
    </row>
    <row r="85" spans="13:16" x14ac:dyDescent="0.3">
      <c r="M85" s="52">
        <f ca="1"/>
        <v>45912</v>
      </c>
      <c r="N85" s="3">
        <f ca="1"/>
        <v>62.994</v>
      </c>
      <c r="O85" s="52">
        <f ca="1"/>
        <v>45918</v>
      </c>
      <c r="P85" s="3">
        <f ca="1"/>
        <v>104.489</v>
      </c>
    </row>
    <row r="86" spans="13:16" x14ac:dyDescent="0.3">
      <c r="M86" s="52">
        <f ca="1"/>
        <v>45915</v>
      </c>
      <c r="N86" s="3">
        <f ca="1"/>
        <v>63.128999999999998</v>
      </c>
      <c r="O86" s="52">
        <f ca="1"/>
        <v>45919</v>
      </c>
      <c r="P86" s="3">
        <f ca="1"/>
        <v>104.494</v>
      </c>
    </row>
    <row r="87" spans="13:16" x14ac:dyDescent="0.3">
      <c r="M87" s="52">
        <f ca="1"/>
        <v>45916</v>
      </c>
      <c r="N87" s="3">
        <f ca="1"/>
        <v>63.17</v>
      </c>
      <c r="O87" s="52">
        <f ca="1"/>
        <v>45922</v>
      </c>
      <c r="P87" s="3">
        <f ca="1"/>
        <v>104.434</v>
      </c>
    </row>
    <row r="88" spans="13:16" x14ac:dyDescent="0.3">
      <c r="M88" s="52">
        <f ca="1"/>
        <v>45917</v>
      </c>
      <c r="N88" s="3">
        <f ca="1"/>
        <v>63.49</v>
      </c>
      <c r="O88" s="52">
        <f ca="1"/>
        <v>45923</v>
      </c>
      <c r="P88" s="3">
        <f ca="1"/>
        <v>104.78100000000001</v>
      </c>
    </row>
    <row r="89" spans="13:16" x14ac:dyDescent="0.3">
      <c r="M89" s="52">
        <f ca="1"/>
        <v>45918</v>
      </c>
      <c r="N89" s="3">
        <f ca="1"/>
        <v>63.084000000000003</v>
      </c>
      <c r="O89" s="52">
        <f ca="1"/>
        <v>45924</v>
      </c>
      <c r="P89" s="3">
        <f ca="1"/>
        <v>104.285</v>
      </c>
    </row>
    <row r="90" spans="13:16" x14ac:dyDescent="0.3">
      <c r="M90" s="52">
        <f ca="1"/>
        <v>45919</v>
      </c>
      <c r="N90" s="3">
        <f ca="1"/>
        <v>63.002000000000002</v>
      </c>
      <c r="O90" s="52">
        <f ca="1"/>
        <v>45925</v>
      </c>
      <c r="P90" s="3">
        <f ca="1"/>
        <v>104.11499999999999</v>
      </c>
    </row>
    <row r="91" spans="13:16" x14ac:dyDescent="0.3">
      <c r="M91" s="52">
        <f ca="1"/>
        <v>45922</v>
      </c>
      <c r="N91" s="3">
        <f ca="1"/>
        <v>67.573999999999998</v>
      </c>
      <c r="O91" s="52">
        <f ca="1"/>
        <v>45926</v>
      </c>
      <c r="P91" s="3">
        <f ca="1"/>
        <v>104.175</v>
      </c>
    </row>
    <row r="92" spans="13:16" x14ac:dyDescent="0.3">
      <c r="M92" s="52">
        <f ca="1"/>
        <v>45923</v>
      </c>
      <c r="N92" s="3">
        <f ca="1"/>
        <v>67.238</v>
      </c>
      <c r="O92" s="52">
        <f ca="1"/>
        <v>45929</v>
      </c>
      <c r="P92" s="3">
        <f ca="1"/>
        <v>104.57</v>
      </c>
    </row>
    <row r="93" spans="13:16" x14ac:dyDescent="0.3">
      <c r="M93" s="52">
        <f ca="1"/>
        <v>45924</v>
      </c>
      <c r="N93" s="3">
        <f ca="1"/>
        <v>68.316999999999993</v>
      </c>
      <c r="O93" s="52">
        <f ca="1"/>
        <v>45930</v>
      </c>
      <c r="P93" s="3">
        <f ca="1"/>
        <v>104.336</v>
      </c>
    </row>
    <row r="94" spans="13:16" x14ac:dyDescent="0.3">
      <c r="M94" s="52">
        <f ca="1"/>
        <v>45925</v>
      </c>
      <c r="N94" s="3">
        <f ca="1"/>
        <v>69.316999999999993</v>
      </c>
      <c r="O94" s="52">
        <f ca="1"/>
        <v>45931</v>
      </c>
      <c r="P94" s="3">
        <f ca="1"/>
        <v>104.896</v>
      </c>
    </row>
    <row r="95" spans="13:16" x14ac:dyDescent="0.3">
      <c r="M95" s="52">
        <f ca="1"/>
        <v>45926</v>
      </c>
      <c r="N95" s="3">
        <f ca="1"/>
        <v>68.647999999999996</v>
      </c>
      <c r="O95" s="52">
        <f ca="1"/>
        <v>45932</v>
      </c>
      <c r="P95" s="3">
        <f ca="1"/>
        <v>105.07299999999999</v>
      </c>
    </row>
    <row r="96" spans="13:16" x14ac:dyDescent="0.3">
      <c r="M96" s="52">
        <f ca="1"/>
        <v>45929</v>
      </c>
      <c r="N96" s="3">
        <f ca="1"/>
        <v>68.183999999999997</v>
      </c>
      <c r="O96" s="52">
        <f ca="1"/>
        <v>45933</v>
      </c>
      <c r="P96" s="3">
        <f ca="1"/>
        <v>104.839</v>
      </c>
    </row>
    <row r="97" spans="3:16" x14ac:dyDescent="0.3">
      <c r="M97" s="52">
        <f ca="1"/>
        <v>45930</v>
      </c>
      <c r="N97" s="3">
        <f ca="1"/>
        <v>68.17</v>
      </c>
      <c r="O97" s="52">
        <f ca="1"/>
        <v>45936</v>
      </c>
      <c r="P97" s="3">
        <f ca="1"/>
        <v>104.559</v>
      </c>
    </row>
    <row r="98" spans="3:16" x14ac:dyDescent="0.3">
      <c r="M98" s="52">
        <f ca="1"/>
        <v>45931</v>
      </c>
      <c r="N98" s="3">
        <f ca="1"/>
        <v>69.165000000000006</v>
      </c>
      <c r="O98" s="52">
        <f ca="1"/>
        <v>45937</v>
      </c>
      <c r="P98" s="3">
        <f ca="1"/>
        <v>104.711</v>
      </c>
    </row>
    <row r="99" spans="3:16" x14ac:dyDescent="0.3">
      <c r="M99" s="52">
        <f ca="1"/>
        <v>45932</v>
      </c>
      <c r="N99" s="3">
        <f ca="1"/>
        <v>68.813999999999993</v>
      </c>
      <c r="O99" s="52">
        <f ca="1"/>
        <v>45938</v>
      </c>
      <c r="P99" s="3">
        <f ca="1"/>
        <v>104.66200000000001</v>
      </c>
    </row>
    <row r="100" spans="3:16" x14ac:dyDescent="0.3">
      <c r="M100" s="52">
        <f ca="1"/>
        <v>45933</v>
      </c>
      <c r="N100" s="3">
        <f ca="1"/>
        <v>69.846000000000004</v>
      </c>
      <c r="O100" s="52">
        <f ca="1"/>
        <v>45939</v>
      </c>
      <c r="P100" s="3">
        <f ca="1"/>
        <v>104.379</v>
      </c>
    </row>
    <row r="101" spans="3:16" x14ac:dyDescent="0.3">
      <c r="M101" s="52">
        <f ca="1"/>
        <v>45936</v>
      </c>
      <c r="N101" s="3">
        <f ca="1"/>
        <v>69.724999999999994</v>
      </c>
      <c r="O101" s="52">
        <f ca="1"/>
        <v>45940</v>
      </c>
      <c r="P101" s="3">
        <f ca="1"/>
        <v>104.739</v>
      </c>
    </row>
    <row r="102" spans="3:16" x14ac:dyDescent="0.3">
      <c r="C102" s="114" t="s">
        <v>86</v>
      </c>
      <c r="D102" s="114" t="s">
        <v>87</v>
      </c>
      <c r="E102" s="114" t="s">
        <v>88</v>
      </c>
      <c r="F102" s="114" t="s">
        <v>89</v>
      </c>
      <c r="G102" s="114" t="s">
        <v>90</v>
      </c>
      <c r="H102" s="114" t="s">
        <v>91</v>
      </c>
      <c r="I102" s="114" t="s">
        <v>92</v>
      </c>
      <c r="J102" s="114" t="s">
        <v>93</v>
      </c>
      <c r="K102" s="113"/>
      <c r="M102" s="52">
        <f ca="1"/>
        <v>45937</v>
      </c>
      <c r="N102" s="3">
        <f ca="1"/>
        <v>69.47</v>
      </c>
      <c r="O102" s="52">
        <f ca="1"/>
        <v>45944</v>
      </c>
      <c r="P102" s="3">
        <f ca="1"/>
        <v>105.012</v>
      </c>
    </row>
    <row r="103" spans="3:16" x14ac:dyDescent="0.3">
      <c r="C103" s="114">
        <v>6787</v>
      </c>
      <c r="D103" s="115">
        <v>45936</v>
      </c>
      <c r="E103" s="116" t="s">
        <v>94</v>
      </c>
      <c r="F103" s="116" t="s">
        <v>95</v>
      </c>
      <c r="G103" s="116" t="s">
        <v>96</v>
      </c>
      <c r="H103" s="116" t="s">
        <v>97</v>
      </c>
      <c r="I103" s="116" t="s">
        <v>98</v>
      </c>
      <c r="J103" s="116" t="s">
        <v>99</v>
      </c>
      <c r="K103" s="116">
        <v>56.9191</v>
      </c>
      <c r="M103" s="52">
        <f ca="1"/>
        <v>45938</v>
      </c>
      <c r="N103" s="3">
        <f ca="1"/>
        <v>69.233999999999995</v>
      </c>
      <c r="O103" s="52">
        <f ca="1"/>
        <v>45945</v>
      </c>
      <c r="P103" s="3">
        <f ca="1"/>
        <v>105.131</v>
      </c>
    </row>
    <row r="104" spans="3:16" x14ac:dyDescent="0.3">
      <c r="C104" s="114">
        <v>61629</v>
      </c>
      <c r="D104" s="115">
        <v>45937</v>
      </c>
      <c r="E104" s="116" t="s">
        <v>94</v>
      </c>
      <c r="F104" s="116" t="s">
        <v>95</v>
      </c>
      <c r="G104" s="116" t="s">
        <v>96</v>
      </c>
      <c r="H104" s="116" t="s">
        <v>97</v>
      </c>
      <c r="I104" s="116" t="s">
        <v>98</v>
      </c>
      <c r="J104" s="116" t="s">
        <v>99</v>
      </c>
      <c r="K104" s="116">
        <v>56.886099999999999</v>
      </c>
      <c r="M104" s="52">
        <f ca="1"/>
        <v>45939</v>
      </c>
      <c r="N104" s="3">
        <f ca="1"/>
        <v>70.13</v>
      </c>
      <c r="O104" s="52">
        <f ca="1"/>
        <v>45946</v>
      </c>
      <c r="P104" s="3">
        <f ca="1"/>
        <v>105.45099999999999</v>
      </c>
    </row>
    <row r="105" spans="3:16" x14ac:dyDescent="0.3">
      <c r="C105" s="114">
        <v>116533</v>
      </c>
      <c r="D105" s="115">
        <v>45938</v>
      </c>
      <c r="E105" s="116" t="s">
        <v>94</v>
      </c>
      <c r="F105" s="116" t="s">
        <v>95</v>
      </c>
      <c r="G105" s="116" t="s">
        <v>96</v>
      </c>
      <c r="H105" s="116" t="s">
        <v>97</v>
      </c>
      <c r="I105" s="116" t="s">
        <v>98</v>
      </c>
      <c r="J105" s="116" t="s">
        <v>99</v>
      </c>
      <c r="K105" s="116">
        <v>56.288499999999999</v>
      </c>
      <c r="M105" s="52">
        <f ca="1"/>
        <v>45940</v>
      </c>
      <c r="N105" s="3">
        <f ca="1"/>
        <v>71.622</v>
      </c>
      <c r="O105" s="52">
        <f ca="1"/>
        <v>45947</v>
      </c>
      <c r="P105" s="3">
        <f ca="1"/>
        <v>105.226</v>
      </c>
    </row>
    <row r="106" spans="3:16" x14ac:dyDescent="0.3">
      <c r="C106" s="114">
        <v>171383</v>
      </c>
      <c r="D106" s="115">
        <v>45939</v>
      </c>
      <c r="E106" s="116" t="s">
        <v>94</v>
      </c>
      <c r="F106" s="116" t="s">
        <v>95</v>
      </c>
      <c r="G106" s="116" t="s">
        <v>96</v>
      </c>
      <c r="H106" s="116" t="s">
        <v>97</v>
      </c>
      <c r="I106" s="116" t="s">
        <v>98</v>
      </c>
      <c r="J106" s="116" t="s">
        <v>99</v>
      </c>
      <c r="K106" s="116">
        <v>56.36</v>
      </c>
      <c r="M106" s="52">
        <f ca="1"/>
        <v>45943</v>
      </c>
      <c r="N106" s="3">
        <f ca="1"/>
        <v>72.066000000000003</v>
      </c>
    </row>
    <row r="107" spans="3:16" x14ac:dyDescent="0.3">
      <c r="C107" s="114">
        <v>226332</v>
      </c>
      <c r="D107" s="115">
        <v>45940</v>
      </c>
      <c r="E107" s="116" t="s">
        <v>94</v>
      </c>
      <c r="F107" s="116" t="s">
        <v>95</v>
      </c>
      <c r="G107" s="116" t="s">
        <v>96</v>
      </c>
      <c r="H107" s="116" t="s">
        <v>97</v>
      </c>
      <c r="I107" s="116" t="s">
        <v>98</v>
      </c>
      <c r="J107" s="116" t="s">
        <v>99</v>
      </c>
      <c r="K107" s="116">
        <v>59.473300000000002</v>
      </c>
      <c r="M107" s="52">
        <f ca="1"/>
        <v>45944</v>
      </c>
      <c r="N107" s="3">
        <f ca="1"/>
        <v>72.063999999999993</v>
      </c>
    </row>
    <row r="108" spans="3:16" x14ac:dyDescent="0.3">
      <c r="M108" s="52">
        <f ca="1"/>
        <v>45945</v>
      </c>
      <c r="N108" s="3">
        <f ca="1"/>
        <v>70.635999999999996</v>
      </c>
    </row>
    <row r="109" spans="3:16" x14ac:dyDescent="0.3">
      <c r="M109" s="52">
        <f ca="1"/>
        <v>45946</v>
      </c>
      <c r="N109" s="3">
        <f ca="1"/>
        <v>71.272000000000006</v>
      </c>
    </row>
    <row r="111" spans="3:16" x14ac:dyDescent="0.3">
      <c r="K111" s="3">
        <f ca="1">K103-N103</f>
        <v>-12.314899999999994</v>
      </c>
    </row>
    <row r="112" spans="3:16" x14ac:dyDescent="0.3">
      <c r="K112" s="3">
        <f t="shared" ref="K112:K115" ca="1" si="30">K104-N104</f>
        <v>-13.243899999999996</v>
      </c>
    </row>
    <row r="113" spans="11:11" x14ac:dyDescent="0.3">
      <c r="K113" s="3">
        <f t="shared" ca="1" si="30"/>
        <v>-15.333500000000001</v>
      </c>
    </row>
    <row r="114" spans="11:11" x14ac:dyDescent="0.3">
      <c r="K114" s="3">
        <f t="shared" ca="1" si="30"/>
        <v>-15.706000000000003</v>
      </c>
    </row>
    <row r="115" spans="11:11" x14ac:dyDescent="0.3">
      <c r="K115" s="3">
        <f t="shared" ca="1" si="30"/>
        <v>-12.590699999999991</v>
      </c>
    </row>
  </sheetData>
  <mergeCells count="3">
    <mergeCell ref="B12:D12"/>
    <mergeCell ref="E12:G12"/>
    <mergeCell ref="H12:J12"/>
  </mergeCells>
  <conditionalFormatting sqref="L1 L7:L11 K12:K49 L50:L1048576">
    <cfRule type="cellIs" dxfId="17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EB0B-8FF4-45C7-B056-76D75E901C59}">
  <dimension ref="A1:N106"/>
  <sheetViews>
    <sheetView zoomScale="80" zoomScaleNormal="80" workbookViewId="0">
      <selection activeCell="G38" sqref="G38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136" hidden="1" customWidth="1"/>
    <col min="10" max="10" width="10.6640625" style="62" hidden="1" customWidth="1"/>
    <col min="11" max="11" width="10.5546875" style="52" hidden="1" customWidth="1"/>
    <col min="12" max="12" width="10.5546875" style="62" hidden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I1" s="52">
        <f ca="1">TODAY()-150</f>
        <v>45797</v>
      </c>
    </row>
    <row r="2" spans="1:14" ht="15" thickBot="1" x14ac:dyDescent="0.35">
      <c r="A2" s="14"/>
      <c r="B2" s="27" t="s">
        <v>0</v>
      </c>
      <c r="C2" s="28" t="s">
        <v>1</v>
      </c>
      <c r="D2" s="31"/>
      <c r="I2" s="102" t="s">
        <v>0</v>
      </c>
      <c r="K2" s="104" t="s">
        <v>1</v>
      </c>
    </row>
    <row r="3" spans="1:14" x14ac:dyDescent="0.3">
      <c r="A3" s="14" t="s">
        <v>32</v>
      </c>
      <c r="B3" s="15" t="s">
        <v>103</v>
      </c>
      <c r="C3" s="5" t="s">
        <v>104</v>
      </c>
      <c r="D3" s="31"/>
      <c r="I3" s="52" cm="1">
        <f t="array" aca="1" ref="I3:J106" ca="1">_xll.BDH($B$4, "PX_LAST, ", I$1, "")</f>
        <v>45797</v>
      </c>
      <c r="J3" s="62">
        <f ca="1"/>
        <v>55.292000000000002</v>
      </c>
      <c r="K3" s="52" cm="1">
        <f t="array" aca="1" ref="K3:L41" ca="1">_xll.BDH($C$4, "PX_LAST, ", I$1, "")</f>
        <v>45811</v>
      </c>
      <c r="L3" s="62">
        <f ca="1"/>
        <v>685.81</v>
      </c>
    </row>
    <row r="4" spans="1:14" ht="30" customHeight="1" x14ac:dyDescent="0.3">
      <c r="A4" s="15" t="s">
        <v>33</v>
      </c>
      <c r="B4" s="17" t="s">
        <v>105</v>
      </c>
      <c r="C4" s="6" t="s">
        <v>106</v>
      </c>
      <c r="D4" s="31"/>
      <c r="I4" s="52">
        <f ca="1"/>
        <v>45798</v>
      </c>
      <c r="J4" s="62">
        <f ca="1"/>
        <v>58.441000000000003</v>
      </c>
      <c r="K4" s="52">
        <f ca="1"/>
        <v>45814</v>
      </c>
      <c r="L4" s="62">
        <f ca="1"/>
        <v>655.72</v>
      </c>
    </row>
    <row r="5" spans="1:14" x14ac:dyDescent="0.3">
      <c r="A5" s="15" t="s">
        <v>8</v>
      </c>
      <c r="B5" s="18">
        <f>125*10^6</f>
        <v>125000000</v>
      </c>
      <c r="C5" s="32">
        <v>21</v>
      </c>
      <c r="D5" s="31"/>
      <c r="I5" s="52">
        <f ca="1"/>
        <v>45799</v>
      </c>
      <c r="J5" s="62">
        <f ca="1"/>
        <v>57.939</v>
      </c>
      <c r="K5" s="52">
        <f ca="1"/>
        <v>45821</v>
      </c>
      <c r="L5" s="62">
        <f ca="1"/>
        <v>655.7</v>
      </c>
    </row>
    <row r="6" spans="1:14" x14ac:dyDescent="0.3">
      <c r="A6" s="15" t="s">
        <v>10</v>
      </c>
      <c r="B6" s="19">
        <v>0.01</v>
      </c>
      <c r="C6" s="10">
        <v>0</v>
      </c>
      <c r="D6" s="31"/>
      <c r="I6" s="52">
        <f ca="1"/>
        <v>45800</v>
      </c>
      <c r="J6" s="62">
        <f ca="1"/>
        <v>59.526000000000003</v>
      </c>
      <c r="K6" s="52">
        <f ca="1"/>
        <v>45833</v>
      </c>
      <c r="L6" s="62">
        <f ca="1"/>
        <v>579.63</v>
      </c>
    </row>
    <row r="7" spans="1:14" x14ac:dyDescent="0.3">
      <c r="A7" s="15" t="s">
        <v>12</v>
      </c>
      <c r="B7" s="19">
        <v>0</v>
      </c>
      <c r="C7" s="10">
        <v>0</v>
      </c>
      <c r="D7" s="31"/>
      <c r="I7" s="53">
        <f ca="1"/>
        <v>45804</v>
      </c>
      <c r="J7" s="62">
        <f ca="1"/>
        <v>55.707999999999998</v>
      </c>
      <c r="K7" s="52">
        <f ca="1"/>
        <v>45834</v>
      </c>
      <c r="L7" s="62">
        <f ca="1"/>
        <v>547.1</v>
      </c>
      <c r="N7" s="52"/>
    </row>
    <row r="8" spans="1:14" x14ac:dyDescent="0.3">
      <c r="A8" s="15" t="s">
        <v>14</v>
      </c>
      <c r="B8" s="15">
        <v>4.8</v>
      </c>
      <c r="C8" s="5"/>
      <c r="D8" s="31"/>
      <c r="E8" s="53"/>
      <c r="G8" s="52"/>
      <c r="I8" s="52">
        <f ca="1"/>
        <v>45805</v>
      </c>
      <c r="J8" s="62">
        <f ca="1"/>
        <v>56.082000000000001</v>
      </c>
      <c r="K8" s="52">
        <f ca="1"/>
        <v>45835</v>
      </c>
      <c r="L8" s="62">
        <f ca="1"/>
        <v>526.04</v>
      </c>
    </row>
    <row r="9" spans="1:14" x14ac:dyDescent="0.3">
      <c r="A9" s="15" t="s">
        <v>15</v>
      </c>
      <c r="B9" s="15" t="s">
        <v>23</v>
      </c>
      <c r="C9" s="5"/>
      <c r="D9" s="31"/>
      <c r="E9" s="53"/>
      <c r="G9" s="52"/>
      <c r="I9" s="52">
        <f ca="1"/>
        <v>45806</v>
      </c>
      <c r="J9" s="62">
        <f ca="1"/>
        <v>56.131</v>
      </c>
      <c r="K9" s="52">
        <f ca="1"/>
        <v>45855</v>
      </c>
      <c r="L9" s="62">
        <f ca="1"/>
        <v>438.35</v>
      </c>
    </row>
    <row r="10" spans="1:14" ht="15" thickBot="1" x14ac:dyDescent="0.35">
      <c r="A10" s="16" t="s">
        <v>28</v>
      </c>
      <c r="B10" s="20" cm="1">
        <f t="array" ref="B10">_xll.BDP(B4,"PX_LAST")</f>
        <v>54.690629999999999</v>
      </c>
      <c r="C10" s="13" cm="1">
        <f t="array" ref="C10">_xll.BDP(C4,"PX_LAST")</f>
        <v>238.94</v>
      </c>
      <c r="D10" s="31"/>
      <c r="E10" s="1"/>
      <c r="G10" s="52"/>
      <c r="I10" s="52">
        <f ca="1"/>
        <v>45807</v>
      </c>
      <c r="J10" s="62">
        <f ca="1"/>
        <v>56.16</v>
      </c>
      <c r="K10" s="52">
        <f ca="1"/>
        <v>45870</v>
      </c>
      <c r="L10" s="62">
        <f ca="1"/>
        <v>491.43</v>
      </c>
    </row>
    <row r="11" spans="1:14" ht="15" thickBot="1" x14ac:dyDescent="0.35">
      <c r="A11" s="1"/>
      <c r="B11" s="1"/>
      <c r="C11" s="1"/>
      <c r="D11" s="31"/>
      <c r="E11" s="1"/>
      <c r="I11" s="52">
        <f ca="1"/>
        <v>45810</v>
      </c>
      <c r="J11" s="62">
        <f ca="1"/>
        <v>55.341000000000001</v>
      </c>
      <c r="K11" s="52">
        <f ca="1"/>
        <v>45891</v>
      </c>
      <c r="L11" s="62">
        <f ca="1"/>
        <v>302.45999999999998</v>
      </c>
    </row>
    <row r="12" spans="1:14" ht="15" thickBot="1" x14ac:dyDescent="0.35">
      <c r="A12" s="39" t="s">
        <v>22</v>
      </c>
      <c r="B12" s="153" t="s">
        <v>0</v>
      </c>
      <c r="C12" s="154"/>
      <c r="D12" s="155"/>
      <c r="E12" s="156" t="s">
        <v>1</v>
      </c>
      <c r="F12" s="158"/>
      <c r="G12" s="39" t="s">
        <v>16</v>
      </c>
      <c r="I12" s="136">
        <f ca="1"/>
        <v>45811</v>
      </c>
      <c r="J12" s="46">
        <f ca="1"/>
        <v>54.959000000000003</v>
      </c>
      <c r="K12" s="52">
        <f ca="1"/>
        <v>45894</v>
      </c>
      <c r="L12" s="62">
        <f ca="1"/>
        <v>303.64999999999998</v>
      </c>
    </row>
    <row r="13" spans="1:14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9"/>
      <c r="I13" s="136">
        <f ca="1"/>
        <v>45812</v>
      </c>
      <c r="J13" s="46">
        <f ca="1"/>
        <v>55.16</v>
      </c>
      <c r="K13" s="52">
        <f ca="1"/>
        <v>45898</v>
      </c>
      <c r="L13" s="62">
        <f ca="1"/>
        <v>305.2</v>
      </c>
    </row>
    <row r="14" spans="1:14" x14ac:dyDescent="0.3">
      <c r="A14" s="36">
        <v>45939</v>
      </c>
      <c r="B14" s="4">
        <v>52.6</v>
      </c>
      <c r="C14" s="31"/>
      <c r="D14" s="5"/>
      <c r="E14" s="4">
        <v>155.55000000000001</v>
      </c>
      <c r="F14" s="1"/>
      <c r="G14" s="82">
        <v>0</v>
      </c>
      <c r="I14" s="136">
        <f ca="1"/>
        <v>45813</v>
      </c>
      <c r="J14" s="46">
        <f ca="1"/>
        <v>55.661000000000001</v>
      </c>
      <c r="K14" s="52">
        <f ca="1"/>
        <v>45908</v>
      </c>
      <c r="L14" s="62">
        <f ca="1"/>
        <v>271.3</v>
      </c>
    </row>
    <row r="15" spans="1:14" x14ac:dyDescent="0.3">
      <c r="A15" s="36">
        <v>45940</v>
      </c>
      <c r="B15" s="4">
        <f ca="1">VLOOKUP(A15,I:J,2)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">
        <f ca="1">VLOOKUP(A15,K:L,2)</f>
        <v>267.07</v>
      </c>
      <c r="F15" s="31">
        <f ca="1">(E15-$E$14)*$C$5*100</f>
        <v>234191.99999999997</v>
      </c>
      <c r="G15" s="82">
        <f ca="1">C15+D15+F15</f>
        <v>-8455.7777777776355</v>
      </c>
      <c r="I15" s="136">
        <f ca="1"/>
        <v>45814</v>
      </c>
      <c r="J15" s="46">
        <f ca="1"/>
        <v>54.006</v>
      </c>
      <c r="K15" s="52">
        <f ca="1"/>
        <v>45909</v>
      </c>
      <c r="L15" s="62">
        <f ca="1"/>
        <v>268.22000000000003</v>
      </c>
    </row>
    <row r="16" spans="1:14" x14ac:dyDescent="0.3">
      <c r="A16" s="36">
        <v>45943</v>
      </c>
      <c r="B16" s="4">
        <f ca="1">VLOOKUP(A16,I:J,2)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">
        <f ca="1">VLOOKUP(A16,K:L,2)</f>
        <v>195.86</v>
      </c>
      <c r="F16" s="31">
        <f ca="1">(E16-$E$14)*$C$5*100</f>
        <v>84651</v>
      </c>
      <c r="G16" s="82">
        <f ca="1">C16+D16+F16</f>
        <v>-147580.11111111095</v>
      </c>
      <c r="I16" s="136">
        <f ca="1"/>
        <v>45817</v>
      </c>
      <c r="J16" s="46">
        <f ca="1"/>
        <v>53.912999999999997</v>
      </c>
      <c r="K16" s="52">
        <f ca="1"/>
        <v>45911</v>
      </c>
      <c r="L16" s="62">
        <f ca="1"/>
        <v>234.12</v>
      </c>
    </row>
    <row r="17" spans="1:12" x14ac:dyDescent="0.3">
      <c r="A17" s="36">
        <v>45944</v>
      </c>
      <c r="B17" s="4">
        <f ca="1">VLOOKUP(A17,I:J,2)</f>
        <v>53.369</v>
      </c>
      <c r="C17" s="31">
        <f ca="1">-1*(B17-$B$14)*$B$8*$B$5*10^(-4)</f>
        <v>-46139.999999999898</v>
      </c>
      <c r="D17" s="32">
        <f>(A17-$A$14)/360*$B$6*$B$5</f>
        <v>17361.111111111109</v>
      </c>
      <c r="E17" s="4">
        <f ca="1">VLOOKUP(A17,K:L,2)</f>
        <v>220.74</v>
      </c>
      <c r="F17" s="31">
        <f ca="1">(E17-$E$14)*$C$5*100</f>
        <v>136899</v>
      </c>
      <c r="G17" s="82">
        <f ca="1">C17+D17+F17</f>
        <v>108120.11111111121</v>
      </c>
      <c r="I17" s="136">
        <f ca="1"/>
        <v>45818</v>
      </c>
      <c r="J17" s="46">
        <f ca="1"/>
        <v>53.087000000000003</v>
      </c>
      <c r="K17" s="52">
        <f ca="1"/>
        <v>45912</v>
      </c>
      <c r="L17" s="62">
        <f ca="1"/>
        <v>224.91</v>
      </c>
    </row>
    <row r="18" spans="1:12" x14ac:dyDescent="0.3">
      <c r="A18" s="36">
        <v>45945</v>
      </c>
      <c r="B18" s="4">
        <f ca="1">VLOOKUP(A18,I:J,2)</f>
        <v>52.787999999999997</v>
      </c>
      <c r="C18" s="31">
        <f ca="1">-1*(B18-$B$14)*$B$8*$B$5*10^(-4)</f>
        <v>-11279.999999999718</v>
      </c>
      <c r="D18" s="32">
        <f>(A18-$A$14)/360*$B$6*$B$5</f>
        <v>20833.333333333332</v>
      </c>
      <c r="E18" s="4">
        <f ca="1">VLOOKUP(A18,K:L,2)</f>
        <v>191.5</v>
      </c>
      <c r="F18" s="31">
        <f ca="1">(E18-$E$14)*$C$5*100</f>
        <v>75494.999999999985</v>
      </c>
      <c r="G18" s="82">
        <f ca="1">C18+D18+F18</f>
        <v>85048.333333333605</v>
      </c>
      <c r="I18" s="136">
        <f ca="1"/>
        <v>45819</v>
      </c>
      <c r="J18" s="46">
        <f ca="1"/>
        <v>53.267000000000003</v>
      </c>
      <c r="K18" s="52">
        <f ca="1"/>
        <v>45915</v>
      </c>
      <c r="L18" s="62">
        <f ca="1"/>
        <v>211.6</v>
      </c>
    </row>
    <row r="19" spans="1:12" x14ac:dyDescent="0.3">
      <c r="A19" s="36">
        <v>45946</v>
      </c>
      <c r="B19" s="4">
        <f ca="1">VLOOKUP(A19,I:J,2)</f>
        <v>54.866</v>
      </c>
      <c r="C19" s="31">
        <f ca="1">-1*(B19-$B$14)*$B$8*$B$5*10^(-4)</f>
        <v>-135959.99999999988</v>
      </c>
      <c r="D19" s="32">
        <f>(A19-$A$14)/360*$B$6*$B$5</f>
        <v>24305.555555555558</v>
      </c>
      <c r="E19" s="4">
        <f ca="1">VLOOKUP(A19,K:L,2)</f>
        <v>231.8</v>
      </c>
      <c r="F19" s="31">
        <f ca="1">(E19-$E$14)*$C$5*100</f>
        <v>160125</v>
      </c>
      <c r="G19" s="82">
        <f ca="1">C19+D19+F19</f>
        <v>48470.555555555678</v>
      </c>
      <c r="I19" s="136">
        <f ca="1"/>
        <v>45820</v>
      </c>
      <c r="J19" s="46">
        <f ca="1"/>
        <v>53.845999999999997</v>
      </c>
      <c r="K19" s="52">
        <f ca="1"/>
        <v>45916</v>
      </c>
      <c r="L19" s="62">
        <f ca="1"/>
        <v>223.2</v>
      </c>
    </row>
    <row r="20" spans="1:12" x14ac:dyDescent="0.3">
      <c r="A20" s="36">
        <v>45947</v>
      </c>
      <c r="B20" s="4"/>
      <c r="C20" s="31"/>
      <c r="D20" s="32"/>
      <c r="E20" s="4"/>
      <c r="F20" s="31"/>
      <c r="G20" s="82"/>
      <c r="I20" s="136">
        <f ca="1"/>
        <v>45821</v>
      </c>
      <c r="J20" s="46">
        <f ca="1"/>
        <v>55.892000000000003</v>
      </c>
      <c r="K20" s="52">
        <f ca="1"/>
        <v>45917</v>
      </c>
      <c r="L20" s="62">
        <f ca="1"/>
        <v>226.6</v>
      </c>
    </row>
    <row r="21" spans="1:12" x14ac:dyDescent="0.3">
      <c r="A21" s="36"/>
      <c r="B21" s="4"/>
      <c r="C21" s="31"/>
      <c r="D21" s="32"/>
      <c r="E21" s="4"/>
      <c r="F21" s="31"/>
      <c r="G21" s="82"/>
      <c r="I21" s="136">
        <f ca="1"/>
        <v>45824</v>
      </c>
      <c r="J21" s="46">
        <f ca="1"/>
        <v>54.283999999999999</v>
      </c>
      <c r="K21" s="52">
        <f ca="1"/>
        <v>45919</v>
      </c>
      <c r="L21" s="62">
        <f ca="1"/>
        <v>197.25</v>
      </c>
    </row>
    <row r="22" spans="1:12" x14ac:dyDescent="0.3">
      <c r="A22" s="110"/>
      <c r="B22" s="4"/>
      <c r="C22" s="31"/>
      <c r="D22" s="32"/>
      <c r="E22" s="4"/>
      <c r="F22" s="31"/>
      <c r="G22" s="82"/>
      <c r="I22" s="136">
        <f ca="1"/>
        <v>45825</v>
      </c>
      <c r="J22" s="46">
        <f ca="1"/>
        <v>56.819000000000003</v>
      </c>
      <c r="K22" s="52">
        <f ca="1"/>
        <v>45922</v>
      </c>
      <c r="L22" s="62">
        <f ca="1"/>
        <v>185.03</v>
      </c>
    </row>
    <row r="23" spans="1:12" ht="14.4" hidden="1" customHeight="1" x14ac:dyDescent="0.3">
      <c r="A23" s="110"/>
      <c r="B23" s="4"/>
      <c r="C23" s="31"/>
      <c r="D23" s="32"/>
      <c r="E23" s="4"/>
      <c r="F23" s="31"/>
      <c r="G23" s="82"/>
      <c r="I23" s="136">
        <f ca="1"/>
        <v>45826</v>
      </c>
      <c r="J23" s="46">
        <f ca="1"/>
        <v>56.100999999999999</v>
      </c>
      <c r="K23" s="52">
        <f ca="1"/>
        <v>45923</v>
      </c>
      <c r="L23" s="62">
        <f ca="1"/>
        <v>199.8</v>
      </c>
    </row>
    <row r="24" spans="1:12" ht="14.4" hidden="1" customHeight="1" x14ac:dyDescent="0.3">
      <c r="A24" s="110"/>
      <c r="B24" s="4"/>
      <c r="C24" s="31"/>
      <c r="D24" s="32"/>
      <c r="E24" s="4"/>
      <c r="F24" s="31"/>
      <c r="G24" s="82"/>
      <c r="I24" s="136">
        <f ca="1"/>
        <v>45828</v>
      </c>
      <c r="J24" s="46">
        <f ca="1"/>
        <v>56.012999999999998</v>
      </c>
      <c r="K24" s="52">
        <f ca="1"/>
        <v>45924</v>
      </c>
      <c r="L24" s="62">
        <f ca="1"/>
        <v>213.23</v>
      </c>
    </row>
    <row r="25" spans="1:12" ht="14.4" hidden="1" customHeight="1" x14ac:dyDescent="0.3">
      <c r="A25" s="110"/>
      <c r="B25" s="4"/>
      <c r="C25" s="31"/>
      <c r="D25" s="32"/>
      <c r="E25" s="4"/>
      <c r="F25" s="31"/>
      <c r="G25" s="82"/>
      <c r="I25" s="136">
        <f ca="1"/>
        <v>45831</v>
      </c>
      <c r="J25" s="46">
        <f ca="1"/>
        <v>54.692</v>
      </c>
      <c r="K25" s="52">
        <f ca="1"/>
        <v>45925</v>
      </c>
      <c r="L25" s="62">
        <f ca="1"/>
        <v>222.8</v>
      </c>
    </row>
    <row r="26" spans="1:12" ht="14.4" hidden="1" customHeight="1" x14ac:dyDescent="0.3">
      <c r="A26" s="110"/>
      <c r="B26" s="4"/>
      <c r="C26" s="31"/>
      <c r="D26" s="32"/>
      <c r="E26" s="4"/>
      <c r="F26" s="31"/>
      <c r="G26" s="82"/>
      <c r="I26" s="136">
        <f ca="1"/>
        <v>45832</v>
      </c>
      <c r="J26" s="46">
        <f ca="1"/>
        <v>52.798999999999999</v>
      </c>
      <c r="K26" s="52">
        <f ca="1"/>
        <v>45926</v>
      </c>
      <c r="L26" s="62">
        <f ca="1"/>
        <v>213.4</v>
      </c>
    </row>
    <row r="27" spans="1:12" ht="14.4" hidden="1" customHeight="1" x14ac:dyDescent="0.3">
      <c r="A27" s="137"/>
      <c r="B27" s="138"/>
      <c r="C27" s="31"/>
      <c r="D27" s="32"/>
      <c r="E27" s="4"/>
      <c r="F27" s="31"/>
      <c r="G27" s="82"/>
      <c r="I27" s="136">
        <f ca="1"/>
        <v>45833</v>
      </c>
      <c r="J27" s="46">
        <f ca="1"/>
        <v>53.402000000000001</v>
      </c>
      <c r="K27" s="52">
        <f ca="1"/>
        <v>45929</v>
      </c>
      <c r="L27" s="62">
        <f ca="1"/>
        <v>181.95</v>
      </c>
    </row>
    <row r="28" spans="1:12" ht="14.4" hidden="1" customHeight="1" x14ac:dyDescent="0.3">
      <c r="A28" s="110"/>
      <c r="B28" s="4"/>
      <c r="C28" s="31"/>
      <c r="D28" s="32"/>
      <c r="E28" s="4"/>
      <c r="F28" s="31"/>
      <c r="G28" s="82"/>
      <c r="I28" s="136">
        <f ca="1"/>
        <v>45834</v>
      </c>
      <c r="J28" s="46">
        <f ca="1"/>
        <v>52.491999999999997</v>
      </c>
      <c r="K28" s="52">
        <f ca="1"/>
        <v>45930</v>
      </c>
      <c r="L28" s="62">
        <f ca="1"/>
        <v>189.6</v>
      </c>
    </row>
    <row r="29" spans="1:12" ht="14.4" hidden="1" customHeight="1" x14ac:dyDescent="0.3">
      <c r="A29" s="110"/>
      <c r="B29" s="4"/>
      <c r="C29" s="31"/>
      <c r="D29" s="32"/>
      <c r="E29" s="4"/>
      <c r="F29" s="31"/>
      <c r="G29" s="82"/>
      <c r="I29" s="136">
        <f ca="1"/>
        <v>45835</v>
      </c>
      <c r="J29" s="46">
        <f ca="1"/>
        <v>51.991</v>
      </c>
      <c r="K29" s="52">
        <f ca="1"/>
        <v>45931</v>
      </c>
      <c r="L29" s="62">
        <f ca="1"/>
        <v>164.7</v>
      </c>
    </row>
    <row r="30" spans="1:12" ht="14.4" hidden="1" customHeight="1" x14ac:dyDescent="0.3">
      <c r="A30" s="110"/>
      <c r="B30" s="4"/>
      <c r="C30" s="31"/>
      <c r="D30" s="32"/>
      <c r="E30" s="4"/>
      <c r="F30" s="31"/>
      <c r="G30" s="82"/>
      <c r="I30" s="136">
        <f ca="1"/>
        <v>45838</v>
      </c>
      <c r="J30" s="46">
        <f ca="1"/>
        <v>51.058</v>
      </c>
      <c r="K30" s="52">
        <f ca="1"/>
        <v>45932</v>
      </c>
      <c r="L30" s="62">
        <f ca="1"/>
        <v>166.3</v>
      </c>
    </row>
    <row r="31" spans="1:12" ht="14.4" hidden="1" customHeight="1" x14ac:dyDescent="0.3">
      <c r="A31" s="110"/>
      <c r="B31" s="4"/>
      <c r="C31" s="31"/>
      <c r="D31" s="32"/>
      <c r="E31" s="4"/>
      <c r="F31" s="31"/>
      <c r="G31" s="82"/>
      <c r="I31" s="136">
        <f ca="1"/>
        <v>45839</v>
      </c>
      <c r="J31" s="46">
        <f ca="1"/>
        <v>50.558999999999997</v>
      </c>
      <c r="K31" s="52">
        <f ca="1"/>
        <v>45933</v>
      </c>
      <c r="L31" s="62">
        <f ca="1"/>
        <v>166.01</v>
      </c>
    </row>
    <row r="32" spans="1:12" ht="14.4" hidden="1" customHeight="1" x14ac:dyDescent="0.3">
      <c r="A32" s="110"/>
      <c r="B32" s="4"/>
      <c r="C32" s="31"/>
      <c r="D32" s="32"/>
      <c r="E32" s="4"/>
      <c r="F32" s="1"/>
      <c r="G32" s="82"/>
      <c r="I32" s="136">
        <f ca="1"/>
        <v>45840</v>
      </c>
      <c r="J32" s="46">
        <f ca="1"/>
        <v>50.177999999999997</v>
      </c>
      <c r="K32" s="52">
        <f ca="1"/>
        <v>45936</v>
      </c>
      <c r="L32" s="62">
        <f ca="1"/>
        <v>154.01</v>
      </c>
    </row>
    <row r="33" spans="1:12" ht="14.4" hidden="1" customHeight="1" x14ac:dyDescent="0.3">
      <c r="A33" s="110"/>
      <c r="B33" s="4"/>
      <c r="C33" s="31"/>
      <c r="D33" s="32"/>
      <c r="E33" s="4"/>
      <c r="F33" s="1"/>
      <c r="G33" s="82"/>
      <c r="I33" s="136">
        <f ca="1"/>
        <v>45841</v>
      </c>
      <c r="J33" s="46">
        <f ca="1"/>
        <v>49.305</v>
      </c>
      <c r="K33" s="52">
        <f ca="1"/>
        <v>45937</v>
      </c>
      <c r="L33" s="62">
        <f ca="1"/>
        <v>166.5</v>
      </c>
    </row>
    <row r="34" spans="1:12" ht="14.4" hidden="1" customHeight="1" x14ac:dyDescent="0.3">
      <c r="A34" s="110"/>
      <c r="B34" s="4"/>
      <c r="C34" s="31"/>
      <c r="D34" s="32"/>
      <c r="E34" s="4"/>
      <c r="F34" s="1"/>
      <c r="G34" s="82"/>
      <c r="I34" s="136">
        <f ca="1"/>
        <v>45845</v>
      </c>
      <c r="J34" s="46">
        <f ca="1"/>
        <v>50.89</v>
      </c>
      <c r="K34" s="52">
        <f ca="1"/>
        <v>45938</v>
      </c>
      <c r="L34" s="62">
        <f ca="1"/>
        <v>148.79</v>
      </c>
    </row>
    <row r="35" spans="1:12" ht="14.4" hidden="1" customHeight="1" x14ac:dyDescent="0.3">
      <c r="A35" s="110"/>
      <c r="B35" s="4"/>
      <c r="C35" s="31"/>
      <c r="D35" s="32"/>
      <c r="E35" s="4"/>
      <c r="F35" s="1"/>
      <c r="G35" s="82"/>
      <c r="I35" s="136">
        <f ca="1"/>
        <v>45846</v>
      </c>
      <c r="J35" s="46">
        <f ca="1"/>
        <v>51.234000000000002</v>
      </c>
      <c r="K35" s="52">
        <f ca="1"/>
        <v>45939</v>
      </c>
      <c r="L35" s="62">
        <f ca="1"/>
        <v>161.04</v>
      </c>
    </row>
    <row r="36" spans="1:12" ht="14.4" hidden="1" customHeight="1" x14ac:dyDescent="0.3">
      <c r="A36" s="110"/>
      <c r="B36" s="4"/>
      <c r="C36" s="31"/>
      <c r="D36" s="32"/>
      <c r="E36" s="4"/>
      <c r="F36" s="1"/>
      <c r="G36" s="82"/>
      <c r="I36" s="136">
        <f ca="1"/>
        <v>45847</v>
      </c>
      <c r="J36" s="46">
        <f ca="1"/>
        <v>50.05</v>
      </c>
      <c r="K36" s="52">
        <f ca="1"/>
        <v>45940</v>
      </c>
      <c r="L36" s="62">
        <f ca="1"/>
        <v>267.07</v>
      </c>
    </row>
    <row r="37" spans="1:12" x14ac:dyDescent="0.3">
      <c r="A37" s="110"/>
      <c r="B37" s="4"/>
      <c r="C37" s="31"/>
      <c r="D37" s="32"/>
      <c r="E37" s="4"/>
      <c r="F37" s="1"/>
      <c r="G37" s="82"/>
      <c r="I37" s="136">
        <f ca="1"/>
        <v>45848</v>
      </c>
      <c r="J37" s="46">
        <f ca="1"/>
        <v>49.847000000000001</v>
      </c>
      <c r="K37" s="52">
        <f ca="1"/>
        <v>45943</v>
      </c>
      <c r="L37" s="62">
        <f ca="1"/>
        <v>195.86</v>
      </c>
    </row>
    <row r="38" spans="1:12" x14ac:dyDescent="0.3">
      <c r="A38" s="110"/>
      <c r="B38" s="4"/>
      <c r="C38" s="31"/>
      <c r="D38" s="32"/>
      <c r="E38" s="4"/>
      <c r="F38" s="1"/>
      <c r="G38" s="82"/>
      <c r="I38" s="136">
        <f ca="1"/>
        <v>45849</v>
      </c>
      <c r="J38" s="46">
        <f ca="1"/>
        <v>50.536000000000001</v>
      </c>
      <c r="K38" s="52">
        <f ca="1"/>
        <v>45944</v>
      </c>
      <c r="L38" s="62">
        <f ca="1"/>
        <v>220.74</v>
      </c>
    </row>
    <row r="39" spans="1:12" x14ac:dyDescent="0.3">
      <c r="A39" s="110"/>
      <c r="B39" s="4"/>
      <c r="C39" s="31"/>
      <c r="D39" s="32"/>
      <c r="E39" s="4"/>
      <c r="F39" s="1"/>
      <c r="G39" s="81"/>
      <c r="I39" s="136">
        <f ca="1"/>
        <v>45852</v>
      </c>
      <c r="J39" s="46">
        <f ca="1"/>
        <v>50.942999999999998</v>
      </c>
      <c r="K39" s="52">
        <f ca="1"/>
        <v>45945</v>
      </c>
      <c r="L39" s="62">
        <f ca="1"/>
        <v>191.5</v>
      </c>
    </row>
    <row r="40" spans="1:12" x14ac:dyDescent="0.3">
      <c r="A40" s="110"/>
      <c r="B40" s="4"/>
      <c r="C40" s="31"/>
      <c r="D40" s="32"/>
      <c r="E40" s="4"/>
      <c r="F40" s="1"/>
      <c r="G40" s="81"/>
      <c r="I40" s="136">
        <f ca="1"/>
        <v>45853</v>
      </c>
      <c r="J40" s="46">
        <f ca="1"/>
        <v>52.14</v>
      </c>
      <c r="K40" s="52">
        <f ca="1"/>
        <v>45946</v>
      </c>
      <c r="L40" s="62">
        <f ca="1"/>
        <v>231.8</v>
      </c>
    </row>
    <row r="41" spans="1:12" x14ac:dyDescent="0.3">
      <c r="A41" s="110"/>
      <c r="B41" s="4"/>
      <c r="C41" s="31"/>
      <c r="D41" s="32"/>
      <c r="E41" s="4"/>
      <c r="F41" s="1"/>
      <c r="G41" s="81"/>
      <c r="I41" s="136">
        <f ca="1"/>
        <v>45854</v>
      </c>
      <c r="J41" s="46">
        <f ca="1"/>
        <v>51.95</v>
      </c>
      <c r="K41" s="52">
        <f ca="1"/>
        <v>45947</v>
      </c>
      <c r="L41" s="62">
        <f ca="1"/>
        <v>238.94</v>
      </c>
    </row>
    <row r="42" spans="1:12" x14ac:dyDescent="0.3">
      <c r="A42" s="110"/>
      <c r="B42" s="4"/>
      <c r="C42" s="31"/>
      <c r="D42" s="5"/>
      <c r="E42" s="4"/>
      <c r="F42" s="1"/>
      <c r="G42" s="81"/>
      <c r="I42" s="136">
        <f ca="1"/>
        <v>45855</v>
      </c>
      <c r="J42" s="46">
        <f ca="1"/>
        <v>50.658000000000001</v>
      </c>
    </row>
    <row r="43" spans="1:12" x14ac:dyDescent="0.3">
      <c r="A43" s="110"/>
      <c r="B43" s="4"/>
      <c r="C43" s="31"/>
      <c r="D43" s="5"/>
      <c r="E43" s="4"/>
      <c r="F43" s="1"/>
      <c r="G43" s="81"/>
      <c r="I43" s="136">
        <f ca="1"/>
        <v>45856</v>
      </c>
      <c r="J43" s="46">
        <f ca="1"/>
        <v>50.805</v>
      </c>
    </row>
    <row r="44" spans="1:12" x14ac:dyDescent="0.3">
      <c r="A44" s="110"/>
      <c r="B44" s="4"/>
      <c r="C44" s="31"/>
      <c r="D44" s="5"/>
      <c r="E44" s="4"/>
      <c r="F44" s="1"/>
      <c r="G44" s="81"/>
      <c r="I44" s="136">
        <f ca="1"/>
        <v>45859</v>
      </c>
      <c r="J44" s="46">
        <f ca="1"/>
        <v>50.99</v>
      </c>
    </row>
    <row r="45" spans="1:12" x14ac:dyDescent="0.3">
      <c r="A45" s="36"/>
      <c r="B45" s="33"/>
      <c r="C45" s="60"/>
      <c r="D45" s="34"/>
      <c r="E45" s="33"/>
      <c r="G45" s="83"/>
      <c r="I45" s="136">
        <f ca="1"/>
        <v>45860</v>
      </c>
      <c r="J45" s="62">
        <f ca="1"/>
        <v>51.104999999999997</v>
      </c>
    </row>
    <row r="46" spans="1:12" ht="15" thickBot="1" x14ac:dyDescent="0.35">
      <c r="A46" s="36"/>
      <c r="B46" s="35"/>
      <c r="C46" s="70"/>
      <c r="D46" s="13"/>
      <c r="E46" s="35"/>
      <c r="F46" s="12"/>
      <c r="G46" s="84"/>
      <c r="I46" s="136">
        <f ca="1"/>
        <v>45861</v>
      </c>
      <c r="J46" s="62">
        <f ca="1"/>
        <v>50.115000000000002</v>
      </c>
    </row>
    <row r="47" spans="1:12" x14ac:dyDescent="0.3">
      <c r="I47" s="136">
        <f ca="1"/>
        <v>45862</v>
      </c>
      <c r="J47" s="62">
        <f ca="1"/>
        <v>50.139000000000003</v>
      </c>
    </row>
    <row r="48" spans="1:12" x14ac:dyDescent="0.3">
      <c r="I48" s="136">
        <f ca="1"/>
        <v>45863</v>
      </c>
      <c r="J48" s="62">
        <f ca="1"/>
        <v>50.043999999999997</v>
      </c>
    </row>
    <row r="49" spans="9:10" x14ac:dyDescent="0.3">
      <c r="I49" s="136">
        <f ca="1"/>
        <v>45866</v>
      </c>
      <c r="J49" s="62">
        <f ca="1"/>
        <v>50.25</v>
      </c>
    </row>
    <row r="50" spans="9:10" x14ac:dyDescent="0.3">
      <c r="I50" s="136">
        <f ca="1"/>
        <v>45867</v>
      </c>
      <c r="J50" s="62">
        <f ca="1"/>
        <v>50.933999999999997</v>
      </c>
    </row>
    <row r="51" spans="9:10" x14ac:dyDescent="0.3">
      <c r="I51" s="136">
        <f ca="1"/>
        <v>45868</v>
      </c>
      <c r="J51" s="62">
        <f ca="1"/>
        <v>50.837000000000003</v>
      </c>
    </row>
    <row r="52" spans="9:10" x14ac:dyDescent="0.3">
      <c r="I52" s="136">
        <f ca="1"/>
        <v>45869</v>
      </c>
      <c r="J52" s="62">
        <f ca="1"/>
        <v>51.338999999999999</v>
      </c>
    </row>
    <row r="53" spans="9:10" x14ac:dyDescent="0.3">
      <c r="I53" s="136">
        <f ca="1"/>
        <v>45870</v>
      </c>
      <c r="J53" s="62">
        <f ca="1"/>
        <v>53.94</v>
      </c>
    </row>
    <row r="54" spans="9:10" x14ac:dyDescent="0.3">
      <c r="I54" s="136">
        <f ca="1"/>
        <v>45873</v>
      </c>
      <c r="J54" s="62">
        <f ca="1"/>
        <v>51.886000000000003</v>
      </c>
    </row>
    <row r="55" spans="9:10" x14ac:dyDescent="0.3">
      <c r="I55" s="136">
        <f ca="1"/>
        <v>45874</v>
      </c>
      <c r="J55" s="62">
        <f ca="1"/>
        <v>52.518999999999998</v>
      </c>
    </row>
    <row r="56" spans="9:10" x14ac:dyDescent="0.3">
      <c r="I56" s="136">
        <f ca="1"/>
        <v>45875</v>
      </c>
      <c r="J56" s="62">
        <f ca="1"/>
        <v>52.03</v>
      </c>
    </row>
    <row r="57" spans="9:10" x14ac:dyDescent="0.3">
      <c r="I57" s="136">
        <f ca="1"/>
        <v>45876</v>
      </c>
      <c r="J57" s="62">
        <f ca="1"/>
        <v>51.976999999999997</v>
      </c>
    </row>
    <row r="58" spans="9:10" x14ac:dyDescent="0.3">
      <c r="I58" s="136">
        <f ca="1"/>
        <v>45877</v>
      </c>
      <c r="J58" s="62">
        <f ca="1"/>
        <v>51.043999999999997</v>
      </c>
    </row>
    <row r="59" spans="9:10" x14ac:dyDescent="0.3">
      <c r="I59" s="136">
        <f ca="1"/>
        <v>45880</v>
      </c>
      <c r="J59" s="62">
        <f ca="1"/>
        <v>51.491999999999997</v>
      </c>
    </row>
    <row r="60" spans="9:10" x14ac:dyDescent="0.3">
      <c r="I60" s="136">
        <f ca="1"/>
        <v>45881</v>
      </c>
      <c r="J60" s="62">
        <f ca="1"/>
        <v>50.103999999999999</v>
      </c>
    </row>
    <row r="61" spans="9:10" x14ac:dyDescent="0.3">
      <c r="I61" s="136">
        <f ca="1"/>
        <v>45882</v>
      </c>
      <c r="J61" s="62">
        <f ca="1"/>
        <v>49.718000000000004</v>
      </c>
    </row>
    <row r="62" spans="9:10" x14ac:dyDescent="0.3">
      <c r="I62" s="136">
        <f ca="1"/>
        <v>45883</v>
      </c>
      <c r="J62" s="62">
        <f ca="1"/>
        <v>49.960999999999999</v>
      </c>
    </row>
    <row r="63" spans="9:10" x14ac:dyDescent="0.3">
      <c r="I63" s="136">
        <f ca="1"/>
        <v>45884</v>
      </c>
      <c r="J63" s="62">
        <f ca="1"/>
        <v>50.036000000000001</v>
      </c>
    </row>
    <row r="64" spans="9:10" x14ac:dyDescent="0.3">
      <c r="I64" s="136">
        <f ca="1"/>
        <v>45887</v>
      </c>
      <c r="J64" s="62">
        <f ca="1"/>
        <v>50.034999999999997</v>
      </c>
    </row>
    <row r="65" spans="9:10" x14ac:dyDescent="0.3">
      <c r="I65" s="136">
        <f ca="1"/>
        <v>45888</v>
      </c>
      <c r="J65" s="62">
        <f ca="1"/>
        <v>50.387999999999998</v>
      </c>
    </row>
    <row r="66" spans="9:10" x14ac:dyDescent="0.3">
      <c r="I66" s="136">
        <f ca="1"/>
        <v>45889</v>
      </c>
      <c r="J66" s="62">
        <f ca="1"/>
        <v>50.752000000000002</v>
      </c>
    </row>
    <row r="67" spans="9:10" x14ac:dyDescent="0.3">
      <c r="I67" s="136">
        <f ca="1"/>
        <v>45890</v>
      </c>
      <c r="J67" s="62">
        <f ca="1"/>
        <v>51.588000000000001</v>
      </c>
    </row>
    <row r="68" spans="9:10" x14ac:dyDescent="0.3">
      <c r="I68" s="136">
        <f ca="1"/>
        <v>45891</v>
      </c>
      <c r="J68" s="62">
        <f ca="1"/>
        <v>49.064999999999998</v>
      </c>
    </row>
    <row r="69" spans="9:10" x14ac:dyDescent="0.3">
      <c r="I69" s="136">
        <f ca="1"/>
        <v>45894</v>
      </c>
      <c r="J69" s="62">
        <f ca="1"/>
        <v>49.643999999999998</v>
      </c>
    </row>
    <row r="70" spans="9:10" x14ac:dyDescent="0.3">
      <c r="I70" s="136">
        <f ca="1"/>
        <v>45895</v>
      </c>
      <c r="J70" s="62">
        <f ca="1"/>
        <v>49.65</v>
      </c>
    </row>
    <row r="71" spans="9:10" x14ac:dyDescent="0.3">
      <c r="I71" s="136">
        <f ca="1"/>
        <v>45896</v>
      </c>
      <c r="J71" s="62">
        <f ca="1"/>
        <v>50.3</v>
      </c>
    </row>
    <row r="72" spans="9:10" x14ac:dyDescent="0.3">
      <c r="I72" s="136">
        <f ca="1"/>
        <v>45897</v>
      </c>
      <c r="J72" s="62">
        <f ca="1"/>
        <v>50.12</v>
      </c>
    </row>
    <row r="73" spans="9:10" x14ac:dyDescent="0.3">
      <c r="I73" s="136">
        <f ca="1"/>
        <v>45898</v>
      </c>
      <c r="J73" s="62">
        <f ca="1"/>
        <v>50.957999999999998</v>
      </c>
    </row>
    <row r="74" spans="9:10" x14ac:dyDescent="0.3">
      <c r="I74" s="136">
        <f ca="1"/>
        <v>45902</v>
      </c>
      <c r="J74" s="62">
        <f ca="1"/>
        <v>51.023000000000003</v>
      </c>
    </row>
    <row r="75" spans="9:10" x14ac:dyDescent="0.3">
      <c r="I75" s="136">
        <f ca="1"/>
        <v>45903</v>
      </c>
      <c r="J75" s="62">
        <f ca="1"/>
        <v>50.9</v>
      </c>
    </row>
    <row r="76" spans="9:10" x14ac:dyDescent="0.3">
      <c r="I76" s="136">
        <f ca="1"/>
        <v>45904</v>
      </c>
      <c r="J76" s="62">
        <f ca="1"/>
        <v>49.542000000000002</v>
      </c>
    </row>
    <row r="77" spans="9:10" x14ac:dyDescent="0.3">
      <c r="I77" s="136">
        <f ca="1"/>
        <v>45905</v>
      </c>
      <c r="J77" s="62">
        <f ca="1"/>
        <v>49.9</v>
      </c>
    </row>
    <row r="78" spans="9:10" x14ac:dyDescent="0.3">
      <c r="I78" s="136">
        <f ca="1"/>
        <v>45908</v>
      </c>
      <c r="J78" s="62">
        <f ca="1"/>
        <v>49.997</v>
      </c>
    </row>
    <row r="79" spans="9:10" x14ac:dyDescent="0.3">
      <c r="I79" s="136">
        <f ca="1"/>
        <v>45909</v>
      </c>
      <c r="J79" s="62">
        <f ca="1"/>
        <v>49.539000000000001</v>
      </c>
    </row>
    <row r="80" spans="9:10" x14ac:dyDescent="0.3">
      <c r="I80" s="136">
        <f ca="1"/>
        <v>45910</v>
      </c>
      <c r="J80" s="62">
        <f ca="1"/>
        <v>48.988</v>
      </c>
    </row>
    <row r="81" spans="9:10" x14ac:dyDescent="0.3">
      <c r="I81" s="136">
        <f ca="1"/>
        <v>45911</v>
      </c>
      <c r="J81" s="62">
        <f ca="1"/>
        <v>47.709000000000003</v>
      </c>
    </row>
    <row r="82" spans="9:10" x14ac:dyDescent="0.3">
      <c r="I82" s="136">
        <f ca="1"/>
        <v>45912</v>
      </c>
      <c r="J82" s="62">
        <f ca="1"/>
        <v>47.848999999999997</v>
      </c>
    </row>
    <row r="83" spans="9:10" x14ac:dyDescent="0.3">
      <c r="I83" s="136">
        <f ca="1"/>
        <v>45915</v>
      </c>
      <c r="J83" s="62">
        <f ca="1"/>
        <v>46.994</v>
      </c>
    </row>
    <row r="84" spans="9:10" x14ac:dyDescent="0.3">
      <c r="I84" s="136">
        <f ca="1"/>
        <v>45916</v>
      </c>
      <c r="J84" s="62">
        <f ca="1"/>
        <v>47.453000000000003</v>
      </c>
    </row>
    <row r="85" spans="9:10" x14ac:dyDescent="0.3">
      <c r="I85" s="136">
        <f ca="1"/>
        <v>45917</v>
      </c>
      <c r="J85" s="62">
        <f ca="1"/>
        <v>47.76</v>
      </c>
    </row>
    <row r="86" spans="9:10" x14ac:dyDescent="0.3">
      <c r="I86" s="136">
        <f ca="1"/>
        <v>45918</v>
      </c>
      <c r="J86" s="62">
        <f ca="1"/>
        <v>46.95</v>
      </c>
    </row>
    <row r="87" spans="9:10" x14ac:dyDescent="0.3">
      <c r="I87" s="136">
        <f ca="1"/>
        <v>45919</v>
      </c>
      <c r="J87" s="62">
        <f ca="1"/>
        <v>47.262</v>
      </c>
    </row>
    <row r="88" spans="9:10" x14ac:dyDescent="0.3">
      <c r="I88" s="136">
        <f ca="1"/>
        <v>45922</v>
      </c>
      <c r="J88" s="62">
        <f ca="1"/>
        <v>51.720999999999997</v>
      </c>
    </row>
    <row r="89" spans="9:10" x14ac:dyDescent="0.3">
      <c r="I89" s="136">
        <f ca="1"/>
        <v>45923</v>
      </c>
      <c r="J89" s="62">
        <f ca="1"/>
        <v>52.152000000000001</v>
      </c>
    </row>
    <row r="90" spans="9:10" x14ac:dyDescent="0.3">
      <c r="I90" s="136">
        <f ca="1"/>
        <v>45924</v>
      </c>
      <c r="J90" s="62">
        <f ca="1"/>
        <v>52.631</v>
      </c>
    </row>
    <row r="91" spans="9:10" x14ac:dyDescent="0.3">
      <c r="I91" s="136">
        <f ca="1"/>
        <v>45925</v>
      </c>
      <c r="J91" s="62">
        <f ca="1"/>
        <v>53.494999999999997</v>
      </c>
    </row>
    <row r="92" spans="9:10" x14ac:dyDescent="0.3">
      <c r="I92" s="136">
        <f ca="1"/>
        <v>45926</v>
      </c>
      <c r="J92" s="62">
        <f ca="1"/>
        <v>52.826000000000001</v>
      </c>
    </row>
    <row r="93" spans="9:10" x14ac:dyDescent="0.3">
      <c r="I93" s="136">
        <f ca="1"/>
        <v>45929</v>
      </c>
      <c r="J93" s="62">
        <f ca="1"/>
        <v>52.215000000000003</v>
      </c>
    </row>
    <row r="94" spans="9:10" x14ac:dyDescent="0.3">
      <c r="I94" s="136">
        <f ca="1"/>
        <v>45930</v>
      </c>
      <c r="J94" s="62">
        <f ca="1"/>
        <v>52.07</v>
      </c>
    </row>
    <row r="95" spans="9:10" x14ac:dyDescent="0.3">
      <c r="I95" s="136">
        <f ca="1"/>
        <v>45931</v>
      </c>
      <c r="J95" s="62">
        <f ca="1"/>
        <v>52.097999999999999</v>
      </c>
    </row>
    <row r="96" spans="9:10" x14ac:dyDescent="0.3">
      <c r="I96" s="136">
        <f ca="1"/>
        <v>45932</v>
      </c>
      <c r="J96" s="62">
        <f ca="1"/>
        <v>51.646000000000001</v>
      </c>
    </row>
    <row r="97" spans="9:10" x14ac:dyDescent="0.3">
      <c r="I97" s="136">
        <f ca="1"/>
        <v>45933</v>
      </c>
      <c r="J97" s="62">
        <f ca="1"/>
        <v>51.488999999999997</v>
      </c>
    </row>
    <row r="98" spans="9:10" x14ac:dyDescent="0.3">
      <c r="I98" s="136">
        <f ca="1"/>
        <v>45936</v>
      </c>
      <c r="J98" s="62">
        <f ca="1"/>
        <v>50.904000000000003</v>
      </c>
    </row>
    <row r="99" spans="9:10" x14ac:dyDescent="0.3">
      <c r="I99" s="136">
        <f ca="1"/>
        <v>45937</v>
      </c>
      <c r="J99" s="62">
        <f ca="1"/>
        <v>51.424999999999997</v>
      </c>
    </row>
    <row r="100" spans="9:10" x14ac:dyDescent="0.3">
      <c r="I100" s="136">
        <f ca="1"/>
        <v>45938</v>
      </c>
      <c r="J100" s="62">
        <f ca="1"/>
        <v>51.866</v>
      </c>
    </row>
    <row r="101" spans="9:10" x14ac:dyDescent="0.3">
      <c r="I101" s="136">
        <f ca="1"/>
        <v>45939</v>
      </c>
      <c r="J101" s="62">
        <f ca="1"/>
        <v>52.597000000000001</v>
      </c>
    </row>
    <row r="102" spans="9:10" x14ac:dyDescent="0.3">
      <c r="I102" s="136">
        <f ca="1"/>
        <v>45940</v>
      </c>
      <c r="J102" s="62">
        <f ca="1"/>
        <v>56.701999999999998</v>
      </c>
    </row>
    <row r="103" spans="9:10" x14ac:dyDescent="0.3">
      <c r="I103" s="136">
        <f ca="1"/>
        <v>45944</v>
      </c>
      <c r="J103" s="62">
        <f ca="1"/>
        <v>53.369</v>
      </c>
    </row>
    <row r="104" spans="9:10" x14ac:dyDescent="0.3">
      <c r="I104" s="136">
        <f ca="1"/>
        <v>45945</v>
      </c>
      <c r="J104" s="62">
        <f ca="1"/>
        <v>52.787999999999997</v>
      </c>
    </row>
    <row r="105" spans="9:10" x14ac:dyDescent="0.3">
      <c r="I105" s="136">
        <f ca="1"/>
        <v>45946</v>
      </c>
      <c r="J105" s="62">
        <f ca="1"/>
        <v>54.866</v>
      </c>
    </row>
    <row r="106" spans="9:10" x14ac:dyDescent="0.3">
      <c r="I106" s="136">
        <f ca="1"/>
        <v>45947</v>
      </c>
      <c r="J106" s="62">
        <f ca="1"/>
        <v>54.691000000000003</v>
      </c>
    </row>
  </sheetData>
  <mergeCells count="2">
    <mergeCell ref="B12:D12"/>
    <mergeCell ref="E12:F12"/>
  </mergeCells>
  <conditionalFormatting sqref="G13:G38">
    <cfRule type="cellIs" dxfId="16" priority="1" operator="lessThan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5DB0-9B26-4478-AA01-D2CE99F14818}">
  <dimension ref="A1:ED140"/>
  <sheetViews>
    <sheetView zoomScale="70" zoomScaleNormal="70" workbookViewId="0">
      <selection activeCell="A4" sqref="A4"/>
    </sheetView>
  </sheetViews>
  <sheetFormatPr defaultColWidth="8.88671875" defaultRowHeight="14.4" x14ac:dyDescent="0.3"/>
  <cols>
    <col min="1" max="1" width="15.44140625" style="54" bestFit="1" customWidth="1"/>
    <col min="2" max="2" width="16.88671875" style="54" customWidth="1"/>
    <col min="3" max="5" width="16.88671875" style="54" hidden="1" customWidth="1"/>
    <col min="6" max="6" width="10.5546875" style="54" hidden="1" customWidth="1"/>
    <col min="7" max="7" width="11.5546875" style="54" hidden="1" customWidth="1"/>
    <col min="8" max="8" width="8.88671875" style="54" hidden="1" customWidth="1"/>
    <col min="9" max="9" width="12.44140625" style="54" hidden="1" customWidth="1"/>
    <col min="10" max="10" width="13.33203125" style="54" hidden="1" customWidth="1"/>
    <col min="11" max="12" width="11.5546875" style="54" hidden="1" customWidth="1"/>
    <col min="13" max="13" width="13.33203125" style="54" hidden="1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1875" bestFit="1" customWidth="1"/>
    <col min="19" max="19" width="11.21875" customWidth="1"/>
    <col min="20" max="20" width="0" hidden="1" customWidth="1"/>
    <col min="21" max="21" width="10.5546875" style="75" hidden="1" customWidth="1"/>
    <col min="22" max="22" width="6" style="54" hidden="1" customWidth="1"/>
    <col min="23" max="23" width="10.5546875" style="75" hidden="1" customWidth="1"/>
    <col min="24" max="24" width="8.88671875" style="54" hidden="1" customWidth="1"/>
    <col min="25" max="25" width="15.77734375" style="125" hidden="1" customWidth="1"/>
    <col min="26" max="26" width="8.88671875" style="54" hidden="1" customWidth="1"/>
    <col min="27" max="27" width="10.5546875" style="75" hidden="1" customWidth="1"/>
    <col min="28" max="30" width="8.88671875" style="54" hidden="1" customWidth="1"/>
    <col min="31" max="31" width="8.88671875" style="54"/>
    <col min="32" max="32" width="15.44140625" style="133" bestFit="1" customWidth="1"/>
    <col min="33" max="33" width="13.33203125" style="54" bestFit="1" customWidth="1"/>
    <col min="34" max="36" width="13.33203125" style="54" hidden="1" customWidth="1"/>
    <col min="37" max="37" width="12.44140625" style="54" hidden="1" customWidth="1"/>
    <col min="38" max="38" width="13.33203125" style="54" hidden="1" customWidth="1"/>
    <col min="39" max="39" width="10.6640625" style="54" hidden="1" customWidth="1"/>
    <col min="40" max="40" width="13.33203125" style="54" hidden="1" customWidth="1"/>
    <col min="41" max="41" width="11.5546875" style="54" hidden="1" customWidth="1"/>
    <col min="42" max="42" width="10.6640625" style="54" hidden="1" customWidth="1"/>
    <col min="43" max="43" width="11.5546875" style="54" hidden="1" customWidth="1"/>
    <col min="44" max="47" width="10.6640625" style="54" hidden="1" customWidth="1"/>
    <col min="48" max="48" width="13.88671875" style="54" hidden="1" customWidth="1"/>
    <col min="49" max="49" width="11.5546875" style="54" hidden="1" customWidth="1"/>
    <col min="50" max="50" width="13.33203125" style="54" hidden="1" customWidth="1"/>
    <col min="51" max="51" width="13.33203125" style="54" bestFit="1" customWidth="1"/>
    <col min="52" max="53" width="13.33203125" style="54" hidden="1" customWidth="1"/>
    <col min="54" max="55" width="13.33203125" style="54" customWidth="1"/>
    <col min="57" max="57" width="17.109375" style="75" hidden="1" customWidth="1"/>
    <col min="58" max="58" width="7.77734375" style="54" hidden="1" customWidth="1"/>
    <col min="59" max="59" width="11.5546875" style="75" hidden="1" customWidth="1"/>
    <col min="60" max="60" width="13.33203125" style="54" hidden="1" customWidth="1"/>
    <col min="61" max="61" width="11.5546875" style="75" hidden="1" customWidth="1"/>
    <col min="62" max="62" width="0" style="54" hidden="1" customWidth="1"/>
    <col min="63" max="63" width="11.5546875" style="75" hidden="1" customWidth="1"/>
    <col min="64" max="64" width="13.33203125" style="54" hidden="1" customWidth="1"/>
    <col min="65" max="65" width="11.5546875" style="75" hidden="1" customWidth="1"/>
    <col min="66" max="66" width="12.21875" style="54" hidden="1" customWidth="1"/>
    <col min="67" max="67" width="11.5546875" style="75" hidden="1" customWidth="1"/>
    <col min="68" max="68" width="12.21875" style="54" hidden="1" customWidth="1"/>
    <col min="69" max="69" width="8.88671875" style="54"/>
    <col min="70" max="70" width="15.44140625" style="133" bestFit="1" customWidth="1"/>
    <col min="71" max="71" width="13.33203125" style="54" bestFit="1" customWidth="1"/>
    <col min="72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3.33203125" style="54" bestFit="1" customWidth="1"/>
    <col min="87" max="87" width="9.33203125" style="54" bestFit="1" customWidth="1"/>
    <col min="88" max="88" width="7.77734375" style="54" bestFit="1" customWidth="1"/>
    <col min="89" max="89" width="10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77734375" style="54" hidden="1" customWidth="1"/>
    <col min="97" max="97" width="11.88671875" style="142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3" bestFit="1" customWidth="1"/>
    <col min="111" max="111" width="11.6640625" style="54" hidden="1" customWidth="1"/>
    <col min="112" max="113" width="11.109375" style="54" hidden="1" customWidth="1"/>
    <col min="114" max="114" width="13.109375" style="54" hidden="1" customWidth="1"/>
    <col min="115" max="115" width="15.33203125" style="54" bestFit="1" customWidth="1"/>
    <col min="116" max="116" width="14.6640625" style="54" bestFit="1" customWidth="1"/>
    <col min="117" max="117" width="14.6640625" style="54" customWidth="1"/>
    <col min="118" max="118" width="16.77734375" style="54" bestFit="1" customWidth="1"/>
    <col min="119" max="119" width="16.33203125" style="54" bestFit="1" customWidth="1"/>
    <col min="120" max="120" width="15.33203125" style="54" bestFit="1" customWidth="1"/>
    <col min="121" max="121" width="12.33203125" style="54" bestFit="1" customWidth="1"/>
    <col min="122" max="122" width="17.88671875" style="54" bestFit="1" customWidth="1"/>
    <col min="123" max="123" width="16.33203125" style="54" bestFit="1" customWidth="1"/>
    <col min="124" max="124" width="15.33203125" style="54" bestFit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0" style="54" bestFit="1" customWidth="1"/>
    <col min="131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U1" s="53"/>
      <c r="V1" s="1"/>
      <c r="W1" s="53"/>
      <c r="X1" s="1"/>
      <c r="Y1" s="122"/>
      <c r="Z1" s="1"/>
      <c r="AA1" s="53"/>
      <c r="AF1" s="1"/>
      <c r="AG1" s="1"/>
      <c r="AH1" s="1"/>
      <c r="AI1" s="1"/>
      <c r="AJ1" s="1"/>
      <c r="AK1" s="1"/>
      <c r="AL1" s="1"/>
      <c r="AN1" s="119" t="s">
        <v>100</v>
      </c>
      <c r="AO1" s="120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5" t="s">
        <v>0</v>
      </c>
      <c r="CC1" s="150" t="s">
        <v>1</v>
      </c>
      <c r="CF1" s="1"/>
      <c r="CG1" s="1"/>
      <c r="CH1" s="1"/>
      <c r="CI1" s="1"/>
      <c r="CJ1" s="1"/>
      <c r="CK1" s="1"/>
      <c r="CL1" s="1"/>
      <c r="CO1" s="135" t="s">
        <v>0</v>
      </c>
      <c r="CQ1" s="150" t="s">
        <v>1</v>
      </c>
      <c r="CS1" s="54"/>
      <c r="CT1" s="54"/>
      <c r="CU1" s="54"/>
      <c r="CV1" s="54"/>
      <c r="CW1" s="54"/>
      <c r="CX1" s="54"/>
      <c r="CY1" s="54"/>
      <c r="DF1" s="142"/>
      <c r="DG1" s="58"/>
      <c r="DH1" s="58"/>
      <c r="DI1" s="58"/>
      <c r="DJ1" s="58"/>
      <c r="DK1" s="58"/>
      <c r="DL1" s="58"/>
      <c r="DM1" s="58"/>
      <c r="DN1" s="58"/>
      <c r="DO1" s="58"/>
      <c r="DP1" s="58"/>
      <c r="DZ1" s="133"/>
    </row>
    <row r="2" spans="1:134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</v>
      </c>
      <c r="J2" s="1"/>
      <c r="K2" s="53"/>
      <c r="L2" s="1"/>
      <c r="M2" s="53"/>
      <c r="U2" s="102" t="s">
        <v>0</v>
      </c>
      <c r="V2" s="1"/>
      <c r="W2" s="103" t="s">
        <v>1</v>
      </c>
      <c r="X2" s="2"/>
      <c r="Y2" s="123" t="s">
        <v>1</v>
      </c>
      <c r="Z2" s="1"/>
      <c r="AA2" s="101" t="s">
        <v>0</v>
      </c>
      <c r="AF2" s="30"/>
      <c r="AG2" s="40" t="s">
        <v>0</v>
      </c>
      <c r="AH2" s="44" t="s">
        <v>1</v>
      </c>
      <c r="AI2" s="71" t="s">
        <v>1</v>
      </c>
      <c r="AJ2" s="77" t="s">
        <v>0</v>
      </c>
      <c r="AK2" s="71" t="s">
        <v>0</v>
      </c>
      <c r="AL2" s="72" t="s">
        <v>0</v>
      </c>
      <c r="BE2" s="102" t="s">
        <v>0</v>
      </c>
      <c r="BF2" s="1"/>
      <c r="BG2" s="103" t="s">
        <v>1</v>
      </c>
      <c r="BH2" s="2"/>
      <c r="BI2" s="104" t="s">
        <v>1</v>
      </c>
      <c r="BJ2" s="1"/>
      <c r="BK2" s="105" t="s">
        <v>0</v>
      </c>
      <c r="BM2" s="106" t="s">
        <v>0</v>
      </c>
      <c r="BO2" s="101" t="s">
        <v>0</v>
      </c>
      <c r="BR2" s="30"/>
      <c r="BS2" s="135" t="s">
        <v>0</v>
      </c>
      <c r="BT2" s="150" t="s">
        <v>1</v>
      </c>
      <c r="CA2" s="129" cm="1">
        <f t="array" ref="CA2:CB132">_xll.BDH(BS4, "LAST_PRICE", "01/01/2025 15:00:00", "01/01/2035 16:00:00", "BarSize=60", "BarType=T", "RecurDaily=True", "TZ=New_York")</f>
        <v>45751.625</v>
      </c>
      <c r="CB2" s="54">
        <v>102.50579999999999</v>
      </c>
      <c r="CC2" s="129" cm="1">
        <f t="array" ref="CC2:CD132">_xll.BDH(BT4, "LAST_PRICE", "01/01/2025 15:00:00", "01/01/2035 16:00:00", "BarSize=60", "BarType=T", "RecurDaily=True", "TZ=New_York")</f>
        <v>45751.625</v>
      </c>
      <c r="CD2" s="54">
        <v>72.096999999999994</v>
      </c>
      <c r="CF2" s="30"/>
      <c r="CG2" s="135" t="s">
        <v>0</v>
      </c>
      <c r="CH2" s="150" t="s">
        <v>1</v>
      </c>
      <c r="CO2" s="129" cm="1">
        <f t="array" ref="CO2:CP137">_xll.BDH(CG4, "LAST_PRICE", "01/01/2025 15:00:00", "01/01/2035 16:00:00", "BarSize=60", "BarType=T", "RecurDaily=True", "TZ=London")</f>
        <v>45751.625</v>
      </c>
      <c r="CP2" s="54">
        <v>392.07299999999998</v>
      </c>
      <c r="CQ2" s="129" cm="1">
        <f t="array" ref="CQ2:CR137">_xll.BDH(CH4, "LAST_PRICE", "01/01/2025 15:00:00", "01/01/2035 16:00:00", "BarSize=60", "BarType=T", "RecurDaily=True", "TZ=London")</f>
        <v>45751.625</v>
      </c>
      <c r="CR2" s="54">
        <v>78.040000000000006</v>
      </c>
      <c r="CS2" s="54"/>
      <c r="CT2" s="54"/>
      <c r="CU2" s="54"/>
      <c r="CV2" s="54"/>
      <c r="CW2" s="54"/>
      <c r="CX2" s="54"/>
      <c r="CY2" s="54"/>
      <c r="DF2" s="142"/>
      <c r="DG2" s="58"/>
      <c r="DH2" s="58"/>
      <c r="DI2" s="58"/>
      <c r="DJ2" s="58"/>
      <c r="DK2" s="58"/>
      <c r="DL2" s="58"/>
      <c r="DM2" s="58"/>
      <c r="DN2" s="58"/>
      <c r="DO2" s="58"/>
      <c r="DP2" s="58"/>
      <c r="DZ2" s="133"/>
    </row>
    <row r="3" spans="1:134" ht="15" thickBot="1" x14ac:dyDescent="0.35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144" t="s">
        <v>108</v>
      </c>
      <c r="H3" s="1"/>
      <c r="I3" s="53"/>
      <c r="J3" s="1"/>
      <c r="K3" s="53"/>
      <c r="L3" s="1"/>
      <c r="M3" s="53"/>
      <c r="U3" s="52" cm="1">
        <f t="array" ref="U3:V137">_xll.BDH(B4, "LAST_PRICE", "01/01/2025 15:00:00", "01/01/2035 16:00:00", "BarSize=60", "BarType=T", "RecurDaily=True", "TZ=London")</f>
        <v>45751.625</v>
      </c>
      <c r="V3" s="1">
        <v>90.08</v>
      </c>
      <c r="W3" s="52" cm="1">
        <f t="array" ref="W3:X140">_xll.BDH(C4, "LAST_PRICE", "01/01/2025 15:00:00", "01/01/2035 16:00:00", "BarSize=60", "BarType=T", "RecurDaily=True", "TZ=London")</f>
        <v>45751.625</v>
      </c>
      <c r="X3" s="46">
        <v>101.578</v>
      </c>
      <c r="Y3" s="124" cm="1">
        <f t="array" ref="Y3:Z129">_xll.BDH(D4, "LAST_PRICE", "01/01/2025 15:00:00", "01/01/2035 16:00:00", "BarSize=60", "BarType=T", "RecurDaily=True", "TZ=London")</f>
        <v>45751.625</v>
      </c>
      <c r="Z3" s="1">
        <v>119.31</v>
      </c>
      <c r="AA3" s="52" cm="1">
        <f t="array" ref="AA3:AB76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4" t="s">
        <v>64</v>
      </c>
      <c r="AH3" s="73" t="s">
        <v>66</v>
      </c>
      <c r="AI3" s="73" t="s">
        <v>67</v>
      </c>
      <c r="AJ3" s="73" t="s">
        <v>66</v>
      </c>
      <c r="AK3" s="73" t="s">
        <v>68</v>
      </c>
      <c r="AL3" s="65" t="s">
        <v>69</v>
      </c>
      <c r="AN3" s="94" t="s">
        <v>80</v>
      </c>
      <c r="AO3" s="86" t="s">
        <v>64</v>
      </c>
      <c r="AP3" s="87" t="s">
        <v>67</v>
      </c>
      <c r="BE3" s="52" cm="1">
        <f t="array" ref="BE3:BF137">_xll.BDH(AG4, "LAST_PRICE", "01/01/2025 15:00:00", "01/01/2035 16:00:00", "BarSize=60", "BarType=T", "RecurDaily=True", "TZ=New_York")</f>
        <v>45751.625</v>
      </c>
      <c r="BF3" s="1">
        <v>76.8</v>
      </c>
      <c r="BG3" s="52" cm="1">
        <f t="array" ref="BG3:BH39">_xll.BDH(AH4, "LAST_PRICE", "01/01/2025 15:00:00", "01/01/2035 16:00:00", "BarSize=60", "BarType=T", "RecurDaily=True", "TZ=New_York")</f>
        <v>45896.625</v>
      </c>
      <c r="BH3" s="46">
        <v>99.6484375</v>
      </c>
      <c r="BI3" s="52" cm="1">
        <f t="array" ref="BI3:BJ137">_xll.BDH(AI4, "LAST_PRICE", "01/01/2025 15:00:00", "01/01/2035 16:00:00", "BarSize=60", "BarType=T", "RecurDaily=True", "TZ=New_York")</f>
        <v>45751.625</v>
      </c>
      <c r="BJ3" s="1">
        <v>108.78</v>
      </c>
      <c r="BK3" s="52" cm="1">
        <f t="array" ref="BK3:BL39">_xll.BDH(AJ4, "LAST_PRICE", "01/01/2025 15:00:00", "01/01/2035 16:00:00", "BarSize=60", "BarType=T", "RecurDaily=True", "TZ=New_York")</f>
        <v>45896.625</v>
      </c>
      <c r="BL3" s="54">
        <v>99.6484375</v>
      </c>
      <c r="BM3" s="52" cm="1">
        <f t="array" ref="BM3:BN54">_xll.BDH(AK4, "LAST_PRICE", "01/01/2025 15:00:00", "01/01/2035 16:00:00", "BarSize=60", "BarType=T", "RecurDaily=True", "TZ=New_York")</f>
        <v>45875.625</v>
      </c>
      <c r="BN3" s="54">
        <v>100.140625</v>
      </c>
      <c r="BO3" s="52" cm="1">
        <f t="array" ref="BO3:BP53">_xll.BDH(AL4, "LAST_PRICE", "01/01/2025 15:00:00", "01/01/2035 16:00:00", "BarSize=60", "BarType=T", "RecurDaily=True", "TZ=New_York")</f>
        <v>45876.625</v>
      </c>
      <c r="BP3" s="54">
        <v>98.9375</v>
      </c>
      <c r="BR3" s="15" t="s">
        <v>32</v>
      </c>
      <c r="BS3" s="64" t="s">
        <v>122</v>
      </c>
      <c r="BT3" s="65" t="s">
        <v>103</v>
      </c>
      <c r="BU3" s="41"/>
      <c r="BV3" s="41"/>
      <c r="CA3" s="129">
        <v>45754.625</v>
      </c>
      <c r="CB3" s="54">
        <v>101.8361</v>
      </c>
      <c r="CC3" s="129">
        <v>45754.625</v>
      </c>
      <c r="CD3" s="54">
        <v>76.41</v>
      </c>
      <c r="CF3" s="15" t="s">
        <v>32</v>
      </c>
      <c r="CG3" s="64" t="s">
        <v>125</v>
      </c>
      <c r="CH3" s="65" t="s">
        <v>126</v>
      </c>
      <c r="CI3" s="41"/>
      <c r="CJ3" s="41"/>
      <c r="CO3" s="129">
        <v>45754.625</v>
      </c>
      <c r="CP3" s="54">
        <v>399.05599999999998</v>
      </c>
      <c r="CQ3" s="129">
        <v>45754.625</v>
      </c>
      <c r="CR3" s="54">
        <v>78.236000000000004</v>
      </c>
      <c r="CS3" s="54"/>
      <c r="CT3" s="54"/>
      <c r="CU3" s="54"/>
      <c r="CV3" s="54"/>
      <c r="CW3" s="54"/>
      <c r="CX3" s="54"/>
      <c r="CY3" s="54"/>
      <c r="DF3" s="142"/>
      <c r="DG3" s="58"/>
      <c r="DH3" s="58"/>
      <c r="DI3" s="58"/>
      <c r="DJ3" s="58"/>
      <c r="DK3" s="58"/>
      <c r="DL3" s="58"/>
      <c r="DM3" s="58"/>
      <c r="DN3" s="58"/>
      <c r="DO3" s="58"/>
      <c r="DP3" s="58"/>
      <c r="DZ3" s="133"/>
    </row>
    <row r="4" spans="1:134" ht="32.25" customHeight="1" thickBot="1" x14ac:dyDescent="0.35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146" t="s">
        <v>56</v>
      </c>
      <c r="H4" s="147" t="s">
        <v>58</v>
      </c>
      <c r="I4" s="53"/>
      <c r="J4" s="1"/>
      <c r="K4" s="53"/>
      <c r="L4" s="1"/>
      <c r="M4" s="53"/>
      <c r="U4" s="75">
        <v>45754.625</v>
      </c>
      <c r="V4" s="54">
        <v>89.41</v>
      </c>
      <c r="W4" s="75">
        <v>45754.625</v>
      </c>
      <c r="X4" s="54">
        <v>101.506</v>
      </c>
      <c r="Y4" s="125">
        <v>45754.625</v>
      </c>
      <c r="Z4" s="54">
        <v>118.7</v>
      </c>
      <c r="AA4" s="75">
        <v>45847.625</v>
      </c>
      <c r="AB4" s="54">
        <v>99.84</v>
      </c>
      <c r="AF4" s="15" t="s">
        <v>33</v>
      </c>
      <c r="AG4" s="66" t="s">
        <v>65</v>
      </c>
      <c r="AH4" s="41" t="s">
        <v>73</v>
      </c>
      <c r="AI4" s="41" t="s">
        <v>70</v>
      </c>
      <c r="AJ4" s="41" t="s">
        <v>73</v>
      </c>
      <c r="AK4" s="41" t="s">
        <v>72</v>
      </c>
      <c r="AL4" s="42" t="s">
        <v>71</v>
      </c>
      <c r="AN4" s="88"/>
      <c r="AO4" s="89">
        <f>AG5/AG14</f>
        <v>432258.86130665679</v>
      </c>
      <c r="AP4" s="90">
        <f>AI5/AM14</f>
        <v>327183.49541034264</v>
      </c>
      <c r="BE4" s="75">
        <v>45754.625</v>
      </c>
      <c r="BF4" s="54">
        <v>76.099999999999994</v>
      </c>
      <c r="BG4" s="75">
        <v>45897.625</v>
      </c>
      <c r="BH4" s="54">
        <v>99.6953125</v>
      </c>
      <c r="BI4" s="75">
        <v>45754.625</v>
      </c>
      <c r="BJ4" s="54">
        <v>106.66</v>
      </c>
      <c r="BK4" s="75">
        <v>45897.625</v>
      </c>
      <c r="BL4" s="54">
        <v>99.6953125</v>
      </c>
      <c r="BM4" s="75">
        <v>45876.625</v>
      </c>
      <c r="BN4" s="54">
        <v>100.0625</v>
      </c>
      <c r="BO4" s="75">
        <v>45877.625</v>
      </c>
      <c r="BP4" s="54">
        <v>98.4375</v>
      </c>
      <c r="BR4" s="15" t="s">
        <v>33</v>
      </c>
      <c r="BS4" s="66" t="s">
        <v>123</v>
      </c>
      <c r="BT4" s="42" t="s">
        <v>124</v>
      </c>
      <c r="BU4" s="41"/>
      <c r="BV4" s="151">
        <v>0.625</v>
      </c>
      <c r="BW4" s="41"/>
      <c r="CA4" s="129">
        <v>45755.625</v>
      </c>
      <c r="CB4" s="54">
        <v>101.12439999999999</v>
      </c>
      <c r="CC4" s="129">
        <v>45755.625</v>
      </c>
      <c r="CD4" s="54">
        <v>80.424999999999997</v>
      </c>
      <c r="CF4" s="15" t="s">
        <v>33</v>
      </c>
      <c r="CG4" s="66" t="s">
        <v>127</v>
      </c>
      <c r="CH4" s="42" t="s">
        <v>128</v>
      </c>
      <c r="CI4" s="41"/>
      <c r="CJ4" s="151">
        <v>0.625</v>
      </c>
      <c r="CK4" s="41"/>
      <c r="CO4" s="129">
        <v>45755.625</v>
      </c>
      <c r="CP4" s="54">
        <v>393.24900000000002</v>
      </c>
      <c r="CQ4" s="129">
        <v>45755.625</v>
      </c>
      <c r="CR4" s="54">
        <v>77.082999999999998</v>
      </c>
      <c r="CS4" s="54"/>
      <c r="CT4" s="54"/>
      <c r="CU4" s="54"/>
      <c r="CV4" s="54"/>
      <c r="CW4" s="54"/>
      <c r="CX4" s="54"/>
      <c r="CY4" s="54"/>
      <c r="DF4" s="142"/>
      <c r="DG4" s="58"/>
      <c r="DH4" s="58"/>
      <c r="DI4" s="58"/>
      <c r="DJ4" s="58"/>
      <c r="DK4" s="58"/>
      <c r="DL4" s="58"/>
      <c r="DM4" s="58"/>
      <c r="DN4" s="58"/>
      <c r="DO4" s="58"/>
      <c r="DP4" s="58"/>
      <c r="DZ4" s="133"/>
    </row>
    <row r="5" spans="1:134" ht="15" thickBot="1" x14ac:dyDescent="0.35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45">
        <f>ROUND(B5/B14,0)</f>
        <v>266241</v>
      </c>
      <c r="H5" s="22">
        <f>ROUND(D5/H14,0)</f>
        <v>352748</v>
      </c>
      <c r="I5" s="1"/>
      <c r="J5" s="1"/>
      <c r="K5" s="1"/>
      <c r="L5" s="1"/>
      <c r="M5" s="1"/>
      <c r="U5" s="75">
        <v>45755.625</v>
      </c>
      <c r="V5" s="54">
        <v>90.07</v>
      </c>
      <c r="W5" s="75">
        <v>45755.625</v>
      </c>
      <c r="X5" s="54">
        <v>101.324</v>
      </c>
      <c r="Y5" s="125">
        <v>45755.625</v>
      </c>
      <c r="Z5" s="54">
        <v>119.1</v>
      </c>
      <c r="AA5" s="75">
        <v>45848.625</v>
      </c>
      <c r="AB5" s="54">
        <v>99.671999999999997</v>
      </c>
      <c r="AF5" s="15" t="s">
        <v>8</v>
      </c>
      <c r="AG5" s="67">
        <f>35*10^6</f>
        <v>35000000</v>
      </c>
      <c r="AH5" s="7">
        <f>19.5*10^6</f>
        <v>19500000</v>
      </c>
      <c r="AI5" s="7">
        <f>36*10^6</f>
        <v>36000000</v>
      </c>
      <c r="AJ5" s="7">
        <f>17*10^6</f>
        <v>17000000</v>
      </c>
      <c r="AK5" s="7">
        <f>7.5*10^6</f>
        <v>7500000</v>
      </c>
      <c r="AL5" s="8">
        <f>10.5*10^6</f>
        <v>10500000</v>
      </c>
      <c r="AN5" s="53"/>
      <c r="AO5" s="1"/>
      <c r="AP5" s="53"/>
      <c r="BE5" s="75">
        <v>45755.625</v>
      </c>
      <c r="BF5" s="54">
        <v>75.75</v>
      </c>
      <c r="BG5" s="75">
        <v>45898.625</v>
      </c>
      <c r="BH5" s="54">
        <v>99.703125</v>
      </c>
      <c r="BI5" s="75">
        <v>45755.625</v>
      </c>
      <c r="BJ5" s="54">
        <v>105.31</v>
      </c>
      <c r="BK5" s="75">
        <v>45898.625</v>
      </c>
      <c r="BL5" s="54">
        <v>99.703125</v>
      </c>
      <c r="BM5" s="75">
        <v>45877.625</v>
      </c>
      <c r="BN5" s="54">
        <v>99.734375</v>
      </c>
      <c r="BO5" s="75">
        <v>45880.625</v>
      </c>
      <c r="BP5" s="54">
        <v>98.53125</v>
      </c>
      <c r="BR5" s="15" t="s">
        <v>8</v>
      </c>
      <c r="BS5" s="67">
        <f>2*10^6</f>
        <v>2000000</v>
      </c>
      <c r="BT5" s="8">
        <f>10*10^6</f>
        <v>10000000</v>
      </c>
      <c r="BU5" s="7"/>
      <c r="BV5" s="7"/>
      <c r="BW5" s="7"/>
      <c r="CA5" s="129">
        <v>45756.625</v>
      </c>
      <c r="CB5" s="54">
        <v>103.8849</v>
      </c>
      <c r="CC5" s="129">
        <v>45756.625</v>
      </c>
      <c r="CD5" s="54">
        <v>66.811999999999998</v>
      </c>
      <c r="CF5" s="15" t="s">
        <v>8</v>
      </c>
      <c r="CG5" s="67">
        <f>10*10^6/4.5</f>
        <v>2222222.222222222</v>
      </c>
      <c r="CH5" s="8">
        <f>10*10^6</f>
        <v>10000000</v>
      </c>
      <c r="CI5" s="7"/>
      <c r="CJ5" s="7"/>
      <c r="CK5" s="7"/>
      <c r="CO5" s="129">
        <v>45756.625</v>
      </c>
      <c r="CP5" s="54">
        <v>429.77499999999998</v>
      </c>
      <c r="CQ5" s="129">
        <v>45756.625</v>
      </c>
      <c r="CR5" s="54">
        <v>85.578999999999994</v>
      </c>
      <c r="CS5" s="54"/>
      <c r="CT5" s="54"/>
      <c r="CU5" s="54"/>
      <c r="CV5" s="54"/>
      <c r="CW5" s="54"/>
      <c r="CX5" s="54"/>
      <c r="CY5" s="54"/>
      <c r="DF5" s="142"/>
      <c r="DG5" s="58"/>
      <c r="DH5" s="58"/>
      <c r="DI5" s="58"/>
      <c r="DJ5" s="58"/>
      <c r="DK5" s="58"/>
      <c r="DL5" s="58"/>
      <c r="DM5" s="58"/>
      <c r="DN5" s="58"/>
      <c r="DO5" s="58"/>
      <c r="DP5" s="58"/>
      <c r="DZ5" s="133"/>
    </row>
    <row r="6" spans="1:134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5">
        <v>45756.625</v>
      </c>
      <c r="V6" s="54">
        <v>89.53</v>
      </c>
      <c r="W6" s="75">
        <v>45756.625</v>
      </c>
      <c r="X6" s="54">
        <v>101.774</v>
      </c>
      <c r="Y6" s="125">
        <v>45756.625</v>
      </c>
      <c r="Z6" s="54">
        <v>118.82</v>
      </c>
      <c r="AA6" s="75">
        <v>45849.625</v>
      </c>
      <c r="AB6" s="54">
        <v>99.567999999999998</v>
      </c>
      <c r="AF6" s="15" t="s">
        <v>10</v>
      </c>
      <c r="AG6" s="69">
        <v>0</v>
      </c>
      <c r="AH6" s="74">
        <f>(3+5/8)*0.01</f>
        <v>3.6249999999999998E-2</v>
      </c>
      <c r="AI6" s="74">
        <v>0</v>
      </c>
      <c r="AJ6" s="74">
        <f>(3+5/8)*0.01</f>
        <v>3.6249999999999998E-2</v>
      </c>
      <c r="AK6" s="74">
        <v>4.2500000000000003E-2</v>
      </c>
      <c r="AL6" s="10">
        <v>4.7500000000000001E-2</v>
      </c>
      <c r="BE6" s="75">
        <v>45756.625</v>
      </c>
      <c r="BF6" s="54">
        <v>77.78</v>
      </c>
      <c r="BG6" s="75">
        <v>45901.625</v>
      </c>
      <c r="BH6" s="54">
        <v>99.6796875</v>
      </c>
      <c r="BI6" s="75">
        <v>45756.625</v>
      </c>
      <c r="BJ6" s="54">
        <v>107.07</v>
      </c>
      <c r="BK6" s="75">
        <v>45901.625</v>
      </c>
      <c r="BL6" s="54">
        <v>99.6796875</v>
      </c>
      <c r="BM6" s="75">
        <v>45880.625</v>
      </c>
      <c r="BN6" s="54">
        <v>99.8125</v>
      </c>
      <c r="BO6" s="75">
        <v>45881.625</v>
      </c>
      <c r="BP6" s="54">
        <v>98</v>
      </c>
      <c r="BR6" s="15" t="s">
        <v>10</v>
      </c>
      <c r="BS6" s="69">
        <v>0.05</v>
      </c>
      <c r="BT6" s="10">
        <v>0.01</v>
      </c>
      <c r="BU6" s="74"/>
      <c r="BV6" s="74"/>
      <c r="BW6" s="74"/>
      <c r="CA6" s="129">
        <v>45757.625</v>
      </c>
      <c r="CB6" s="54">
        <v>102.41</v>
      </c>
      <c r="CC6" s="129">
        <v>45757.625</v>
      </c>
      <c r="CD6" s="54">
        <v>74.572999999999993</v>
      </c>
      <c r="CF6" s="15" t="s">
        <v>10</v>
      </c>
      <c r="CG6" s="69">
        <v>0.05</v>
      </c>
      <c r="CH6" s="10">
        <v>0.01</v>
      </c>
      <c r="CI6" s="74"/>
      <c r="CJ6" s="74"/>
      <c r="CK6" s="74"/>
      <c r="CO6" s="129">
        <v>45757.625</v>
      </c>
      <c r="CP6" s="54">
        <v>382.76</v>
      </c>
      <c r="CQ6" s="129">
        <v>45757.625</v>
      </c>
      <c r="CR6" s="54">
        <v>75.415000000000006</v>
      </c>
      <c r="CS6" s="54"/>
      <c r="CT6" s="54"/>
      <c r="CU6" s="54"/>
      <c r="CV6" s="54"/>
      <c r="CW6" s="54"/>
      <c r="CX6" s="54"/>
      <c r="CY6" s="54"/>
      <c r="DF6" s="142"/>
      <c r="DG6" s="58"/>
      <c r="DH6" s="58"/>
      <c r="DI6" s="58"/>
      <c r="DJ6" s="58"/>
      <c r="DK6" s="58"/>
      <c r="DL6" s="58"/>
      <c r="DM6" s="58"/>
      <c r="DN6" s="58"/>
      <c r="DO6" s="58"/>
      <c r="DP6" s="58"/>
      <c r="DZ6" s="133"/>
    </row>
    <row r="7" spans="1:134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O7" s="1"/>
      <c r="P7" s="1"/>
      <c r="Q7" s="1"/>
      <c r="U7" s="75">
        <v>45757.625</v>
      </c>
      <c r="V7" s="54">
        <v>90.4</v>
      </c>
      <c r="W7" s="75">
        <v>45757.625</v>
      </c>
      <c r="X7" s="54">
        <v>101.46299999999999</v>
      </c>
      <c r="Y7" s="125">
        <v>45757.625</v>
      </c>
      <c r="Z7" s="54">
        <v>119.32</v>
      </c>
      <c r="AA7" s="75">
        <v>45852.625</v>
      </c>
      <c r="AB7" s="54">
        <v>99.611999999999995</v>
      </c>
      <c r="AF7" s="15" t="s">
        <v>12</v>
      </c>
      <c r="AG7" s="69">
        <v>4.2299999999999997E-2</v>
      </c>
      <c r="AH7" s="74">
        <v>4.2299999999999997E-2</v>
      </c>
      <c r="AI7" s="74">
        <v>4.2299999999999997E-2</v>
      </c>
      <c r="AJ7" s="74">
        <v>4.2299999999999997E-2</v>
      </c>
      <c r="AK7" s="74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5">
        <v>45757.625</v>
      </c>
      <c r="BF7" s="54">
        <v>76.510000000000005</v>
      </c>
      <c r="BG7" s="75">
        <v>45902.625</v>
      </c>
      <c r="BH7" s="54">
        <v>99.53125</v>
      </c>
      <c r="BI7" s="75">
        <v>45757.625</v>
      </c>
      <c r="BJ7" s="54">
        <v>105.25</v>
      </c>
      <c r="BK7" s="75">
        <v>45902.625</v>
      </c>
      <c r="BL7" s="54">
        <v>99.53125</v>
      </c>
      <c r="BM7" s="75">
        <v>45881.625</v>
      </c>
      <c r="BN7" s="54">
        <v>99.6875</v>
      </c>
      <c r="BO7" s="75">
        <v>45882.625</v>
      </c>
      <c r="BP7" s="54">
        <v>98.796875</v>
      </c>
      <c r="BR7" s="15" t="s">
        <v>12</v>
      </c>
      <c r="BS7" s="69">
        <v>0</v>
      </c>
      <c r="BT7" s="10">
        <v>0</v>
      </c>
      <c r="BU7" s="74"/>
      <c r="BV7" s="74"/>
      <c r="BW7" s="74"/>
      <c r="CA7" s="129">
        <v>45758.625</v>
      </c>
      <c r="CB7" s="54">
        <v>102.86199999999999</v>
      </c>
      <c r="CC7" s="129">
        <v>45758.625</v>
      </c>
      <c r="CD7" s="54">
        <v>72.879000000000005</v>
      </c>
      <c r="CF7" s="15" t="s">
        <v>12</v>
      </c>
      <c r="CG7" s="69">
        <v>0</v>
      </c>
      <c r="CH7" s="10">
        <v>0</v>
      </c>
      <c r="CI7" s="74"/>
      <c r="CJ7" s="74"/>
      <c r="CK7" s="74"/>
      <c r="CO7" s="129">
        <v>45758.625</v>
      </c>
      <c r="CP7" s="54">
        <v>394.57299999999998</v>
      </c>
      <c r="CQ7" s="129">
        <v>45758.625</v>
      </c>
      <c r="CR7" s="54">
        <v>78.287000000000006</v>
      </c>
      <c r="CS7" s="54"/>
      <c r="CT7" s="54"/>
      <c r="CU7" s="54"/>
      <c r="CV7" s="54"/>
      <c r="CW7" s="54"/>
      <c r="CX7" s="54"/>
      <c r="CY7" s="54"/>
      <c r="DF7" s="142"/>
      <c r="DG7" s="58"/>
      <c r="DH7" s="58"/>
      <c r="DI7" s="58"/>
      <c r="DJ7" s="58"/>
      <c r="DK7" s="58"/>
      <c r="DL7" s="58"/>
      <c r="DM7" s="58"/>
      <c r="DN7" s="58"/>
      <c r="DO7" s="58"/>
      <c r="DP7" s="58"/>
      <c r="DZ7" s="133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5">
        <v>45758.625</v>
      </c>
      <c r="V8" s="54">
        <v>89.87</v>
      </c>
      <c r="W8" s="75">
        <v>45758.625</v>
      </c>
      <c r="X8" s="54">
        <v>101.64700000000001</v>
      </c>
      <c r="Y8" s="125">
        <v>45758.625</v>
      </c>
      <c r="Z8" s="54">
        <v>119.4</v>
      </c>
      <c r="AA8" s="75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5">
        <v>45758.625</v>
      </c>
      <c r="BF8" s="54">
        <v>76.739999999999995</v>
      </c>
      <c r="BG8" s="75">
        <v>45903.625</v>
      </c>
      <c r="BH8" s="54">
        <v>99.6796875</v>
      </c>
      <c r="BI8" s="75">
        <v>45758.625</v>
      </c>
      <c r="BJ8" s="54">
        <v>105.23</v>
      </c>
      <c r="BK8" s="75">
        <v>45903.625</v>
      </c>
      <c r="BL8" s="54">
        <v>99.6796875</v>
      </c>
      <c r="BM8" s="75">
        <v>45882.625</v>
      </c>
      <c r="BN8" s="54">
        <v>100.125</v>
      </c>
      <c r="BO8" s="75">
        <v>45883.625</v>
      </c>
      <c r="BP8" s="54">
        <v>98.03125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9">
        <v>45761.625</v>
      </c>
      <c r="CB8" s="54">
        <v>103.191</v>
      </c>
      <c r="CC8" s="129">
        <v>45761.625</v>
      </c>
      <c r="CD8" s="54">
        <v>70.346999999999994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9">
        <v>45761.625</v>
      </c>
      <c r="CP8" s="54">
        <v>368.839</v>
      </c>
      <c r="CQ8" s="129">
        <v>45761.625</v>
      </c>
      <c r="CR8" s="54">
        <v>72.742999999999995</v>
      </c>
      <c r="CS8" s="54"/>
      <c r="CT8" s="54"/>
      <c r="CU8" s="54"/>
      <c r="CV8" s="54"/>
      <c r="CW8" s="54"/>
      <c r="CX8" s="54"/>
      <c r="CY8" s="54"/>
      <c r="DF8" s="142"/>
      <c r="DG8" s="58"/>
      <c r="DH8" s="58"/>
      <c r="DI8" s="58"/>
      <c r="DJ8" s="58"/>
      <c r="DK8" s="58"/>
      <c r="DL8" s="58"/>
      <c r="DM8" s="58"/>
      <c r="DN8" s="58"/>
      <c r="DO8" s="58"/>
      <c r="DP8" s="58"/>
      <c r="DZ8" s="133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5">
        <v>45761.625</v>
      </c>
      <c r="V9" s="54">
        <v>90.77</v>
      </c>
      <c r="W9" s="75">
        <v>45761.625</v>
      </c>
      <c r="X9" s="54">
        <v>101.59</v>
      </c>
      <c r="Y9" s="125">
        <v>45761.625</v>
      </c>
      <c r="Z9" s="54">
        <v>119.64</v>
      </c>
      <c r="AA9" s="75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5">
        <v>45761.625</v>
      </c>
      <c r="BF9" s="54">
        <v>77.12</v>
      </c>
      <c r="BG9" s="75">
        <v>45904.625</v>
      </c>
      <c r="BH9" s="54">
        <v>99.9140625</v>
      </c>
      <c r="BI9" s="75">
        <v>45761.625</v>
      </c>
      <c r="BJ9" s="54">
        <v>105.89</v>
      </c>
      <c r="BK9" s="75">
        <v>45904.625</v>
      </c>
      <c r="BL9" s="54">
        <v>99.9140625</v>
      </c>
      <c r="BM9" s="75">
        <v>45883.625</v>
      </c>
      <c r="BN9" s="54">
        <v>99.703125</v>
      </c>
      <c r="BO9" s="75">
        <v>45884.625</v>
      </c>
      <c r="BP9" s="54">
        <v>97.375</v>
      </c>
      <c r="BR9" s="15" t="s">
        <v>15</v>
      </c>
      <c r="BS9" s="4" t="s">
        <v>23</v>
      </c>
      <c r="BT9" s="5"/>
      <c r="BU9" s="1"/>
      <c r="BV9" s="1"/>
      <c r="BW9" s="1"/>
      <c r="CA9" s="129">
        <v>45762.625</v>
      </c>
      <c r="CB9" s="54">
        <v>103.2236</v>
      </c>
      <c r="CC9" s="129">
        <v>45762.625</v>
      </c>
      <c r="CD9" s="54">
        <v>69.921000000000006</v>
      </c>
      <c r="CF9" s="15" t="s">
        <v>15</v>
      </c>
      <c r="CG9" s="4" t="s">
        <v>23</v>
      </c>
      <c r="CH9" s="5"/>
      <c r="CI9" s="1"/>
      <c r="CJ9" s="1"/>
      <c r="CK9" s="1"/>
      <c r="CO9" s="129">
        <v>45762.625</v>
      </c>
      <c r="CP9" s="54">
        <v>366.65199999999999</v>
      </c>
      <c r="CQ9" s="129">
        <v>45762.625</v>
      </c>
      <c r="CR9" s="54">
        <v>71.917000000000002</v>
      </c>
      <c r="CS9" s="54"/>
      <c r="CT9" s="54"/>
      <c r="CU9" s="54"/>
      <c r="CV9" s="54"/>
      <c r="CW9" s="54"/>
      <c r="CX9" s="54"/>
      <c r="CY9" s="54"/>
      <c r="DF9" s="142"/>
      <c r="DG9" s="58"/>
      <c r="DH9" s="58"/>
      <c r="DI9" s="58"/>
      <c r="DJ9" s="58"/>
      <c r="DK9" s="58"/>
      <c r="DL9" s="58"/>
      <c r="DM9" s="58"/>
      <c r="DN9" s="58"/>
      <c r="DO9" s="58"/>
      <c r="DP9" s="58"/>
      <c r="DZ9" s="133"/>
    </row>
    <row r="10" spans="1:134" ht="15" thickBot="1" x14ac:dyDescent="0.35">
      <c r="A10" s="16" t="s">
        <v>28</v>
      </c>
      <c r="B10" s="11" cm="1">
        <f t="array" ref="B10">_xll.BDP(B4,"px_last")</f>
        <v>92.06</v>
      </c>
      <c r="C10" s="21" cm="1">
        <f t="array" ref="C10">_xll.BDP(C4,"px_last")</f>
        <v>101.251</v>
      </c>
      <c r="D10" s="21" cm="1">
        <f t="array" ref="D10">_xll.BDP(D4,"px_last")</f>
        <v>121.45</v>
      </c>
      <c r="E10" s="22" cm="1">
        <f t="array" ref="E10">_xll.BDP(E4,"px_last")</f>
        <v>100.146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5">
        <v>45762.625</v>
      </c>
      <c r="V10" s="54">
        <v>91.01</v>
      </c>
      <c r="W10" s="75">
        <v>45762.625</v>
      </c>
      <c r="X10" s="54">
        <v>101.6</v>
      </c>
      <c r="Y10" s="125">
        <v>45762.625</v>
      </c>
      <c r="Z10" s="54">
        <v>119.88</v>
      </c>
      <c r="AA10" s="75">
        <v>45855.625</v>
      </c>
      <c r="AB10" s="54">
        <v>99.9</v>
      </c>
      <c r="AF10" s="16" t="s">
        <v>28</v>
      </c>
      <c r="AG10" s="11" cm="1">
        <f t="array" ref="AG10">_xll.BDP(AG4,"px_last")</f>
        <v>80.545000000000002</v>
      </c>
      <c r="AH10" s="21" cm="1">
        <f t="array" ref="AH10">_xll.BDP(AH4,"px_last")</f>
        <v>100.203125</v>
      </c>
      <c r="AI10" s="21" cm="1">
        <f t="array" ref="AI10">_xll.BDP(AI4,"px_last")</f>
        <v>112.23</v>
      </c>
      <c r="AJ10" s="21" cm="1">
        <f t="array" ref="AJ10">_xll.BDP(AJ4,"px_last")</f>
        <v>100.203125</v>
      </c>
      <c r="AK10" s="21" cm="1">
        <f t="array" ref="AK10">_xll.BDP(AK4,"px_last")</f>
        <v>102.046875</v>
      </c>
      <c r="AL10" s="22" cm="1">
        <f t="array" ref="AL10">_xll.BDP(AL4,"px_last")</f>
        <v>102.484375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5">
        <v>45762.625</v>
      </c>
      <c r="BF10" s="54">
        <v>77.33</v>
      </c>
      <c r="BG10" s="75">
        <v>45905.625</v>
      </c>
      <c r="BH10" s="54">
        <v>100.1328125</v>
      </c>
      <c r="BI10" s="75">
        <v>45762.625</v>
      </c>
      <c r="BJ10" s="54">
        <v>106.45</v>
      </c>
      <c r="BK10" s="75">
        <v>45905.625</v>
      </c>
      <c r="BL10" s="54">
        <v>100.1328125</v>
      </c>
      <c r="BM10" s="75">
        <v>45884.625</v>
      </c>
      <c r="BN10" s="54">
        <v>99.4375</v>
      </c>
      <c r="BO10" s="75">
        <v>45887.625</v>
      </c>
      <c r="BP10" s="54">
        <v>97.078125</v>
      </c>
      <c r="BR10" s="16" t="s">
        <v>28</v>
      </c>
      <c r="BS10" s="11"/>
      <c r="BT10" s="22"/>
      <c r="BU10" s="41"/>
      <c r="BV10" s="41"/>
      <c r="BY10" s="1"/>
      <c r="CA10" s="129">
        <v>45763.625</v>
      </c>
      <c r="CB10" s="54">
        <v>102.81019999999999</v>
      </c>
      <c r="CC10" s="129">
        <v>45763.625</v>
      </c>
      <c r="CD10" s="54">
        <v>71.418999999999997</v>
      </c>
      <c r="CF10" s="16" t="s">
        <v>28</v>
      </c>
      <c r="CG10" s="11"/>
      <c r="CH10" s="22"/>
      <c r="CI10" s="41"/>
      <c r="CJ10" s="41"/>
      <c r="CM10" s="1"/>
      <c r="CO10" s="129">
        <v>45763.625</v>
      </c>
      <c r="CP10" s="54">
        <v>366.89800000000002</v>
      </c>
      <c r="CQ10" s="129">
        <v>45763.625</v>
      </c>
      <c r="CR10" s="54">
        <v>71.715000000000003</v>
      </c>
      <c r="CS10" s="54"/>
      <c r="CT10" s="54"/>
      <c r="CU10" s="54"/>
      <c r="CV10" s="54"/>
      <c r="CW10" s="54"/>
      <c r="CX10" s="54"/>
      <c r="CY10" s="54"/>
      <c r="DF10" s="149" t="s">
        <v>116</v>
      </c>
      <c r="DK10" s="58">
        <f>_xlfn.STDEV.P(DG13:DG49)</f>
        <v>89871.764980712222</v>
      </c>
      <c r="DL10" s="58">
        <f>_xlfn.STDEV.P(DH13:DH49)</f>
        <v>95551.626628972663</v>
      </c>
      <c r="DM10" s="58">
        <f>_xlfn.STDEV.P(DI13:DI49)</f>
        <v>1605.4685510604218</v>
      </c>
      <c r="DN10" s="58">
        <f>_xlfn.STDEV.P(DJ13:DJ49)</f>
        <v>2563.5983634075237</v>
      </c>
      <c r="DP10" s="58"/>
      <c r="DQ10" s="58"/>
      <c r="DR10" s="58"/>
      <c r="DZ10" s="133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5">
        <v>45763.625</v>
      </c>
      <c r="V11" s="54">
        <v>91.18</v>
      </c>
      <c r="W11" s="75">
        <v>45763.625</v>
      </c>
      <c r="X11" s="54">
        <v>101.705</v>
      </c>
      <c r="Y11" s="125">
        <v>45763.625</v>
      </c>
      <c r="Z11" s="54">
        <v>120.07</v>
      </c>
      <c r="AA11" s="75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5">
        <v>45763.625</v>
      </c>
      <c r="BF11" s="54">
        <v>77.319999999999993</v>
      </c>
      <c r="BG11" s="75">
        <v>45908.625</v>
      </c>
      <c r="BH11" s="54">
        <v>100.265625</v>
      </c>
      <c r="BI11" s="75">
        <v>45763.625</v>
      </c>
      <c r="BJ11" s="54">
        <v>106.9</v>
      </c>
      <c r="BK11" s="75">
        <v>45908.625</v>
      </c>
      <c r="BL11" s="54">
        <v>100.265625</v>
      </c>
      <c r="BM11" s="75">
        <v>45887.625</v>
      </c>
      <c r="BN11" s="54">
        <v>99.3125</v>
      </c>
      <c r="BO11" s="75">
        <v>45888.625</v>
      </c>
      <c r="BP11" s="54">
        <v>97.640625</v>
      </c>
      <c r="BR11" s="54"/>
      <c r="BT11" s="1"/>
      <c r="BU11" s="41"/>
      <c r="BV11" s="41"/>
      <c r="BX11" s="1"/>
      <c r="BY11" s="1"/>
      <c r="CA11" s="129">
        <v>45768.625</v>
      </c>
      <c r="CB11" s="54">
        <v>102.39749999999999</v>
      </c>
      <c r="CC11" s="129">
        <v>45768.625</v>
      </c>
      <c r="CD11" s="54">
        <v>73.872</v>
      </c>
      <c r="CH11" s="1"/>
      <c r="CI11" s="41"/>
      <c r="CJ11" s="41"/>
      <c r="CL11" s="1"/>
      <c r="CM11" s="1"/>
      <c r="CO11" s="129">
        <v>45764.625</v>
      </c>
      <c r="CP11" s="54">
        <v>368.10199999999998</v>
      </c>
      <c r="CQ11" s="129">
        <v>45764.625</v>
      </c>
      <c r="CR11" s="54">
        <v>72.084000000000003</v>
      </c>
      <c r="CS11" s="54"/>
      <c r="CT11" s="54"/>
      <c r="CU11" s="54"/>
      <c r="CV11" s="54"/>
      <c r="CW11" s="54"/>
      <c r="CX11" s="54"/>
      <c r="CY11" s="54"/>
      <c r="DF11" s="142" t="s">
        <v>117</v>
      </c>
      <c r="DG11" s="58"/>
      <c r="DH11" s="58"/>
      <c r="DI11" s="58"/>
      <c r="DJ11" s="58"/>
      <c r="DK11" s="58">
        <f>$DK$10/DK10</f>
        <v>1</v>
      </c>
      <c r="DL11" s="58">
        <f t="shared" ref="DL11:DN11" si="0">$DK$10/DL10</f>
        <v>0.94055714330939266</v>
      </c>
      <c r="DM11" s="58">
        <f t="shared" si="0"/>
        <v>55.978527216463611</v>
      </c>
      <c r="DN11" s="58">
        <f t="shared" si="0"/>
        <v>35.05688186711707</v>
      </c>
      <c r="DO11" s="149"/>
      <c r="DP11" s="149"/>
      <c r="DQ11" s="149"/>
      <c r="DR11" s="149"/>
      <c r="DZ11" s="133"/>
    </row>
    <row r="12" spans="1:134" ht="15" thickBot="1" x14ac:dyDescent="0.35">
      <c r="A12" s="39" t="s">
        <v>22</v>
      </c>
      <c r="B12" s="153" t="s">
        <v>0</v>
      </c>
      <c r="C12" s="154"/>
      <c r="D12" s="154"/>
      <c r="E12" s="159" t="s">
        <v>1</v>
      </c>
      <c r="F12" s="160"/>
      <c r="G12" s="161"/>
      <c r="H12" s="156" t="s">
        <v>1</v>
      </c>
      <c r="I12" s="157"/>
      <c r="J12" s="158"/>
      <c r="K12" s="162" t="s">
        <v>0</v>
      </c>
      <c r="L12" s="163"/>
      <c r="M12" s="164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5">
        <v>45764.625</v>
      </c>
      <c r="V12" s="54">
        <v>91.48</v>
      </c>
      <c r="W12" s="75">
        <v>45764.625</v>
      </c>
      <c r="X12" s="54">
        <v>101.895</v>
      </c>
      <c r="Y12" s="125">
        <v>45764.625</v>
      </c>
      <c r="Z12" s="54">
        <v>120.5</v>
      </c>
      <c r="AA12" s="75">
        <v>45859.625</v>
      </c>
      <c r="AB12" s="54">
        <v>100.142</v>
      </c>
      <c r="AF12" s="39" t="s">
        <v>22</v>
      </c>
      <c r="AG12" s="153" t="s">
        <v>0</v>
      </c>
      <c r="AH12" s="154"/>
      <c r="AI12" s="154"/>
      <c r="AJ12" s="159" t="s">
        <v>1</v>
      </c>
      <c r="AK12" s="160"/>
      <c r="AL12" s="161"/>
      <c r="AM12" s="156" t="s">
        <v>1</v>
      </c>
      <c r="AN12" s="167"/>
      <c r="AO12" s="158"/>
      <c r="AP12" s="168" t="s">
        <v>0</v>
      </c>
      <c r="AQ12" s="169"/>
      <c r="AR12" s="170"/>
      <c r="AS12" s="156" t="s">
        <v>0</v>
      </c>
      <c r="AT12" s="167"/>
      <c r="AU12" s="158"/>
      <c r="AV12" s="165" t="s">
        <v>0</v>
      </c>
      <c r="AW12" s="163"/>
      <c r="AX12" s="166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5">
        <v>45764.625</v>
      </c>
      <c r="BF12" s="54">
        <v>77.77</v>
      </c>
      <c r="BG12" s="75">
        <v>45909.625</v>
      </c>
      <c r="BH12" s="54">
        <v>100.09375</v>
      </c>
      <c r="BI12" s="75">
        <v>45764.625</v>
      </c>
      <c r="BJ12" s="54">
        <v>106.75</v>
      </c>
      <c r="BK12" s="75">
        <v>45909.625</v>
      </c>
      <c r="BL12" s="54">
        <v>100.09375</v>
      </c>
      <c r="BM12" s="75">
        <v>45888.625</v>
      </c>
      <c r="BN12" s="54">
        <v>99.59375</v>
      </c>
      <c r="BO12" s="75">
        <v>45889.625</v>
      </c>
      <c r="BP12" s="54">
        <v>97.796875</v>
      </c>
      <c r="BR12" s="39" t="s">
        <v>22</v>
      </c>
      <c r="BS12" s="153" t="s">
        <v>0</v>
      </c>
      <c r="BT12" s="154"/>
      <c r="BU12" s="154"/>
      <c r="BV12" s="159" t="s">
        <v>1</v>
      </c>
      <c r="BW12" s="160"/>
      <c r="BX12" s="161"/>
      <c r="BY12" s="39" t="s">
        <v>16</v>
      </c>
      <c r="CA12" s="129">
        <v>45769.625</v>
      </c>
      <c r="CB12" s="54">
        <v>102.7501</v>
      </c>
      <c r="CC12" s="129">
        <v>45769.625</v>
      </c>
      <c r="CD12" s="54">
        <v>72.203999999999994</v>
      </c>
      <c r="CF12" s="39" t="s">
        <v>22</v>
      </c>
      <c r="CG12" s="153" t="s">
        <v>0</v>
      </c>
      <c r="CH12" s="154"/>
      <c r="CI12" s="154"/>
      <c r="CJ12" s="159" t="s">
        <v>1</v>
      </c>
      <c r="CK12" s="160"/>
      <c r="CL12" s="161"/>
      <c r="CM12" s="39" t="s">
        <v>16</v>
      </c>
      <c r="CO12" s="129">
        <v>45769.625</v>
      </c>
      <c r="CP12" s="54">
        <v>368.15899999999999</v>
      </c>
      <c r="CQ12" s="129">
        <v>45769.625</v>
      </c>
      <c r="CR12" s="54">
        <v>72.263000000000005</v>
      </c>
      <c r="CS12" s="54"/>
      <c r="CT12" s="54"/>
      <c r="CU12" s="54"/>
      <c r="CV12" s="54"/>
      <c r="CW12" s="54"/>
      <c r="CX12" s="54"/>
      <c r="CY12" s="54"/>
      <c r="DF12" s="148" t="s">
        <v>22</v>
      </c>
      <c r="DG12" s="149" t="s">
        <v>112</v>
      </c>
      <c r="DH12" s="149" t="s">
        <v>113</v>
      </c>
      <c r="DI12" s="149" t="s">
        <v>129</v>
      </c>
      <c r="DJ12" s="149" t="s">
        <v>130</v>
      </c>
      <c r="DK12" s="149" t="s">
        <v>114</v>
      </c>
      <c r="DL12" s="149" t="s">
        <v>115</v>
      </c>
      <c r="DM12" s="149" t="s">
        <v>131</v>
      </c>
      <c r="DN12" s="149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3" t="s">
        <v>22</v>
      </c>
      <c r="EA12" s="54" t="s">
        <v>120</v>
      </c>
      <c r="EB12" s="54" t="s">
        <v>121</v>
      </c>
      <c r="EC12" s="54" t="s">
        <v>135</v>
      </c>
      <c r="ED12" s="54" t="s">
        <v>136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O13" s="99"/>
      <c r="P13" s="99"/>
      <c r="Q13" s="99"/>
      <c r="R13" s="99"/>
      <c r="S13" s="143"/>
      <c r="U13" s="75">
        <v>45769.625</v>
      </c>
      <c r="V13" s="54">
        <v>91.4</v>
      </c>
      <c r="W13" s="75">
        <v>45769.625</v>
      </c>
      <c r="X13" s="54">
        <v>101.94</v>
      </c>
      <c r="Y13" s="125">
        <v>45769.625</v>
      </c>
      <c r="Z13" s="54">
        <v>120.54</v>
      </c>
      <c r="AA13" s="75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8" t="s">
        <v>21</v>
      </c>
      <c r="AO13" s="22" t="s">
        <v>20</v>
      </c>
      <c r="AP13" s="79" t="s">
        <v>17</v>
      </c>
      <c r="AQ13" s="21" t="s">
        <v>21</v>
      </c>
      <c r="AR13" s="80" t="s">
        <v>20</v>
      </c>
      <c r="AS13" s="11" t="s">
        <v>17</v>
      </c>
      <c r="AT13" s="78" t="s">
        <v>21</v>
      </c>
      <c r="AU13" s="22" t="s">
        <v>20</v>
      </c>
      <c r="AV13" s="79" t="s">
        <v>17</v>
      </c>
      <c r="AW13" s="21" t="s">
        <v>21</v>
      </c>
      <c r="AX13" s="80" t="s">
        <v>20</v>
      </c>
      <c r="AY13" s="99"/>
      <c r="AZ13" s="99"/>
      <c r="BA13" s="99"/>
      <c r="BB13" s="99"/>
      <c r="BC13" s="99"/>
      <c r="BE13" s="75">
        <v>45768.625</v>
      </c>
      <c r="BF13" s="54">
        <v>77.31</v>
      </c>
      <c r="BG13" s="75">
        <v>45910.625</v>
      </c>
      <c r="BH13" s="54">
        <v>100.1640625</v>
      </c>
      <c r="BI13" s="75">
        <v>45768.625</v>
      </c>
      <c r="BJ13" s="54">
        <v>105.6</v>
      </c>
      <c r="BK13" s="75">
        <v>45910.625</v>
      </c>
      <c r="BL13" s="54">
        <v>100.1640625</v>
      </c>
      <c r="BM13" s="75">
        <v>45889.625</v>
      </c>
      <c r="BN13" s="54">
        <v>99.71875</v>
      </c>
      <c r="BO13" s="75">
        <v>45890.625</v>
      </c>
      <c r="BP13" s="54">
        <v>97.328125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9"/>
      <c r="CA13" s="129">
        <v>45770.625</v>
      </c>
      <c r="CB13" s="54">
        <v>103.4188</v>
      </c>
      <c r="CC13" s="129">
        <v>45770.625</v>
      </c>
      <c r="CD13" s="54">
        <v>69.2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9"/>
      <c r="CO13" s="129">
        <v>45770.625</v>
      </c>
      <c r="CP13" s="54">
        <v>345.98099999999999</v>
      </c>
      <c r="CQ13" s="129">
        <v>45770.625</v>
      </c>
      <c r="CR13" s="54">
        <v>67.436999999999998</v>
      </c>
      <c r="CS13" s="54"/>
      <c r="CT13" s="54"/>
      <c r="CU13" s="54"/>
      <c r="CV13" s="54"/>
      <c r="CW13" s="54"/>
      <c r="CX13" s="54"/>
      <c r="CY13" s="54"/>
      <c r="DF13" s="142">
        <f t="shared" ref="DF13:DF49" si="1">VLOOKUP(AF14,$A$14:$A$86,1)</f>
        <v>45896.625</v>
      </c>
      <c r="DG13" s="58">
        <f t="shared" ref="DG13:DG49" si="2">VLOOKUP(DF13,A14:R86,18)</f>
        <v>140849.48499550507</v>
      </c>
      <c r="DH13" s="58">
        <f t="shared" ref="DH13:DH49" si="3">VLOOKUP(DF13,AF14:BC50,24)</f>
        <v>0</v>
      </c>
      <c r="DI13" s="58">
        <v>0</v>
      </c>
      <c r="DJ13" s="58">
        <v>0</v>
      </c>
      <c r="DK13" s="58"/>
      <c r="DL13" s="58"/>
      <c r="DM13" s="58"/>
      <c r="DN13" s="58"/>
      <c r="DO13" s="58">
        <f>DK$11*DK13</f>
        <v>0</v>
      </c>
      <c r="DP13" s="58">
        <f t="shared" ref="DP13:DR13" si="4">DL$11*DL13</f>
        <v>0</v>
      </c>
      <c r="DQ13" s="58">
        <f t="shared" si="4"/>
        <v>0</v>
      </c>
      <c r="DR13" s="58">
        <f t="shared" si="4"/>
        <v>0</v>
      </c>
      <c r="DS13" s="58">
        <f>SUM($DO$13:DO13)</f>
        <v>0</v>
      </c>
      <c r="DT13" s="58">
        <f>SUM($DP$13:DP13)</f>
        <v>0</v>
      </c>
      <c r="DU13" s="58">
        <f>SUM(DQ$13:DQ13)</f>
        <v>0</v>
      </c>
      <c r="DV13" s="58">
        <f>SUM(DR$13:DR13)</f>
        <v>0</v>
      </c>
      <c r="DZ13" s="133">
        <v>45896.625</v>
      </c>
      <c r="EA13" s="54">
        <v>0</v>
      </c>
      <c r="EB13" s="54">
        <v>0</v>
      </c>
      <c r="EC13" s="54">
        <v>0</v>
      </c>
      <c r="ED13" s="54">
        <v>0</v>
      </c>
    </row>
    <row r="14" spans="1:134" x14ac:dyDescent="0.3">
      <c r="A14" s="139">
        <v>45846.625</v>
      </c>
      <c r="B14" s="76">
        <f>VLOOKUP($A14+$I$2,U$3:V$500,2)</f>
        <v>93.9</v>
      </c>
      <c r="C14" s="46"/>
      <c r="D14" s="47"/>
      <c r="E14" s="76">
        <f>VLOOKUP($A14+$I$2,W$3:X$500,2)</f>
        <v>101.241</v>
      </c>
      <c r="F14" s="1"/>
      <c r="G14" s="5"/>
      <c r="H14" s="76">
        <f>VLOOKUP($A14+$I$2,Y$3:Z$500,2)</f>
        <v>121.9</v>
      </c>
      <c r="I14" s="1"/>
      <c r="J14" s="5"/>
      <c r="K14" s="76">
        <f>VLOOKUP($A14+$I$2,AA$3:AB$500,2)</f>
        <v>99.76</v>
      </c>
      <c r="L14" s="1"/>
      <c r="M14" s="5"/>
      <c r="N14" s="82">
        <v>0</v>
      </c>
      <c r="O14" s="82"/>
      <c r="P14" s="82"/>
      <c r="Q14" s="82">
        <f>$G$5*SUM($O$14:O14)-$H$5*SUM($P$14:P14)</f>
        <v>0</v>
      </c>
      <c r="R14" s="82">
        <f>N14+Q14</f>
        <v>0</v>
      </c>
      <c r="S14" s="143"/>
      <c r="U14" s="75">
        <v>45770.625</v>
      </c>
      <c r="V14" s="54">
        <v>92.29</v>
      </c>
      <c r="W14" s="75">
        <v>45770.625</v>
      </c>
      <c r="X14" s="54">
        <v>101.694</v>
      </c>
      <c r="Y14" s="125">
        <v>45770.625</v>
      </c>
      <c r="Z14" s="54">
        <v>120.5</v>
      </c>
      <c r="AA14" s="75">
        <v>45861.625</v>
      </c>
      <c r="AB14" s="54">
        <v>100.22499999999999</v>
      </c>
      <c r="AF14" s="131">
        <v>45896.625</v>
      </c>
      <c r="AG14" s="45">
        <f>VLOOKUP($AF14+$J$1,BE:BF,2)</f>
        <v>80.97</v>
      </c>
      <c r="AH14" s="46"/>
      <c r="AI14" s="46"/>
      <c r="AJ14" s="45">
        <f>VLOOKUP($AF14+$J$1,BG:BH,2)</f>
        <v>99.6484375</v>
      </c>
      <c r="AK14" s="46"/>
      <c r="AL14" s="47"/>
      <c r="AM14" s="45">
        <f>VLOOKUP($AF14+$J$1,BI:BJ,2)</f>
        <v>110.03</v>
      </c>
      <c r="AN14" s="46"/>
      <c r="AO14" s="47"/>
      <c r="AP14" s="45">
        <f>VLOOKUP($AF14+$J$1,BK:BL,2)</f>
        <v>99.6484375</v>
      </c>
      <c r="AQ14" s="46"/>
      <c r="AR14" s="47"/>
      <c r="AS14" s="45">
        <f>VLOOKUP($AF14+$J$1,BM:BN,2)</f>
        <v>100.125</v>
      </c>
      <c r="AT14" s="46"/>
      <c r="AU14" s="47"/>
      <c r="AV14" s="45">
        <f>VLOOKUP($AF14+$J$1,BO:BP,2)</f>
        <v>97.453125</v>
      </c>
      <c r="AW14" s="46"/>
      <c r="AX14" s="47"/>
      <c r="AY14" s="82">
        <v>0</v>
      </c>
      <c r="AZ14" s="82"/>
      <c r="BA14" s="82"/>
      <c r="BB14" s="82">
        <f>$AO$4*SUM($AZ$14:AZ14)-$AP$4*SUM($BA$14:BA14)</f>
        <v>0</v>
      </c>
      <c r="BC14" s="82">
        <f>AY14-BB14</f>
        <v>0</v>
      </c>
      <c r="BE14" s="75">
        <v>45769.625</v>
      </c>
      <c r="BF14" s="54">
        <v>77.61</v>
      </c>
      <c r="BG14" s="75">
        <v>45911.625</v>
      </c>
      <c r="BH14" s="54">
        <v>100.1640625</v>
      </c>
      <c r="BI14" s="75">
        <v>45769.625</v>
      </c>
      <c r="BJ14" s="54">
        <v>105.86</v>
      </c>
      <c r="BK14" s="75">
        <v>45911.625</v>
      </c>
      <c r="BL14" s="54">
        <v>100.1640625</v>
      </c>
      <c r="BM14" s="75">
        <v>45890.625</v>
      </c>
      <c r="BN14" s="54">
        <v>99.390625</v>
      </c>
      <c r="BO14" s="75">
        <v>45891.625</v>
      </c>
      <c r="BP14" s="54">
        <v>97.953125</v>
      </c>
      <c r="BR14" s="131">
        <v>45896.625</v>
      </c>
      <c r="BS14" s="45">
        <f>VLOOKUP(BR14+BV$4,CA:CB,2)</f>
        <v>107.3715</v>
      </c>
      <c r="BT14" s="46"/>
      <c r="BU14" s="46"/>
      <c r="BV14" s="45">
        <f>VLOOKUP(BR14+BV$4,CC:CD,2)</f>
        <v>50.168999999999997</v>
      </c>
      <c r="BW14" s="46"/>
      <c r="BX14" s="47"/>
      <c r="BY14" s="82">
        <v>0</v>
      </c>
      <c r="CA14" s="129">
        <v>45771.625</v>
      </c>
      <c r="CB14" s="54">
        <v>103.9344</v>
      </c>
      <c r="CC14" s="129">
        <v>45771.625</v>
      </c>
      <c r="CD14" s="54">
        <v>66.697999999999993</v>
      </c>
      <c r="CF14" s="131">
        <v>45896.625</v>
      </c>
      <c r="CG14" s="45">
        <f>VLOOKUP(CF14+CJ$4,CO:CP,2)</f>
        <v>274.23899999999998</v>
      </c>
      <c r="CH14" s="46"/>
      <c r="CI14" s="46"/>
      <c r="CJ14" s="45">
        <f>VLOOKUP(CF14+CJ$4,CQ:CR,2)</f>
        <v>54.777000000000001</v>
      </c>
      <c r="CK14" s="46"/>
      <c r="CL14" s="47"/>
      <c r="CM14" s="82">
        <v>0</v>
      </c>
      <c r="CO14" s="129">
        <v>45771.625</v>
      </c>
      <c r="CP14" s="54">
        <v>345.03100000000001</v>
      </c>
      <c r="CQ14" s="129">
        <v>45771.625</v>
      </c>
      <c r="CR14" s="54">
        <v>67.173000000000002</v>
      </c>
      <c r="CS14" s="54"/>
      <c r="CT14" s="54"/>
      <c r="CU14" s="54"/>
      <c r="CV14" s="54"/>
      <c r="CW14" s="54"/>
      <c r="CX14" s="54"/>
      <c r="CY14" s="54"/>
      <c r="DF14" s="142">
        <f t="shared" si="1"/>
        <v>45897.625</v>
      </c>
      <c r="DG14" s="58">
        <f t="shared" si="2"/>
        <v>109511.05092858453</v>
      </c>
      <c r="DH14" s="58">
        <f t="shared" si="3"/>
        <v>45216.920247701892</v>
      </c>
      <c r="DI14" s="58">
        <v>91.49999999991104</v>
      </c>
      <c r="DJ14" s="58">
        <v>9227.6197530863719</v>
      </c>
      <c r="DK14" s="58">
        <f>DG14-DG13</f>
        <v>-31338.434066920541</v>
      </c>
      <c r="DL14" s="58">
        <f>DH14-DH13</f>
        <v>45216.920247701892</v>
      </c>
      <c r="DM14" s="58">
        <f>DI14-DI13</f>
        <v>91.49999999991104</v>
      </c>
      <c r="DN14" s="58">
        <f>DJ14-DJ13</f>
        <v>9227.6197530863719</v>
      </c>
      <c r="DO14" s="58">
        <f t="shared" ref="DO14:DO49" si="5">DK$11*DK14</f>
        <v>-31338.434066920541</v>
      </c>
      <c r="DP14" s="58">
        <f t="shared" ref="DP14:DP49" si="6">DL$11*DL14</f>
        <v>42529.097337427127</v>
      </c>
      <c r="DQ14" s="58">
        <f t="shared" ref="DQ14:DQ49" si="7">DM$11*DM14</f>
        <v>5122.0352403014404</v>
      </c>
      <c r="DR14" s="58">
        <f t="shared" ref="DR14:DR49" si="8">DN$11*DN14</f>
        <v>323491.57559862494</v>
      </c>
      <c r="DS14" s="58">
        <f>SUM($DO$13:DO14)</f>
        <v>-31338.434066920541</v>
      </c>
      <c r="DT14" s="58">
        <f>SUM($DP$13:DP14)</f>
        <v>42529.097337427127</v>
      </c>
      <c r="DU14" s="58">
        <f>SUM(DQ$13:DQ14)</f>
        <v>5122.0352403014404</v>
      </c>
      <c r="DV14" s="58">
        <f>SUM(DR$13:DR14)</f>
        <v>323491.57559862494</v>
      </c>
      <c r="DZ14" s="133">
        <v>45897.625</v>
      </c>
      <c r="EA14" s="54">
        <v>-31338.434066920541</v>
      </c>
      <c r="EB14" s="54">
        <v>42529.097337427127</v>
      </c>
      <c r="EC14" s="54">
        <v>5122.0352403014404</v>
      </c>
      <c r="ED14" s="54">
        <v>323491.57559862494</v>
      </c>
    </row>
    <row r="15" spans="1:134" x14ac:dyDescent="0.3">
      <c r="A15" s="139">
        <v>45847.625</v>
      </c>
      <c r="B15" s="76">
        <f>VLOOKUP($A15+$I$2,U$3:V$500,2)</f>
        <v>94.17</v>
      </c>
      <c r="C15" s="31">
        <f t="shared" ref="C15:C78" si="9">(B15/$B$14-1)*$B$5</f>
        <v>71884.984025555314</v>
      </c>
      <c r="D15" s="32">
        <f t="shared" ref="D15:D78" si="10">-1*(A15-$A$14)/360*$B$7*$B$5</f>
        <v>-2937.5</v>
      </c>
      <c r="E15" s="76">
        <f>VLOOKUP($A15+$I$2,W$3:X$500,2)</f>
        <v>101.289</v>
      </c>
      <c r="F15" s="31">
        <f t="shared" ref="F15:F78" si="11">(E15-$E$14)/100*$C$5</f>
        <v>9600.0000000003638</v>
      </c>
      <c r="G15" s="32">
        <f t="shared" ref="G15:G78" si="12">(A15-$A$14)/360*$C$6*$C$5-(A15-$A$14)/360*$C$7*$C$5*$E$14/100</f>
        <v>-1045.8301666666666</v>
      </c>
      <c r="H15" s="76">
        <f>VLOOKUP($A15+$I$2,Y$3:Z$500,2)</f>
        <v>122</v>
      </c>
      <c r="I15" s="31">
        <f t="shared" ref="I15:I78" si="13">(H15/$H$14-1)*$D$5</f>
        <v>35274.815422478678</v>
      </c>
      <c r="J15" s="32">
        <f t="shared" ref="J15:J78" si="14">-1*(A15-$A$14)/360*$D$7*$D$5</f>
        <v>-5052.5</v>
      </c>
      <c r="K15" s="76">
        <f>VLOOKUP($A15+$I$2,AA$3:AB$500,2)</f>
        <v>99.84</v>
      </c>
      <c r="L15" s="31">
        <f t="shared" ref="L15:L78" si="15">(K15-$K$14)/100*$E$5</f>
        <v>32799.999999999302</v>
      </c>
      <c r="M15" s="32">
        <f t="shared" ref="M15:M78" si="16">(A15-$A$14)/360*$E$6*$E$5-(A15-$A$14)/360*$E$7*$E$5*$K$14/100</f>
        <v>-2300.3824444444449</v>
      </c>
      <c r="N15" s="82">
        <f t="shared" ref="N15:N78" si="17">C15+D15-F15-G15-I15-J15+L15+M15</f>
        <v>60670.616325297793</v>
      </c>
      <c r="O15" s="82"/>
      <c r="P15" s="82"/>
      <c r="Q15" s="82">
        <f>$G$5*SUM($O$14:O15)-$H$5*SUM($P$14:P15)</f>
        <v>0</v>
      </c>
      <c r="R15" s="82">
        <f t="shared" ref="R15:R78" si="18">N15+Q15</f>
        <v>60670.616325297793</v>
      </c>
      <c r="S15" s="143"/>
      <c r="U15" s="75">
        <v>45771.625</v>
      </c>
      <c r="V15" s="54">
        <v>92.32</v>
      </c>
      <c r="W15" s="75">
        <v>45771.625</v>
      </c>
      <c r="X15" s="54">
        <v>101.90300000000001</v>
      </c>
      <c r="Y15" s="125">
        <v>45771.625</v>
      </c>
      <c r="Z15" s="54">
        <v>120.87</v>
      </c>
      <c r="AA15" s="75">
        <v>45862.625</v>
      </c>
      <c r="AB15" s="54">
        <v>99.679000000000002</v>
      </c>
      <c r="AF15" s="131">
        <v>45897.625</v>
      </c>
      <c r="AG15" s="45">
        <f>VLOOKUP($AF15+$J$1,BE:BF,2)</f>
        <v>81.010000000000005</v>
      </c>
      <c r="AH15" s="46">
        <f>(AG15/$AG$14-1)*$AG$5</f>
        <v>17290.354452270672</v>
      </c>
      <c r="AI15" s="46">
        <f>-1*(AF15-$AF$14)/360*$AG$5*$AG$7</f>
        <v>-4112.5</v>
      </c>
      <c r="AJ15" s="45">
        <f>VLOOKUP($AF15+$J$1,BG:BH,2)</f>
        <v>99.6953125</v>
      </c>
      <c r="AK15" s="46">
        <f>(AJ15-$AJ$14)/100*$AH$5</f>
        <v>9140.625</v>
      </c>
      <c r="AL15" s="47">
        <f>(AF15-$AF$14)/360*$AH$5*$AH$6-(AF15-$AF$14)/360*$AH$5*$AH$7*$AJ$14/100</f>
        <v>-319.65315755208326</v>
      </c>
      <c r="AM15" s="45">
        <f>VLOOKUP($AF15+$J$1,BI:BJ,2)</f>
        <v>110.2</v>
      </c>
      <c r="AN15" s="46">
        <f>(AM15/$AM$14-1)*$AI$5</f>
        <v>55621.194219759753</v>
      </c>
      <c r="AO15" s="47">
        <f>-1*(AF15-$AF$14)/360*$AI$5*$AI$7</f>
        <v>-4230</v>
      </c>
      <c r="AP15" s="45">
        <f>VLOOKUP($AF15+$J$1,BK:BL,2)</f>
        <v>99.6953125</v>
      </c>
      <c r="AQ15" s="46">
        <f>(AP15-$AP$14)/100*$AJ$5</f>
        <v>7968.75</v>
      </c>
      <c r="AR15" s="47">
        <f>(AF15-$AF$14)/360*$AJ$5*$AJ$6-(AF15-$AF$14)/360*$AJ$5*$AJ$7*$AP$14/100</f>
        <v>-278.67198350694434</v>
      </c>
      <c r="AS15" s="45">
        <f>VLOOKUP($AF15+$J$1,BM:BN,2)</f>
        <v>100.375</v>
      </c>
      <c r="AT15" s="46">
        <f>(AS15-$AS$14)/100*$AK$5</f>
        <v>18750</v>
      </c>
      <c r="AU15" s="47">
        <f>(AF15-$AF$14)/360*$AK$5*$AK$6-(AF15-$AF$14)/360*$AK$5*$AK$7*$AS$14/100</f>
        <v>3.0651041666668561</v>
      </c>
      <c r="AV15" s="45">
        <f>VLOOKUP($AF15+$J$1,BO:BP,2)</f>
        <v>98.078125</v>
      </c>
      <c r="AW15" s="46">
        <f>(AV15-$AV$14)/100*$AL$5</f>
        <v>65625</v>
      </c>
      <c r="AX15" s="47">
        <f>(AF15-$AF$14)/360*$AL$5*$AL$6-(AF15-$AF$14)/360*$AL$5*$AL$7*$AV$14/100</f>
        <v>183.0887369791667</v>
      </c>
      <c r="AY15" s="82">
        <f>AH15+AI15-AK15-AL15-AN15-AO15+AQ15+AR15+AT15+AU15+AW15+AX15</f>
        <v>45216.920247701892</v>
      </c>
      <c r="AZ15" s="82"/>
      <c r="BA15" s="82"/>
      <c r="BB15" s="82">
        <f>$AO$4*SUM($AZ$14:AZ15)-$AP$4*SUM($BA$14:BA15)</f>
        <v>0</v>
      </c>
      <c r="BC15" s="82">
        <f t="shared" ref="BC15:BC50" si="19">AY15-BB15</f>
        <v>45216.920247701892</v>
      </c>
      <c r="BE15" s="75">
        <v>45770.625</v>
      </c>
      <c r="BF15" s="54">
        <v>78</v>
      </c>
      <c r="BG15" s="75">
        <v>45912.625</v>
      </c>
      <c r="BH15" s="54">
        <v>99.9921875</v>
      </c>
      <c r="BI15" s="75">
        <v>45770.625</v>
      </c>
      <c r="BJ15" s="54">
        <v>106.33</v>
      </c>
      <c r="BK15" s="75">
        <v>45912.625</v>
      </c>
      <c r="BL15" s="54">
        <v>99.9921875</v>
      </c>
      <c r="BM15" s="75">
        <v>45891.625</v>
      </c>
      <c r="BN15" s="54">
        <v>99.953125</v>
      </c>
      <c r="BO15" s="75">
        <v>45894.625</v>
      </c>
      <c r="BP15" s="54">
        <v>97.71875</v>
      </c>
      <c r="BR15" s="131">
        <v>45897.625</v>
      </c>
      <c r="BS15" s="45">
        <f t="shared" ref="BS15:BS50" si="20">VLOOKUP(BR15+BV$4,CA:CB,2)</f>
        <v>107.40689999999999</v>
      </c>
      <c r="BT15" s="46">
        <f>(BS15-$BS$14)/100*$BS$5</f>
        <v>707.99999999991314</v>
      </c>
      <c r="BU15" s="46">
        <f>(BR15-BR$14)/360*$BS$5*$BS$6</f>
        <v>277.77777777777777</v>
      </c>
      <c r="BV15" s="45">
        <f>VLOOKUP(BR15+BV$4,CC:CD,2)</f>
        <v>50.031999999999996</v>
      </c>
      <c r="BW15" s="46">
        <f>-1*(BV15-$BV$14)*10^-4*$BT$8*$BT$5</f>
        <v>616.50000000000216</v>
      </c>
      <c r="BX15" s="47">
        <f>(BR15-BR$14)/360*$BT$5*$BT$6</f>
        <v>277.77777777777777</v>
      </c>
      <c r="BY15" s="45">
        <f>BT15+BU15-BW15-BX15</f>
        <v>91.49999999991104</v>
      </c>
      <c r="CA15" s="129">
        <v>45772.625</v>
      </c>
      <c r="CB15" s="54">
        <v>103.9329</v>
      </c>
      <c r="CC15" s="129">
        <v>45772.625</v>
      </c>
      <c r="CD15" s="54">
        <v>66.552999999999997</v>
      </c>
      <c r="CF15" s="131">
        <v>45897.625</v>
      </c>
      <c r="CG15" s="45">
        <f t="shared" ref="CG15:CG50" si="21">VLOOKUP(CF15+CJ$4,CO:CP,2)</f>
        <v>264.39100000000002</v>
      </c>
      <c r="CH15" s="46">
        <f>-1*(CG15-$CG$14)*$CG$8*10^-4*$CG$5</f>
        <v>9629.1555555555133</v>
      </c>
      <c r="CI15" s="46">
        <f>(CF15-CF$14)/360*$CG$5*$CG$6</f>
        <v>308.64197530864197</v>
      </c>
      <c r="CJ15" s="45">
        <f>VLOOKUP(CF15+CJ$4,CQ:CR,2)</f>
        <v>54.683</v>
      </c>
      <c r="CK15" s="46">
        <f>-1*(CJ15-$CJ$14)*10^-4*$CH$8*$CH$5</f>
        <v>432.40000000000549</v>
      </c>
      <c r="CL15" s="47">
        <f>(CF15-CF$14)/360*$CH$5*$CH$6</f>
        <v>277.77777777777777</v>
      </c>
      <c r="CM15" s="45">
        <f>CH15+CI15-CK15-CL15</f>
        <v>9227.6197530863719</v>
      </c>
      <c r="CO15" s="129">
        <v>45772.625</v>
      </c>
      <c r="CP15" s="54">
        <v>341.92700000000002</v>
      </c>
      <c r="CQ15" s="129">
        <v>45772.625</v>
      </c>
      <c r="CR15" s="54">
        <v>66.277000000000001</v>
      </c>
      <c r="CS15" s="54"/>
      <c r="CT15" s="54"/>
      <c r="CU15" s="54"/>
      <c r="CV15" s="54"/>
      <c r="CW15" s="54"/>
      <c r="CX15" s="54"/>
      <c r="CY15" s="54"/>
      <c r="DF15" s="142">
        <f t="shared" si="1"/>
        <v>45898.625</v>
      </c>
      <c r="DG15" s="58">
        <f t="shared" si="2"/>
        <v>123023.9432775483</v>
      </c>
      <c r="DH15" s="58">
        <f t="shared" si="3"/>
        <v>12757.181868719301</v>
      </c>
      <c r="DI15" s="58">
        <v>87.999999999973284</v>
      </c>
      <c r="DJ15" s="58">
        <v>9467.5506172839578</v>
      </c>
      <c r="DK15" s="58">
        <f t="shared" ref="DK15:DK49" si="22">DG15-DG14</f>
        <v>13512.892348963767</v>
      </c>
      <c r="DL15" s="58">
        <f t="shared" ref="DL15:DL49" si="23">DH15-DH14</f>
        <v>-32459.738378982591</v>
      </c>
      <c r="DM15" s="58">
        <f t="shared" ref="DM15:DM49" si="24">DI15-DI14</f>
        <v>-3.4999999999377565</v>
      </c>
      <c r="DN15" s="58">
        <f t="shared" ref="DN15:DN49" si="25">DJ15-DJ14</f>
        <v>239.93086419758583</v>
      </c>
      <c r="DO15" s="58">
        <f t="shared" si="5"/>
        <v>13512.892348963767</v>
      </c>
      <c r="DP15" s="58">
        <f t="shared" si="6"/>
        <v>-30530.238802306121</v>
      </c>
      <c r="DQ15" s="58">
        <f t="shared" si="7"/>
        <v>-195.92484525413835</v>
      </c>
      <c r="DR15" s="58">
        <f t="shared" si="8"/>
        <v>8411.2279624500752</v>
      </c>
      <c r="DS15" s="58">
        <f>SUM($DO$13:DO15)</f>
        <v>-17825.541717956774</v>
      </c>
      <c r="DT15" s="58">
        <f>SUM($DP$13:DP15)</f>
        <v>11998.858535121006</v>
      </c>
      <c r="DU15" s="58">
        <f>SUM(DQ$13:DQ15)</f>
        <v>4926.1103950473016</v>
      </c>
      <c r="DV15" s="58">
        <f>SUM(DR$13:DR15)</f>
        <v>331902.80356107501</v>
      </c>
      <c r="DZ15" s="133">
        <v>45898.625</v>
      </c>
      <c r="EA15" s="54">
        <v>-17825.541717956774</v>
      </c>
      <c r="EB15" s="54">
        <v>11998.858535121006</v>
      </c>
      <c r="EC15" s="54">
        <v>4926.1103950473016</v>
      </c>
      <c r="ED15" s="54">
        <v>331902.80356107501</v>
      </c>
    </row>
    <row r="16" spans="1:134" x14ac:dyDescent="0.3">
      <c r="A16" s="139">
        <v>45848.625</v>
      </c>
      <c r="B16" s="76">
        <f t="shared" ref="B16:B79" si="26">VLOOKUP($A16+$I$2,U$3:V$500,2)</f>
        <v>94.22</v>
      </c>
      <c r="C16" s="31">
        <f t="shared" si="9"/>
        <v>85197.018104365969</v>
      </c>
      <c r="D16" s="32">
        <f t="shared" si="10"/>
        <v>-5875</v>
      </c>
      <c r="E16" s="76">
        <f t="shared" ref="E16:E79" si="27">VLOOKUP($A16+$I$2,W$3:X$500,2)</f>
        <v>101.181</v>
      </c>
      <c r="F16" s="31">
        <f t="shared" si="11"/>
        <v>-12000.000000000455</v>
      </c>
      <c r="G16" s="32">
        <f t="shared" si="12"/>
        <v>-2091.6603333333333</v>
      </c>
      <c r="H16" s="76">
        <f t="shared" ref="H16:H79" si="28">VLOOKUP($A16+$I$2,Y$3:Z$500,2)</f>
        <v>121.86</v>
      </c>
      <c r="I16" s="31">
        <f t="shared" si="13"/>
        <v>-14109.926168992426</v>
      </c>
      <c r="J16" s="32">
        <f t="shared" si="14"/>
        <v>-10105</v>
      </c>
      <c r="K16" s="76">
        <f t="shared" ref="K16:K79" si="29">VLOOKUP($A16+$I$2,AA$3:AB$500,2)</f>
        <v>99.671999999999997</v>
      </c>
      <c r="L16" s="31">
        <f t="shared" si="15"/>
        <v>-36080.000000003311</v>
      </c>
      <c r="M16" s="32">
        <f t="shared" si="16"/>
        <v>-4600.7648888888898</v>
      </c>
      <c r="N16" s="82">
        <f t="shared" si="17"/>
        <v>76947.839717799972</v>
      </c>
      <c r="O16" s="82"/>
      <c r="P16" s="82"/>
      <c r="Q16" s="82">
        <f>$G$5*SUM($O$14:O16)-$H$5*SUM($P$14:P16)</f>
        <v>0</v>
      </c>
      <c r="R16" s="82">
        <f t="shared" si="18"/>
        <v>76947.839717799972</v>
      </c>
      <c r="S16" s="143"/>
      <c r="U16" s="75">
        <v>45772.625</v>
      </c>
      <c r="V16" s="54">
        <v>92.35</v>
      </c>
      <c r="W16" s="75">
        <v>45772.625</v>
      </c>
      <c r="X16" s="54">
        <v>101.78100000000001</v>
      </c>
      <c r="Y16" s="125">
        <v>45772.625</v>
      </c>
      <c r="Z16" s="54">
        <v>120.71</v>
      </c>
      <c r="AA16" s="75">
        <v>45863.625</v>
      </c>
      <c r="AB16" s="54">
        <v>99.524000000000001</v>
      </c>
      <c r="AF16" s="131">
        <v>45898.625</v>
      </c>
      <c r="AG16" s="45">
        <f t="shared" ref="AG16:AG50" si="30">VLOOKUP($AF16+$J$1,BE:BF,2)</f>
        <v>80.86</v>
      </c>
      <c r="AH16" s="46">
        <f t="shared" ref="AH16:AH50" si="31">(AG16/$AG$14-1)*$AG$5</f>
        <v>-47548.474743732695</v>
      </c>
      <c r="AI16" s="46">
        <f t="shared" ref="AI16:AI38" si="32">-1*(AF16-$AF$14)/360*$AG$5*$AG$7</f>
        <v>-8225</v>
      </c>
      <c r="AJ16" s="45">
        <f t="shared" ref="AJ16:AJ50" si="33">VLOOKUP($AF16+$J$1,BG:BH,2)</f>
        <v>99.703125</v>
      </c>
      <c r="AK16" s="46">
        <f t="shared" ref="AK16:AK50" si="34">(AJ16-$AJ$14)/100*$AH$5</f>
        <v>10664.062500000002</v>
      </c>
      <c r="AL16" s="47">
        <f t="shared" ref="AL16:AL38" si="35">(AF16-$AF$14)/360*$AH$5*$AH$6-(AF16-$AF$14)/360*$AH$5*$AH$7*$AJ$14/100</f>
        <v>-639.30631510416652</v>
      </c>
      <c r="AM16" s="45">
        <f t="shared" ref="AM16:AM50" si="36">VLOOKUP($AF16+$J$1,BI:BJ,2)</f>
        <v>109.83</v>
      </c>
      <c r="AN16" s="46">
        <f t="shared" ref="AN16:AN50" si="37">(AM16/$AM$14-1)*$AI$5</f>
        <v>-65436.699082070059</v>
      </c>
      <c r="AO16" s="47">
        <f t="shared" ref="AO16:AO38" si="38">-1*(AF16-$AF$14)/360*$AI$5*$AI$7</f>
        <v>-8460</v>
      </c>
      <c r="AP16" s="45">
        <f t="shared" ref="AP16:AP50" si="39">VLOOKUP($AF16+$J$1,BK:BL,2)</f>
        <v>99.703125</v>
      </c>
      <c r="AQ16" s="46">
        <f t="shared" ref="AQ16:AQ50" si="40">(AP16-$AP$14)/100*$AJ$5</f>
        <v>9296.875</v>
      </c>
      <c r="AR16" s="47">
        <f t="shared" ref="AR16:AR38" si="41">(AF16-$AF$14)/360*$AJ$5*$AJ$6-(AF16-$AF$14)/360*$AJ$5*$AJ$7*$AP$14/100</f>
        <v>-557.34396701388869</v>
      </c>
      <c r="AS16" s="45">
        <f t="shared" ref="AS16:AS50" si="42">VLOOKUP($AF16+$J$1,BM:BN,2)</f>
        <v>100.21875</v>
      </c>
      <c r="AT16" s="46">
        <f t="shared" ref="AT16:AT50" si="43">(AS16-$AS$14)/100*$AK$5</f>
        <v>7031.25</v>
      </c>
      <c r="AU16" s="47">
        <f t="shared" ref="AU16:AU38" si="44">(AF16-$AF$14)/360*$AK$5*$AK$6-(AF16-$AF$14)/360*$AK$5*$AK$7*$AS$14/100</f>
        <v>6.1302083333337123</v>
      </c>
      <c r="AV16" s="45">
        <f t="shared" ref="AV16:AV50" si="45">VLOOKUP($AF16+$J$1,BO:BP,2)</f>
        <v>97.34375</v>
      </c>
      <c r="AW16" s="46">
        <f t="shared" ref="AW16:AW50" si="46">(AV16-$AV$14)/100*$AL$5</f>
        <v>-11484.375000000002</v>
      </c>
      <c r="AX16" s="47">
        <f t="shared" ref="AX16:AX38" si="47">(AF16-$AF$14)/360*$AL$5*$AL$6-(AF16-$AF$14)/360*$AL$5*$AL$7*$AV$14/100</f>
        <v>366.17747395833339</v>
      </c>
      <c r="AY16" s="82">
        <f t="shared" ref="AY16:AY38" si="48">AH16+AI16-AK16-AL16-AN16-AO16+AQ16+AR16+AT16+AU16+AW16+AX16</f>
        <v>12757.181868719301</v>
      </c>
      <c r="AZ16" s="82"/>
      <c r="BA16" s="82"/>
      <c r="BB16" s="82">
        <f>$AO$4*SUM($AZ$14:AZ16)-$AP$4*SUM($BA$14:BA16)</f>
        <v>0</v>
      </c>
      <c r="BC16" s="82">
        <f t="shared" si="19"/>
        <v>12757.181868719301</v>
      </c>
      <c r="BE16" s="75">
        <v>45771.625</v>
      </c>
      <c r="BF16" s="54">
        <v>78.62</v>
      </c>
      <c r="BG16" s="75">
        <v>45915.625</v>
      </c>
      <c r="BH16" s="54">
        <v>100.09375</v>
      </c>
      <c r="BI16" s="75">
        <v>45771.625</v>
      </c>
      <c r="BJ16" s="54">
        <v>107.38</v>
      </c>
      <c r="BK16" s="75">
        <v>45915.625</v>
      </c>
      <c r="BL16" s="54">
        <v>100.09375</v>
      </c>
      <c r="BM16" s="75">
        <v>45894.625</v>
      </c>
      <c r="BN16" s="54">
        <v>99.765625</v>
      </c>
      <c r="BO16" s="75">
        <v>45895.625</v>
      </c>
      <c r="BP16" s="54">
        <v>97.59375</v>
      </c>
      <c r="BR16" s="131">
        <v>45898.625</v>
      </c>
      <c r="BS16" s="45">
        <f t="shared" si="20"/>
        <v>107.20489999999999</v>
      </c>
      <c r="BT16" s="46">
        <f t="shared" ref="BT16:BT50" si="49">(BS16-$BS$14)/100*$BS$5</f>
        <v>-3332.0000000000505</v>
      </c>
      <c r="BU16" s="46">
        <f t="shared" ref="BU16:BU50" si="50">(BR16-BR$14)/360*$BS$5*$BS$6</f>
        <v>555.55555555555554</v>
      </c>
      <c r="BV16" s="45">
        <f t="shared" ref="BV16:BV50" si="51">VLOOKUP(BR16+BV$4,CC:CD,2)</f>
        <v>50.929000000000002</v>
      </c>
      <c r="BW16" s="46">
        <f t="shared" ref="BW16:BW50" si="52">-1*(BV16-$BV$14)*10^-4*$BT$8*$BT$5</f>
        <v>-3420.0000000000236</v>
      </c>
      <c r="BX16" s="47">
        <f t="shared" ref="BX16:BX50" si="53">(BR16-BR$14)/360*$BT$5*$BT$6</f>
        <v>555.55555555555554</v>
      </c>
      <c r="BY16" s="45">
        <f t="shared" ref="BY16:BY50" si="54">BT16+BU16-BW16-BX16</f>
        <v>87.999999999973284</v>
      </c>
      <c r="CA16" s="129">
        <v>45775.625</v>
      </c>
      <c r="CB16" s="54">
        <v>103.898</v>
      </c>
      <c r="CC16" s="129">
        <v>45775.625</v>
      </c>
      <c r="CD16" s="54">
        <v>67.087000000000003</v>
      </c>
      <c r="CF16" s="131">
        <v>45898.625</v>
      </c>
      <c r="CG16" s="45">
        <f t="shared" si="21"/>
        <v>267.71499999999997</v>
      </c>
      <c r="CH16" s="46">
        <f t="shared" ref="CH16:CH50" si="55">-1*(CG16-$CG$14)*$CG$8*10^-4*$CG$5</f>
        <v>6379.0222222222228</v>
      </c>
      <c r="CI16" s="46">
        <f t="shared" ref="CI16:CI50" si="56">(CF16-CF$14)/360*$CG$5*$CG$6</f>
        <v>617.28395061728395</v>
      </c>
      <c r="CJ16" s="45">
        <f t="shared" ref="CJ16:CJ50" si="57">VLOOKUP(CF16+CJ$4,CQ:CR,2)</f>
        <v>55.435000000000002</v>
      </c>
      <c r="CK16" s="46">
        <f t="shared" ref="CK16:CK50" si="58">-1*(CJ16-$CJ$14)*10^-4*$CH$8*$CH$5</f>
        <v>-3026.8000000000052</v>
      </c>
      <c r="CL16" s="47">
        <f t="shared" ref="CL16:CL50" si="59">(CF16-CF$14)/360*$CH$5*$CH$6</f>
        <v>555.55555555555554</v>
      </c>
      <c r="CM16" s="45">
        <f t="shared" ref="CM16:CM50" si="60">CH16+CI16-CK16-CL16</f>
        <v>9467.5506172839578</v>
      </c>
      <c r="CO16" s="129">
        <v>45775.625</v>
      </c>
      <c r="CP16" s="54">
        <v>338.5</v>
      </c>
      <c r="CQ16" s="129">
        <v>45775.625</v>
      </c>
      <c r="CR16" s="54">
        <v>65.525000000000006</v>
      </c>
      <c r="CS16" s="54"/>
      <c r="CT16" s="54"/>
      <c r="CU16" s="54"/>
      <c r="CV16" s="54"/>
      <c r="CW16" s="54"/>
      <c r="CX16" s="54"/>
      <c r="CY16" s="54"/>
      <c r="DF16" s="142">
        <f t="shared" si="1"/>
        <v>45901.625</v>
      </c>
      <c r="DG16" s="58">
        <f t="shared" si="2"/>
        <v>121357.88231489121</v>
      </c>
      <c r="DH16" s="58">
        <f t="shared" si="3"/>
        <v>-622.97558570776073</v>
      </c>
      <c r="DI16" s="58">
        <v>87.999999999973397</v>
      </c>
      <c r="DJ16" s="58">
        <v>9485.3432098765297</v>
      </c>
      <c r="DK16" s="58">
        <f t="shared" si="22"/>
        <v>-1666.0609626570949</v>
      </c>
      <c r="DL16" s="58">
        <f t="shared" si="23"/>
        <v>-13380.157454427062</v>
      </c>
      <c r="DM16" s="58">
        <f t="shared" si="24"/>
        <v>1.1368683772161603E-13</v>
      </c>
      <c r="DN16" s="58">
        <f t="shared" si="25"/>
        <v>17.792592592571964</v>
      </c>
      <c r="DO16" s="58">
        <f t="shared" si="5"/>
        <v>-1666.0609626570949</v>
      </c>
      <c r="DP16" s="58">
        <f t="shared" si="6"/>
        <v>-12584.802672365793</v>
      </c>
      <c r="DQ16" s="58">
        <f t="shared" si="7"/>
        <v>6.3640217395531648E-12</v>
      </c>
      <c r="DR16" s="58">
        <f t="shared" si="8"/>
        <v>623.75281662753764</v>
      </c>
      <c r="DS16" s="58">
        <f>SUM($DO$13:DO16)</f>
        <v>-19491.602680613869</v>
      </c>
      <c r="DT16" s="58">
        <f>SUM($DP$13:DP16)</f>
        <v>-585.94413724478727</v>
      </c>
      <c r="DU16" s="58">
        <f>SUM(DQ$13:DQ16)</f>
        <v>4926.110395047308</v>
      </c>
      <c r="DV16" s="58">
        <f>SUM(DR$13:DR16)</f>
        <v>332526.55637770257</v>
      </c>
      <c r="DZ16" s="133">
        <v>45901.625</v>
      </c>
      <c r="EA16" s="54">
        <v>-19491.602680613869</v>
      </c>
      <c r="EB16" s="54">
        <v>-585.94413724478727</v>
      </c>
      <c r="EC16" s="54">
        <v>4926.110395047308</v>
      </c>
      <c r="ED16" s="54">
        <v>332526.55637770257</v>
      </c>
    </row>
    <row r="17" spans="1:134" x14ac:dyDescent="0.3">
      <c r="A17" s="139">
        <v>45849.625</v>
      </c>
      <c r="B17" s="76">
        <f t="shared" si="26"/>
        <v>94.12</v>
      </c>
      <c r="C17" s="31">
        <f t="shared" si="9"/>
        <v>58572.949946750217</v>
      </c>
      <c r="D17" s="32">
        <f t="shared" si="10"/>
        <v>-8812.4999999999982</v>
      </c>
      <c r="E17" s="76">
        <f t="shared" si="27"/>
        <v>101.123</v>
      </c>
      <c r="F17" s="31">
        <f t="shared" si="11"/>
        <v>-23599.999999999</v>
      </c>
      <c r="G17" s="32">
        <f t="shared" si="12"/>
        <v>-3137.490499999999</v>
      </c>
      <c r="H17" s="76">
        <f t="shared" si="28"/>
        <v>121.72</v>
      </c>
      <c r="I17" s="31">
        <f t="shared" si="13"/>
        <v>-63494.667760463533</v>
      </c>
      <c r="J17" s="32">
        <f t="shared" si="14"/>
        <v>-15157.499999999998</v>
      </c>
      <c r="K17" s="76">
        <f t="shared" si="29"/>
        <v>99.567999999999998</v>
      </c>
      <c r="L17" s="31">
        <f t="shared" si="15"/>
        <v>-78720.000000002983</v>
      </c>
      <c r="M17" s="32">
        <f t="shared" si="16"/>
        <v>-6901.1473333333324</v>
      </c>
      <c r="N17" s="82">
        <f t="shared" si="17"/>
        <v>69528.960873876451</v>
      </c>
      <c r="O17" s="82"/>
      <c r="P17" s="82"/>
      <c r="Q17" s="82">
        <f>$G$5*SUM($O$14:O17)-$H$5*SUM($P$14:P17)</f>
        <v>0</v>
      </c>
      <c r="R17" s="82">
        <f t="shared" si="18"/>
        <v>69528.960873876451</v>
      </c>
      <c r="S17" s="143"/>
      <c r="U17" s="75">
        <v>45776.625</v>
      </c>
      <c r="V17" s="54">
        <v>92.23</v>
      </c>
      <c r="W17" s="75">
        <v>45775.625</v>
      </c>
      <c r="X17" s="54">
        <v>101.74299999999999</v>
      </c>
      <c r="Y17" s="125">
        <v>45775.625</v>
      </c>
      <c r="Z17" s="54">
        <v>120.57</v>
      </c>
      <c r="AA17" s="75">
        <v>45866.625</v>
      </c>
      <c r="AB17" s="54">
        <v>99.715000000000003</v>
      </c>
      <c r="AF17" s="131">
        <v>45901.625</v>
      </c>
      <c r="AG17" s="45">
        <f t="shared" si="30"/>
        <v>80.86</v>
      </c>
      <c r="AH17" s="46">
        <f t="shared" si="31"/>
        <v>-47548.474743732695</v>
      </c>
      <c r="AI17" s="46">
        <f t="shared" si="32"/>
        <v>-20562.499999999996</v>
      </c>
      <c r="AJ17" s="45">
        <f t="shared" si="33"/>
        <v>99.6796875</v>
      </c>
      <c r="AK17" s="46">
        <f t="shared" si="34"/>
        <v>6093.75</v>
      </c>
      <c r="AL17" s="47">
        <f t="shared" si="35"/>
        <v>-1598.2657877604161</v>
      </c>
      <c r="AM17" s="45">
        <f t="shared" si="36"/>
        <v>109.83</v>
      </c>
      <c r="AN17" s="46">
        <f t="shared" si="37"/>
        <v>-65436.699082070059</v>
      </c>
      <c r="AO17" s="47">
        <f t="shared" si="38"/>
        <v>-21150</v>
      </c>
      <c r="AP17" s="45">
        <f t="shared" si="39"/>
        <v>99.6796875</v>
      </c>
      <c r="AQ17" s="46">
        <f t="shared" si="40"/>
        <v>5312.5</v>
      </c>
      <c r="AR17" s="47">
        <f t="shared" si="41"/>
        <v>-1393.3599175347208</v>
      </c>
      <c r="AS17" s="45">
        <f t="shared" si="42"/>
        <v>100.171875</v>
      </c>
      <c r="AT17" s="46">
        <f t="shared" si="43"/>
        <v>3515.625</v>
      </c>
      <c r="AU17" s="47">
        <f t="shared" si="44"/>
        <v>15.32552083333394</v>
      </c>
      <c r="AV17" s="45">
        <f t="shared" si="45"/>
        <v>97.234375</v>
      </c>
      <c r="AW17" s="46">
        <f t="shared" si="46"/>
        <v>-22968.750000000004</v>
      </c>
      <c r="AX17" s="47">
        <f t="shared" si="47"/>
        <v>915.44368489583303</v>
      </c>
      <c r="AY17" s="82">
        <f t="shared" si="48"/>
        <v>-622.97558570776073</v>
      </c>
      <c r="AZ17" s="82"/>
      <c r="BA17" s="82"/>
      <c r="BB17" s="82">
        <f>$AO$4*SUM($AZ$14:AZ17)-$AP$4*SUM($BA$14:BA17)</f>
        <v>0</v>
      </c>
      <c r="BC17" s="82">
        <f t="shared" si="19"/>
        <v>-622.97558570776073</v>
      </c>
      <c r="BE17" s="75">
        <v>45772.625</v>
      </c>
      <c r="BF17" s="54">
        <v>78.77</v>
      </c>
      <c r="BG17" s="75">
        <v>45916.625</v>
      </c>
      <c r="BH17" s="54">
        <v>100.15625</v>
      </c>
      <c r="BI17" s="75">
        <v>45772.625</v>
      </c>
      <c r="BJ17" s="54">
        <v>107.99</v>
      </c>
      <c r="BK17" s="75">
        <v>45916.625</v>
      </c>
      <c r="BL17" s="54">
        <v>100.15625</v>
      </c>
      <c r="BM17" s="75">
        <v>45895.625</v>
      </c>
      <c r="BN17" s="54">
        <v>99.984375</v>
      </c>
      <c r="BO17" s="75">
        <v>45896.625</v>
      </c>
      <c r="BP17" s="54">
        <v>97.453125</v>
      </c>
      <c r="BR17" s="131">
        <v>45901.625</v>
      </c>
      <c r="BS17" s="45">
        <f t="shared" si="20"/>
        <v>107.20489999999999</v>
      </c>
      <c r="BT17" s="46">
        <f t="shared" si="49"/>
        <v>-3332.0000000000505</v>
      </c>
      <c r="BU17" s="46">
        <f t="shared" si="50"/>
        <v>1388.8888888888889</v>
      </c>
      <c r="BV17" s="45">
        <f t="shared" si="51"/>
        <v>50.929000000000002</v>
      </c>
      <c r="BW17" s="46">
        <f t="shared" si="52"/>
        <v>-3420.0000000000236</v>
      </c>
      <c r="BX17" s="47">
        <f t="shared" si="53"/>
        <v>1388.8888888888887</v>
      </c>
      <c r="BY17" s="45">
        <f t="shared" si="54"/>
        <v>87.999999999973397</v>
      </c>
      <c r="CA17" s="129">
        <v>45776.625</v>
      </c>
      <c r="CB17" s="54">
        <v>103.99760000000001</v>
      </c>
      <c r="CC17" s="129">
        <v>45776.625</v>
      </c>
      <c r="CD17" s="54">
        <v>66.930999999999997</v>
      </c>
      <c r="CF17" s="131">
        <v>45901.625</v>
      </c>
      <c r="CG17" s="45">
        <f t="shared" si="21"/>
        <v>268.10199999999998</v>
      </c>
      <c r="CH17" s="46">
        <f t="shared" si="55"/>
        <v>6000.6222222222232</v>
      </c>
      <c r="CI17" s="46">
        <f t="shared" si="56"/>
        <v>1543.2098765432097</v>
      </c>
      <c r="CJ17" s="45">
        <f t="shared" si="57"/>
        <v>55.500999999999998</v>
      </c>
      <c r="CK17" s="46">
        <f t="shared" si="58"/>
        <v>-3330.3999999999846</v>
      </c>
      <c r="CL17" s="47">
        <f t="shared" si="59"/>
        <v>1388.8888888888887</v>
      </c>
      <c r="CM17" s="45">
        <f t="shared" si="60"/>
        <v>9485.3432098765297</v>
      </c>
      <c r="CO17" s="129">
        <v>45776.625</v>
      </c>
      <c r="CP17" s="54">
        <v>341.74400000000003</v>
      </c>
      <c r="CQ17" s="129">
        <v>45776.625</v>
      </c>
      <c r="CR17" s="54">
        <v>66.52</v>
      </c>
      <c r="CS17" s="54"/>
      <c r="CT17" s="54"/>
      <c r="CU17" s="54"/>
      <c r="CV17" s="54"/>
      <c r="CW17" s="54"/>
      <c r="CX17" s="54"/>
      <c r="CY17" s="54"/>
      <c r="DF17" s="142">
        <f t="shared" si="1"/>
        <v>45902.625</v>
      </c>
      <c r="DG17" s="58">
        <f t="shared" si="2"/>
        <v>129016.78571010823</v>
      </c>
      <c r="DH17" s="58">
        <f t="shared" si="3"/>
        <v>-68580.005564924082</v>
      </c>
      <c r="DI17" s="58">
        <v>394.00000000013688</v>
      </c>
      <c r="DJ17" s="58">
        <v>10067.718518518474</v>
      </c>
      <c r="DK17" s="58">
        <f t="shared" si="22"/>
        <v>7658.9033952170284</v>
      </c>
      <c r="DL17" s="58">
        <f t="shared" si="23"/>
        <v>-67957.029979216328</v>
      </c>
      <c r="DM17" s="58">
        <f t="shared" si="24"/>
        <v>306.00000000016348</v>
      </c>
      <c r="DN17" s="58">
        <f t="shared" si="25"/>
        <v>582.37530864194378</v>
      </c>
      <c r="DO17" s="58">
        <f t="shared" si="5"/>
        <v>7658.9033952170284</v>
      </c>
      <c r="DP17" s="58">
        <f t="shared" si="6"/>
        <v>-63917.469985042466</v>
      </c>
      <c r="DQ17" s="58">
        <f t="shared" si="7"/>
        <v>17129.429328247017</v>
      </c>
      <c r="DR17" s="58">
        <f t="shared" si="8"/>
        <v>20416.262397386465</v>
      </c>
      <c r="DS17" s="58">
        <f>SUM($DO$13:DO17)</f>
        <v>-11832.69928539684</v>
      </c>
      <c r="DT17" s="58">
        <f>SUM($DP$13:DP17)</f>
        <v>-64503.414122287257</v>
      </c>
      <c r="DU17" s="58">
        <f>SUM(DQ$13:DQ17)</f>
        <v>22055.539723294325</v>
      </c>
      <c r="DV17" s="58">
        <f>SUM(DR$13:DR17)</f>
        <v>352942.81877508905</v>
      </c>
      <c r="DZ17" s="133">
        <v>45902.625</v>
      </c>
      <c r="EA17" s="54">
        <v>-11832.69928539684</v>
      </c>
      <c r="EB17" s="54">
        <v>-64503.414122287257</v>
      </c>
      <c r="EC17" s="54">
        <v>22055.539723294325</v>
      </c>
      <c r="ED17" s="54">
        <v>352942.81877508905</v>
      </c>
    </row>
    <row r="18" spans="1:134" x14ac:dyDescent="0.3">
      <c r="A18" s="139">
        <v>45852.625</v>
      </c>
      <c r="B18" s="76">
        <f t="shared" si="26"/>
        <v>94.05</v>
      </c>
      <c r="C18" s="31">
        <f t="shared" si="9"/>
        <v>39936.102236420855</v>
      </c>
      <c r="D18" s="32">
        <f t="shared" si="10"/>
        <v>-17624.999999999996</v>
      </c>
      <c r="E18" s="76">
        <f t="shared" si="27"/>
        <v>101.181</v>
      </c>
      <c r="F18" s="31">
        <f t="shared" si="11"/>
        <v>-12000.000000000455</v>
      </c>
      <c r="G18" s="32">
        <f t="shared" si="12"/>
        <v>-6274.9809999999979</v>
      </c>
      <c r="H18" s="76">
        <f t="shared" si="28"/>
        <v>121.74</v>
      </c>
      <c r="I18" s="31">
        <f t="shared" si="13"/>
        <v>-56439.704675969704</v>
      </c>
      <c r="J18" s="32">
        <f t="shared" si="14"/>
        <v>-30314.999999999996</v>
      </c>
      <c r="K18" s="76">
        <f t="shared" si="29"/>
        <v>99.611999999999995</v>
      </c>
      <c r="L18" s="31">
        <f t="shared" si="15"/>
        <v>-60680.000000004242</v>
      </c>
      <c r="M18" s="32">
        <f t="shared" si="16"/>
        <v>-13802.294666666665</v>
      </c>
      <c r="N18" s="82">
        <f t="shared" si="17"/>
        <v>52858.493245720092</v>
      </c>
      <c r="O18" s="82"/>
      <c r="P18" s="82"/>
      <c r="Q18" s="82">
        <f>$G$5*SUM($O$14:O18)-$H$5*SUM($P$14:P18)</f>
        <v>0</v>
      </c>
      <c r="R18" s="82">
        <f t="shared" si="18"/>
        <v>52858.493245720092</v>
      </c>
      <c r="S18" s="143"/>
      <c r="U18" s="75">
        <v>45777.625</v>
      </c>
      <c r="V18" s="54">
        <v>91.86</v>
      </c>
      <c r="W18" s="75">
        <v>45776.625</v>
      </c>
      <c r="X18" s="54">
        <v>101.75</v>
      </c>
      <c r="Y18" s="125">
        <v>45777.625</v>
      </c>
      <c r="Z18" s="54">
        <v>120.56</v>
      </c>
      <c r="AA18" s="75">
        <v>45867.625</v>
      </c>
      <c r="AB18" s="54">
        <v>99.623999999999995</v>
      </c>
      <c r="AF18" s="131">
        <v>45902.625</v>
      </c>
      <c r="AG18" s="45">
        <f t="shared" si="30"/>
        <v>80.39</v>
      </c>
      <c r="AH18" s="46">
        <f t="shared" si="31"/>
        <v>-250710.1395578587</v>
      </c>
      <c r="AI18" s="46">
        <f t="shared" si="32"/>
        <v>-24675</v>
      </c>
      <c r="AJ18" s="45">
        <f t="shared" si="33"/>
        <v>99.53125</v>
      </c>
      <c r="AK18" s="46">
        <f t="shared" si="34"/>
        <v>-22851.5625</v>
      </c>
      <c r="AL18" s="47">
        <f t="shared" si="35"/>
        <v>-1917.9189453125</v>
      </c>
      <c r="AM18" s="45">
        <f t="shared" si="36"/>
        <v>109.05</v>
      </c>
      <c r="AN18" s="46">
        <f t="shared" si="37"/>
        <v>-320639.82550213812</v>
      </c>
      <c r="AO18" s="47">
        <f t="shared" si="38"/>
        <v>-25380</v>
      </c>
      <c r="AP18" s="45">
        <f t="shared" si="39"/>
        <v>99.53125</v>
      </c>
      <c r="AQ18" s="46">
        <f t="shared" si="40"/>
        <v>-19921.875</v>
      </c>
      <c r="AR18" s="47">
        <f t="shared" si="41"/>
        <v>-1672.0319010416661</v>
      </c>
      <c r="AS18" s="45">
        <f t="shared" si="42"/>
        <v>99.859375</v>
      </c>
      <c r="AT18" s="46">
        <f t="shared" si="43"/>
        <v>-19921.875</v>
      </c>
      <c r="AU18" s="47">
        <f t="shared" si="44"/>
        <v>18.390625</v>
      </c>
      <c r="AV18" s="45">
        <f t="shared" si="45"/>
        <v>96.65625</v>
      </c>
      <c r="AW18" s="46">
        <f t="shared" si="46"/>
        <v>-83671.875</v>
      </c>
      <c r="AX18" s="47">
        <f t="shared" si="47"/>
        <v>1098.5324218750011</v>
      </c>
      <c r="AY18" s="82">
        <f t="shared" si="48"/>
        <v>-28666.566464574746</v>
      </c>
      <c r="AZ18" s="82">
        <v>0.38332100000000002</v>
      </c>
      <c r="BA18" s="82">
        <v>0.384434</v>
      </c>
      <c r="BB18" s="82">
        <f>$AO$4*SUM($AZ$14:AZ18)-$AP$4*SUM($BA$14:BA18)</f>
        <v>39913.439100349337</v>
      </c>
      <c r="BC18" s="82">
        <f t="shared" si="19"/>
        <v>-68580.005564924082</v>
      </c>
      <c r="BE18" s="75">
        <v>45775.625</v>
      </c>
      <c r="BF18" s="54">
        <v>78.81</v>
      </c>
      <c r="BG18" s="75">
        <v>45917.625</v>
      </c>
      <c r="BH18" s="54">
        <v>99.953125</v>
      </c>
      <c r="BI18" s="75">
        <v>45775.625</v>
      </c>
      <c r="BJ18" s="54">
        <v>108.24</v>
      </c>
      <c r="BK18" s="75">
        <v>45917.625</v>
      </c>
      <c r="BL18" s="54">
        <v>99.953125</v>
      </c>
      <c r="BM18" s="75">
        <v>45896.625</v>
      </c>
      <c r="BN18" s="54">
        <v>100.125</v>
      </c>
      <c r="BO18" s="75">
        <v>45897.625</v>
      </c>
      <c r="BP18" s="54">
        <v>98.078125</v>
      </c>
      <c r="BR18" s="131">
        <v>45902.625</v>
      </c>
      <c r="BS18" s="45">
        <f t="shared" si="20"/>
        <v>107.1491</v>
      </c>
      <c r="BT18" s="46">
        <f t="shared" si="49"/>
        <v>-4447.9999999998654</v>
      </c>
      <c r="BU18" s="46">
        <f t="shared" si="50"/>
        <v>1666.666666666667</v>
      </c>
      <c r="BV18" s="45">
        <f t="shared" si="51"/>
        <v>51.244999999999997</v>
      </c>
      <c r="BW18" s="46">
        <f t="shared" si="52"/>
        <v>-4842.0000000000018</v>
      </c>
      <c r="BX18" s="47">
        <f t="shared" si="53"/>
        <v>1666.6666666666665</v>
      </c>
      <c r="BY18" s="45">
        <f t="shared" si="54"/>
        <v>394.00000000013688</v>
      </c>
      <c r="CA18" s="129">
        <v>45777.625</v>
      </c>
      <c r="CB18" s="54">
        <v>103.62090000000001</v>
      </c>
      <c r="CC18" s="129">
        <v>45777.625</v>
      </c>
      <c r="CD18" s="54">
        <v>68.186000000000007</v>
      </c>
      <c r="CF18" s="131">
        <v>45902.625</v>
      </c>
      <c r="CG18" s="45">
        <f t="shared" si="21"/>
        <v>274.209</v>
      </c>
      <c r="CH18" s="46">
        <f t="shared" si="55"/>
        <v>29.333333333306655</v>
      </c>
      <c r="CI18" s="46">
        <f t="shared" si="56"/>
        <v>1851.851851851852</v>
      </c>
      <c r="CJ18" s="45">
        <f t="shared" si="57"/>
        <v>56.918999999999997</v>
      </c>
      <c r="CK18" s="46">
        <f t="shared" si="58"/>
        <v>-9853.1999999999807</v>
      </c>
      <c r="CL18" s="47">
        <f t="shared" si="59"/>
        <v>1666.6666666666665</v>
      </c>
      <c r="CM18" s="45">
        <f t="shared" si="60"/>
        <v>10067.718518518474</v>
      </c>
      <c r="CO18" s="129">
        <v>45777.625</v>
      </c>
      <c r="CP18" s="54">
        <v>350.83699999999999</v>
      </c>
      <c r="CQ18" s="129">
        <v>45777.625</v>
      </c>
      <c r="CR18" s="54">
        <v>68.284000000000006</v>
      </c>
      <c r="CS18" s="54"/>
      <c r="CT18" s="54"/>
      <c r="CU18" s="54"/>
      <c r="CV18" s="54"/>
      <c r="CW18" s="54"/>
      <c r="CX18" s="54"/>
      <c r="CY18" s="54"/>
      <c r="DF18" s="142">
        <f t="shared" si="1"/>
        <v>45903.625</v>
      </c>
      <c r="DG18" s="58">
        <f t="shared" si="2"/>
        <v>106248.92721230641</v>
      </c>
      <c r="DH18" s="58">
        <f t="shared" si="3"/>
        <v>-54753.005578996301</v>
      </c>
      <c r="DI18" s="58">
        <v>-896.49999999981128</v>
      </c>
      <c r="DJ18" s="58">
        <v>9402.0938271604828</v>
      </c>
      <c r="DK18" s="58">
        <f t="shared" si="22"/>
        <v>-22767.858497801819</v>
      </c>
      <c r="DL18" s="58">
        <f t="shared" si="23"/>
        <v>13826.999985927781</v>
      </c>
      <c r="DM18" s="58">
        <f t="shared" si="24"/>
        <v>-1290.4999999999482</v>
      </c>
      <c r="DN18" s="58">
        <f t="shared" si="25"/>
        <v>-665.62469135799074</v>
      </c>
      <c r="DO18" s="58">
        <f t="shared" si="5"/>
        <v>-22767.858497801819</v>
      </c>
      <c r="DP18" s="58">
        <f t="shared" si="6"/>
        <v>13005.083607303246</v>
      </c>
      <c r="DQ18" s="58">
        <f t="shared" si="7"/>
        <v>-72240.289372843385</v>
      </c>
      <c r="DR18" s="58">
        <f t="shared" si="8"/>
        <v>-23334.726172773342</v>
      </c>
      <c r="DS18" s="58">
        <f>SUM($DO$13:DO18)</f>
        <v>-34600.557783198659</v>
      </c>
      <c r="DT18" s="58">
        <f>SUM($DP$13:DP18)</f>
        <v>-51498.330514984009</v>
      </c>
      <c r="DU18" s="58">
        <f>SUM(DQ$13:DQ18)</f>
        <v>-50184.749649549063</v>
      </c>
      <c r="DV18" s="58">
        <f>SUM(DR$13:DR18)</f>
        <v>329608.09260231571</v>
      </c>
      <c r="DZ18" s="133">
        <v>45903.625</v>
      </c>
      <c r="EA18" s="54">
        <v>-34600.557783198659</v>
      </c>
      <c r="EB18" s="54">
        <v>-51498.330514984009</v>
      </c>
      <c r="EC18" s="54">
        <v>-50184.749649549063</v>
      </c>
      <c r="ED18" s="54">
        <v>329608.09260231571</v>
      </c>
    </row>
    <row r="19" spans="1:134" x14ac:dyDescent="0.3">
      <c r="A19" s="139">
        <v>45853.625</v>
      </c>
      <c r="B19" s="76">
        <f t="shared" si="26"/>
        <v>94.05</v>
      </c>
      <c r="C19" s="31">
        <f t="shared" si="9"/>
        <v>39936.102236420855</v>
      </c>
      <c r="D19" s="32">
        <f t="shared" si="10"/>
        <v>-20562.5</v>
      </c>
      <c r="E19" s="76">
        <f t="shared" si="27"/>
        <v>101.23699999999999</v>
      </c>
      <c r="F19" s="31">
        <f t="shared" si="11"/>
        <v>-800.00000000097771</v>
      </c>
      <c r="G19" s="32">
        <f t="shared" si="12"/>
        <v>-7320.8111666666646</v>
      </c>
      <c r="H19" s="76">
        <f t="shared" si="28"/>
        <v>121.85</v>
      </c>
      <c r="I19" s="31">
        <f t="shared" si="13"/>
        <v>-17637.407711244112</v>
      </c>
      <c r="J19" s="32">
        <f t="shared" si="14"/>
        <v>-35367.5</v>
      </c>
      <c r="K19" s="76">
        <f t="shared" si="29"/>
        <v>99.713999999999999</v>
      </c>
      <c r="L19" s="31">
        <f t="shared" si="15"/>
        <v>-18860.000000002656</v>
      </c>
      <c r="M19" s="32">
        <f t="shared" si="16"/>
        <v>-16102.677111111112</v>
      </c>
      <c r="N19" s="82">
        <f t="shared" si="17"/>
        <v>45536.64400321884</v>
      </c>
      <c r="O19" s="82"/>
      <c r="P19" s="82"/>
      <c r="Q19" s="82">
        <f>$G$5*SUM($O$14:O19)-$H$5*SUM($P$14:P19)</f>
        <v>0</v>
      </c>
      <c r="R19" s="82">
        <f t="shared" si="18"/>
        <v>45536.64400321884</v>
      </c>
      <c r="S19" s="143"/>
      <c r="U19" s="75">
        <v>45778.625</v>
      </c>
      <c r="V19" s="54">
        <v>92.17</v>
      </c>
      <c r="W19" s="75">
        <v>45777.625</v>
      </c>
      <c r="X19" s="54">
        <v>101.923</v>
      </c>
      <c r="Y19" s="125">
        <v>45778.625</v>
      </c>
      <c r="Z19" s="54">
        <v>120.75</v>
      </c>
      <c r="AA19" s="75">
        <v>45868.625</v>
      </c>
      <c r="AB19" s="54">
        <v>99.552999999999997</v>
      </c>
      <c r="AF19" s="131">
        <v>45903.625</v>
      </c>
      <c r="AG19" s="45">
        <f t="shared" si="30"/>
        <v>80.61</v>
      </c>
      <c r="AH19" s="46">
        <f t="shared" si="31"/>
        <v>-155613.19007039719</v>
      </c>
      <c r="AI19" s="46">
        <f t="shared" si="32"/>
        <v>-28787.5</v>
      </c>
      <c r="AJ19" s="45">
        <f t="shared" si="33"/>
        <v>99.6796875</v>
      </c>
      <c r="AK19" s="46">
        <f t="shared" si="34"/>
        <v>6093.75</v>
      </c>
      <c r="AL19" s="47">
        <f t="shared" si="35"/>
        <v>-2237.5721028645839</v>
      </c>
      <c r="AM19" s="45">
        <f t="shared" si="36"/>
        <v>109.7</v>
      </c>
      <c r="AN19" s="46">
        <f t="shared" si="37"/>
        <v>-107970.5534854134</v>
      </c>
      <c r="AO19" s="47">
        <f t="shared" si="38"/>
        <v>-29609.999999999996</v>
      </c>
      <c r="AP19" s="45">
        <f t="shared" si="39"/>
        <v>99.6796875</v>
      </c>
      <c r="AQ19" s="46">
        <f t="shared" si="40"/>
        <v>5312.5</v>
      </c>
      <c r="AR19" s="47">
        <f t="shared" si="41"/>
        <v>-1950.7038845486113</v>
      </c>
      <c r="AS19" s="45">
        <f t="shared" si="42"/>
        <v>100.234375</v>
      </c>
      <c r="AT19" s="46">
        <f t="shared" si="43"/>
        <v>8203.125</v>
      </c>
      <c r="AU19" s="47">
        <f t="shared" si="44"/>
        <v>21.455729166667879</v>
      </c>
      <c r="AV19" s="45">
        <f t="shared" si="45"/>
        <v>97.671875</v>
      </c>
      <c r="AW19" s="46">
        <f t="shared" si="46"/>
        <v>22968.750000000004</v>
      </c>
      <c r="AX19" s="47">
        <f t="shared" si="47"/>
        <v>1281.6211588541682</v>
      </c>
      <c r="AY19" s="82">
        <f t="shared" si="48"/>
        <v>-14839.566478646962</v>
      </c>
      <c r="AZ19" s="82"/>
      <c r="BA19" s="82"/>
      <c r="BB19" s="82">
        <f>$AO$4*SUM($AZ$14:AZ19)-$AP$4*SUM($BA$14:BA19)</f>
        <v>39913.439100349337</v>
      </c>
      <c r="BC19" s="82">
        <f t="shared" si="19"/>
        <v>-54753.005578996301</v>
      </c>
      <c r="BE19" s="75">
        <v>45776.625</v>
      </c>
      <c r="BF19" s="54">
        <v>79.02</v>
      </c>
      <c r="BG19" s="75">
        <v>45918.625</v>
      </c>
      <c r="BH19" s="54">
        <v>99.7890625</v>
      </c>
      <c r="BI19" s="75">
        <v>45776.625</v>
      </c>
      <c r="BJ19" s="54">
        <v>108.49</v>
      </c>
      <c r="BK19" s="75">
        <v>45918.625</v>
      </c>
      <c r="BL19" s="54">
        <v>99.7890625</v>
      </c>
      <c r="BM19" s="75">
        <v>45897.625</v>
      </c>
      <c r="BN19" s="54">
        <v>100.375</v>
      </c>
      <c r="BO19" s="75">
        <v>45898.625</v>
      </c>
      <c r="BP19" s="54">
        <v>97.34375</v>
      </c>
      <c r="BR19" s="131">
        <v>45903.625</v>
      </c>
      <c r="BS19" s="45">
        <f t="shared" si="20"/>
        <v>107.15860000000001</v>
      </c>
      <c r="BT19" s="46">
        <f t="shared" si="49"/>
        <v>-4257.9999999998108</v>
      </c>
      <c r="BU19" s="46">
        <f t="shared" si="50"/>
        <v>1944.4444444444446</v>
      </c>
      <c r="BV19" s="45">
        <f t="shared" si="51"/>
        <v>50.915999999999997</v>
      </c>
      <c r="BW19" s="46">
        <f t="shared" si="52"/>
        <v>-3361.4999999999995</v>
      </c>
      <c r="BX19" s="47">
        <f t="shared" si="53"/>
        <v>1944.4444444444443</v>
      </c>
      <c r="BY19" s="45">
        <f t="shared" si="54"/>
        <v>-896.49999999981128</v>
      </c>
      <c r="CA19" s="129">
        <v>45778.625</v>
      </c>
      <c r="CB19" s="54">
        <v>103.7897</v>
      </c>
      <c r="CC19" s="129">
        <v>45778.625</v>
      </c>
      <c r="CD19" s="54">
        <v>67.370999999999995</v>
      </c>
      <c r="CF19" s="131">
        <v>45903.625</v>
      </c>
      <c r="CG19" s="45">
        <f t="shared" si="21"/>
        <v>267.14</v>
      </c>
      <c r="CH19" s="46">
        <f t="shared" si="55"/>
        <v>6941.2444444444345</v>
      </c>
      <c r="CI19" s="46">
        <f t="shared" si="56"/>
        <v>2160.4938271604938</v>
      </c>
      <c r="CJ19" s="45">
        <f t="shared" si="57"/>
        <v>55.265000000000001</v>
      </c>
      <c r="CK19" s="46">
        <f t="shared" si="58"/>
        <v>-2244.7999999999979</v>
      </c>
      <c r="CL19" s="47">
        <f t="shared" si="59"/>
        <v>1944.4444444444443</v>
      </c>
      <c r="CM19" s="45">
        <f t="shared" si="60"/>
        <v>9402.0938271604828</v>
      </c>
      <c r="CO19" s="129">
        <v>45778.625</v>
      </c>
      <c r="CP19" s="54">
        <v>343.14400000000001</v>
      </c>
      <c r="CQ19" s="129">
        <v>45778.625</v>
      </c>
      <c r="CR19" s="54">
        <v>66.575999999999993</v>
      </c>
      <c r="CS19" s="54"/>
      <c r="CT19" s="54"/>
      <c r="CU19" s="54"/>
      <c r="CV19" s="54"/>
      <c r="CW19" s="54"/>
      <c r="CX19" s="54"/>
      <c r="CY19" s="54"/>
      <c r="DF19" s="142">
        <f t="shared" si="1"/>
        <v>45904.625</v>
      </c>
      <c r="DG19" s="58">
        <f t="shared" si="2"/>
        <v>90683.290057258215</v>
      </c>
      <c r="DH19" s="58">
        <f t="shared" si="3"/>
        <v>-112927.88124716537</v>
      </c>
      <c r="DI19" s="58">
        <v>-2325.9999999998727</v>
      </c>
      <c r="DJ19" s="58">
        <v>7675.446913580221</v>
      </c>
      <c r="DK19" s="58">
        <f t="shared" si="22"/>
        <v>-15565.6371550482</v>
      </c>
      <c r="DL19" s="58">
        <f t="shared" si="23"/>
        <v>-58174.875668169065</v>
      </c>
      <c r="DM19" s="58">
        <f t="shared" si="24"/>
        <v>-1429.5000000000614</v>
      </c>
      <c r="DN19" s="58">
        <f t="shared" si="25"/>
        <v>-1726.6469135802618</v>
      </c>
      <c r="DO19" s="58">
        <f t="shared" si="5"/>
        <v>-15565.6371550482</v>
      </c>
      <c r="DP19" s="58">
        <f t="shared" si="6"/>
        <v>-54716.794870832193</v>
      </c>
      <c r="DQ19" s="58">
        <f t="shared" si="7"/>
        <v>-80021.304655938162</v>
      </c>
      <c r="DR19" s="58">
        <f t="shared" si="8"/>
        <v>-60530.856875605532</v>
      </c>
      <c r="DS19" s="58">
        <f>SUM($DO$13:DO19)</f>
        <v>-50166.194938246859</v>
      </c>
      <c r="DT19" s="58">
        <f>SUM($DP$13:DP19)</f>
        <v>-106215.12538581621</v>
      </c>
      <c r="DU19" s="58">
        <f>SUM(DQ$13:DQ19)</f>
        <v>-130206.05430548723</v>
      </c>
      <c r="DV19" s="58">
        <f>SUM(DR$13:DR19)</f>
        <v>269077.23572671018</v>
      </c>
      <c r="DZ19" s="133">
        <v>45904.625</v>
      </c>
      <c r="EA19" s="54">
        <v>-50166.194938246859</v>
      </c>
      <c r="EB19" s="54">
        <v>-106215.12538581621</v>
      </c>
      <c r="EC19" s="54">
        <v>-130206.05430548723</v>
      </c>
      <c r="ED19" s="54">
        <v>269077.23572671018</v>
      </c>
    </row>
    <row r="20" spans="1:134" x14ac:dyDescent="0.3">
      <c r="A20" s="139">
        <v>45854.625</v>
      </c>
      <c r="B20" s="76">
        <f t="shared" si="26"/>
        <v>93.96</v>
      </c>
      <c r="C20" s="31">
        <f t="shared" si="9"/>
        <v>15974.440894567233</v>
      </c>
      <c r="D20" s="32">
        <f t="shared" si="10"/>
        <v>-23500</v>
      </c>
      <c r="E20" s="76">
        <f t="shared" si="27"/>
        <v>101.31</v>
      </c>
      <c r="F20" s="31">
        <f t="shared" si="11"/>
        <v>13800.000000000522</v>
      </c>
      <c r="G20" s="32">
        <f t="shared" si="12"/>
        <v>-8366.641333333333</v>
      </c>
      <c r="H20" s="76">
        <f t="shared" si="28"/>
        <v>121.87</v>
      </c>
      <c r="I20" s="31">
        <f t="shared" si="13"/>
        <v>-10582.444626745513</v>
      </c>
      <c r="J20" s="32">
        <f t="shared" si="14"/>
        <v>-40420</v>
      </c>
      <c r="K20" s="76">
        <f t="shared" si="29"/>
        <v>99.841999999999999</v>
      </c>
      <c r="L20" s="31">
        <f t="shared" si="15"/>
        <v>33619.999999997388</v>
      </c>
      <c r="M20" s="32">
        <f t="shared" si="16"/>
        <v>-18403.059555555559</v>
      </c>
      <c r="N20" s="82">
        <f t="shared" si="17"/>
        <v>53260.467299087381</v>
      </c>
      <c r="O20" s="82"/>
      <c r="P20" s="82"/>
      <c r="Q20" s="82">
        <f>$G$5*SUM($O$14:O20)-$H$5*SUM($P$14:P20)</f>
        <v>0</v>
      </c>
      <c r="R20" s="82">
        <f t="shared" si="18"/>
        <v>53260.467299087381</v>
      </c>
      <c r="S20" s="143"/>
      <c r="U20" s="75">
        <v>45779.625</v>
      </c>
      <c r="V20" s="54">
        <v>92.25</v>
      </c>
      <c r="W20" s="75">
        <v>45779.625</v>
      </c>
      <c r="X20" s="54">
        <v>101.658</v>
      </c>
      <c r="Y20" s="125">
        <v>45779.625</v>
      </c>
      <c r="Z20" s="54">
        <v>120.42</v>
      </c>
      <c r="AA20" s="75">
        <v>45869.625</v>
      </c>
      <c r="AB20" s="54">
        <v>99.549000000000007</v>
      </c>
      <c r="AF20" s="131">
        <v>45904.625</v>
      </c>
      <c r="AG20" s="45">
        <f t="shared" si="30"/>
        <v>80.819999999999993</v>
      </c>
      <c r="AH20" s="46">
        <f t="shared" si="31"/>
        <v>-64838.829195999482</v>
      </c>
      <c r="AI20" s="46">
        <f t="shared" si="32"/>
        <v>-32900</v>
      </c>
      <c r="AJ20" s="45">
        <f t="shared" si="33"/>
        <v>99.9140625</v>
      </c>
      <c r="AK20" s="46">
        <f t="shared" si="34"/>
        <v>51796.875000000007</v>
      </c>
      <c r="AL20" s="47">
        <f t="shared" si="35"/>
        <v>-2557.2252604166661</v>
      </c>
      <c r="AM20" s="45">
        <f t="shared" si="36"/>
        <v>110.45</v>
      </c>
      <c r="AN20" s="46">
        <f t="shared" si="37"/>
        <v>137417.06807234432</v>
      </c>
      <c r="AO20" s="47">
        <f t="shared" si="38"/>
        <v>-33840</v>
      </c>
      <c r="AP20" s="45">
        <f t="shared" si="39"/>
        <v>99.9140625</v>
      </c>
      <c r="AQ20" s="46">
        <f t="shared" si="40"/>
        <v>45156.25</v>
      </c>
      <c r="AR20" s="47">
        <f t="shared" si="41"/>
        <v>-2229.3758680555547</v>
      </c>
      <c r="AS20" s="45">
        <f t="shared" si="42"/>
        <v>100.71875</v>
      </c>
      <c r="AT20" s="46">
        <f t="shared" si="43"/>
        <v>44531.25</v>
      </c>
      <c r="AU20" s="47">
        <f t="shared" si="44"/>
        <v>24.520833333334849</v>
      </c>
      <c r="AV20" s="45">
        <f t="shared" si="45"/>
        <v>98.296875</v>
      </c>
      <c r="AW20" s="46">
        <f t="shared" si="46"/>
        <v>88593.75</v>
      </c>
      <c r="AX20" s="47">
        <f t="shared" si="47"/>
        <v>1464.7098958333336</v>
      </c>
      <c r="AY20" s="82">
        <f t="shared" si="48"/>
        <v>-73014.442146816029</v>
      </c>
      <c r="AZ20" s="82"/>
      <c r="BA20" s="82"/>
      <c r="BB20" s="82">
        <f>$AO$4*SUM($AZ$14:AZ20)-$AP$4*SUM($BA$14:BA20)</f>
        <v>39913.439100349337</v>
      </c>
      <c r="BC20" s="82">
        <f t="shared" si="19"/>
        <v>-112927.88124716537</v>
      </c>
      <c r="BE20" s="75">
        <v>45777.625</v>
      </c>
      <c r="BF20" s="54">
        <v>78.599999999999994</v>
      </c>
      <c r="BG20" s="75">
        <v>45919.625</v>
      </c>
      <c r="BH20" s="54">
        <v>99.7734375</v>
      </c>
      <c r="BI20" s="75">
        <v>45777.625</v>
      </c>
      <c r="BJ20" s="54">
        <v>108</v>
      </c>
      <c r="BK20" s="75">
        <v>45919.625</v>
      </c>
      <c r="BL20" s="54">
        <v>99.7734375</v>
      </c>
      <c r="BM20" s="75">
        <v>45898.625</v>
      </c>
      <c r="BN20" s="54">
        <v>100.21875</v>
      </c>
      <c r="BO20" s="75">
        <v>45901.625</v>
      </c>
      <c r="BP20" s="54">
        <v>97.234375</v>
      </c>
      <c r="BR20" s="131">
        <v>45904.625</v>
      </c>
      <c r="BS20" s="45">
        <f t="shared" si="20"/>
        <v>107.4136</v>
      </c>
      <c r="BT20" s="46">
        <f t="shared" si="49"/>
        <v>842.00000000009823</v>
      </c>
      <c r="BU20" s="46">
        <f t="shared" si="50"/>
        <v>2222.2222222222222</v>
      </c>
      <c r="BV20" s="45">
        <f t="shared" si="51"/>
        <v>49.465000000000003</v>
      </c>
      <c r="BW20" s="46">
        <f t="shared" si="52"/>
        <v>3167.9999999999709</v>
      </c>
      <c r="BX20" s="47">
        <f t="shared" si="53"/>
        <v>2222.2222222222222</v>
      </c>
      <c r="BY20" s="45">
        <f t="shared" si="54"/>
        <v>-2325.9999999998727</v>
      </c>
      <c r="CA20" s="129">
        <v>45779.625</v>
      </c>
      <c r="CB20" s="54">
        <v>104.4299</v>
      </c>
      <c r="CC20" s="129">
        <v>45779.625</v>
      </c>
      <c r="CD20" s="54">
        <v>64.525999999999996</v>
      </c>
      <c r="CF20" s="131">
        <v>45904.625</v>
      </c>
      <c r="CG20" s="45">
        <f t="shared" si="21"/>
        <v>264.74099999999999</v>
      </c>
      <c r="CH20" s="46">
        <f t="shared" si="55"/>
        <v>9286.9333333333234</v>
      </c>
      <c r="CI20" s="46">
        <f t="shared" si="56"/>
        <v>2469.1358024691358</v>
      </c>
      <c r="CJ20" s="45">
        <f t="shared" si="57"/>
        <v>54.372999999999998</v>
      </c>
      <c r="CK20" s="46">
        <f t="shared" si="58"/>
        <v>1858.400000000016</v>
      </c>
      <c r="CL20" s="47">
        <f t="shared" si="59"/>
        <v>2222.2222222222222</v>
      </c>
      <c r="CM20" s="45">
        <f t="shared" si="60"/>
        <v>7675.446913580221</v>
      </c>
      <c r="CO20" s="129">
        <v>45779.625</v>
      </c>
      <c r="CP20" s="54">
        <v>333.99900000000002</v>
      </c>
      <c r="CQ20" s="129">
        <v>45779.625</v>
      </c>
      <c r="CR20" s="54">
        <v>64.894000000000005</v>
      </c>
      <c r="CS20" s="54"/>
      <c r="CT20" s="54"/>
      <c r="CU20" s="54"/>
      <c r="CV20" s="54"/>
      <c r="CW20" s="54"/>
      <c r="CX20" s="54"/>
      <c r="CY20" s="54"/>
      <c r="DF20" s="142">
        <f t="shared" si="1"/>
        <v>45905.625</v>
      </c>
      <c r="DG20" s="58">
        <f t="shared" si="2"/>
        <v>74303.433500671643</v>
      </c>
      <c r="DH20" s="58">
        <f t="shared" si="3"/>
        <v>-141464.29486208732</v>
      </c>
      <c r="DI20" s="58">
        <v>-2571.9999999998749</v>
      </c>
      <c r="DJ20" s="58">
        <v>7580.9999999999818</v>
      </c>
      <c r="DK20" s="58">
        <f t="shared" si="22"/>
        <v>-16379.856556586572</v>
      </c>
      <c r="DL20" s="58">
        <f t="shared" si="23"/>
        <v>-28536.413614921956</v>
      </c>
      <c r="DM20" s="58">
        <f t="shared" si="24"/>
        <v>-246.00000000000227</v>
      </c>
      <c r="DN20" s="58">
        <f t="shared" si="25"/>
        <v>-94.446913580239197</v>
      </c>
      <c r="DO20" s="58">
        <f t="shared" si="5"/>
        <v>-16379.856556586572</v>
      </c>
      <c r="DP20" s="58">
        <f t="shared" si="6"/>
        <v>-26840.127669946254</v>
      </c>
      <c r="DQ20" s="58">
        <f t="shared" si="7"/>
        <v>-13770.717695250176</v>
      </c>
      <c r="DR20" s="58">
        <f t="shared" si="8"/>
        <v>-3311.0142920962603</v>
      </c>
      <c r="DS20" s="58">
        <f>SUM($DO$13:DO20)</f>
        <v>-66546.051494833431</v>
      </c>
      <c r="DT20" s="58">
        <f>SUM($DP$13:DP20)</f>
        <v>-133055.25305576247</v>
      </c>
      <c r="DU20" s="58">
        <f>SUM(DQ$13:DQ20)</f>
        <v>-143976.7720007374</v>
      </c>
      <c r="DV20" s="58">
        <f>SUM(DR$13:DR20)</f>
        <v>265766.22143461392</v>
      </c>
      <c r="DZ20" s="133">
        <v>45905.625</v>
      </c>
      <c r="EA20" s="54">
        <v>-66546.051494833431</v>
      </c>
      <c r="EB20" s="54">
        <v>-133055.25305576247</v>
      </c>
      <c r="EC20" s="54">
        <v>-143976.7720007374</v>
      </c>
      <c r="ED20" s="54">
        <v>265766.22143461392</v>
      </c>
    </row>
    <row r="21" spans="1:134" x14ac:dyDescent="0.3">
      <c r="A21" s="139">
        <v>45855.625</v>
      </c>
      <c r="B21" s="76">
        <f t="shared" si="26"/>
        <v>94.08</v>
      </c>
      <c r="C21" s="31">
        <f t="shared" si="9"/>
        <v>47923.322683701699</v>
      </c>
      <c r="D21" s="32">
        <f t="shared" si="10"/>
        <v>-26437.5</v>
      </c>
      <c r="E21" s="76">
        <f t="shared" si="27"/>
        <v>101.328</v>
      </c>
      <c r="F21" s="31">
        <f t="shared" si="11"/>
        <v>17400.000000000658</v>
      </c>
      <c r="G21" s="32">
        <f t="shared" si="12"/>
        <v>-9412.4714999999978</v>
      </c>
      <c r="H21" s="76">
        <f t="shared" si="28"/>
        <v>120.13</v>
      </c>
      <c r="I21" s="31">
        <f t="shared" si="13"/>
        <v>-624364.23297785642</v>
      </c>
      <c r="J21" s="32">
        <f t="shared" si="14"/>
        <v>-45472.5</v>
      </c>
      <c r="K21" s="76">
        <f t="shared" si="29"/>
        <v>99.9</v>
      </c>
      <c r="L21" s="31">
        <f t="shared" si="15"/>
        <v>57400.000000000233</v>
      </c>
      <c r="M21" s="32">
        <f t="shared" si="16"/>
        <v>-20703.442000000003</v>
      </c>
      <c r="N21" s="82">
        <f t="shared" si="17"/>
        <v>720031.58516155765</v>
      </c>
      <c r="O21" s="82"/>
      <c r="P21" s="82">
        <v>1.9446000000000001</v>
      </c>
      <c r="Q21" s="82">
        <f>$G$5*SUM($O$14:O21)-$H$5*SUM($P$14:P21)</f>
        <v>-685953.76080000005</v>
      </c>
      <c r="R21" s="82">
        <f t="shared" si="18"/>
        <v>34077.824361557607</v>
      </c>
      <c r="S21" s="143"/>
      <c r="U21" s="75">
        <v>45783.625</v>
      </c>
      <c r="V21" s="54">
        <v>92.25</v>
      </c>
      <c r="W21" s="75">
        <v>45782.625</v>
      </c>
      <c r="X21" s="54">
        <v>101.652</v>
      </c>
      <c r="Y21" s="125">
        <v>45783.625</v>
      </c>
      <c r="Z21" s="54">
        <v>120.4</v>
      </c>
      <c r="AA21" s="75">
        <v>45870.625</v>
      </c>
      <c r="AB21" s="54">
        <v>99.751000000000005</v>
      </c>
      <c r="AF21" s="131">
        <v>45905.625</v>
      </c>
      <c r="AG21" s="45">
        <f t="shared" si="30"/>
        <v>80.87</v>
      </c>
      <c r="AH21" s="46">
        <f t="shared" si="31"/>
        <v>-43225.886130665029</v>
      </c>
      <c r="AI21" s="46">
        <f t="shared" si="32"/>
        <v>-37012.5</v>
      </c>
      <c r="AJ21" s="45">
        <f t="shared" si="33"/>
        <v>100.1328125</v>
      </c>
      <c r="AK21" s="46">
        <f t="shared" si="34"/>
        <v>94453.125</v>
      </c>
      <c r="AL21" s="47">
        <f t="shared" si="35"/>
        <v>-2876.87841796875</v>
      </c>
      <c r="AM21" s="45">
        <f t="shared" si="36"/>
        <v>111.17</v>
      </c>
      <c r="AN21" s="46">
        <f t="shared" si="37"/>
        <v>372989.18476779177</v>
      </c>
      <c r="AO21" s="47">
        <f t="shared" si="38"/>
        <v>-38070</v>
      </c>
      <c r="AP21" s="45">
        <f t="shared" si="39"/>
        <v>100.1328125</v>
      </c>
      <c r="AQ21" s="46">
        <f t="shared" si="40"/>
        <v>82343.75</v>
      </c>
      <c r="AR21" s="47">
        <f t="shared" si="41"/>
        <v>-2508.0478515625018</v>
      </c>
      <c r="AS21" s="45">
        <f t="shared" si="42"/>
        <v>101.3125</v>
      </c>
      <c r="AT21" s="46">
        <f t="shared" si="43"/>
        <v>89062.5</v>
      </c>
      <c r="AU21" s="47">
        <f t="shared" si="44"/>
        <v>27.585937500001819</v>
      </c>
      <c r="AV21" s="45">
        <f t="shared" si="45"/>
        <v>99.6875</v>
      </c>
      <c r="AW21" s="46">
        <f t="shared" si="46"/>
        <v>234609.375</v>
      </c>
      <c r="AX21" s="47">
        <f t="shared" si="47"/>
        <v>1647.7986328125007</v>
      </c>
      <c r="AY21" s="82">
        <f t="shared" si="48"/>
        <v>-101550.85576173798</v>
      </c>
      <c r="AZ21" s="82"/>
      <c r="BA21" s="82"/>
      <c r="BB21" s="82">
        <f>$AO$4*SUM($AZ$14:AZ21)-$AP$4*SUM($BA$14:BA21)</f>
        <v>39913.439100349337</v>
      </c>
      <c r="BC21" s="82">
        <f t="shared" si="19"/>
        <v>-141464.29486208732</v>
      </c>
      <c r="BE21" s="75">
        <v>45778.625</v>
      </c>
      <c r="BF21" s="54">
        <v>78.3</v>
      </c>
      <c r="BG21" s="75">
        <v>45922.625</v>
      </c>
      <c r="BH21" s="54">
        <v>99.65625</v>
      </c>
      <c r="BI21" s="75">
        <v>45778.625</v>
      </c>
      <c r="BJ21" s="54">
        <v>107.17</v>
      </c>
      <c r="BK21" s="75">
        <v>45922.625</v>
      </c>
      <c r="BL21" s="54">
        <v>99.65625</v>
      </c>
      <c r="BM21" s="75">
        <v>45901.625</v>
      </c>
      <c r="BN21" s="54">
        <v>100.171875</v>
      </c>
      <c r="BO21" s="75">
        <v>45902.625</v>
      </c>
      <c r="BP21" s="54">
        <v>96.65625</v>
      </c>
      <c r="BR21" s="131">
        <v>45905.625</v>
      </c>
      <c r="BS21" s="45">
        <f t="shared" si="20"/>
        <v>107.2762</v>
      </c>
      <c r="BT21" s="46">
        <f t="shared" si="49"/>
        <v>-1905.9999999998922</v>
      </c>
      <c r="BU21" s="46">
        <f t="shared" si="50"/>
        <v>2500</v>
      </c>
      <c r="BV21" s="45">
        <f t="shared" si="51"/>
        <v>50.021000000000001</v>
      </c>
      <c r="BW21" s="46">
        <f t="shared" si="52"/>
        <v>665.99999999998261</v>
      </c>
      <c r="BX21" s="47">
        <f t="shared" si="53"/>
        <v>2500</v>
      </c>
      <c r="BY21" s="45">
        <f t="shared" si="54"/>
        <v>-2571.9999999998749</v>
      </c>
      <c r="CA21" s="129">
        <v>45782.625</v>
      </c>
      <c r="CB21" s="54">
        <v>104.6127</v>
      </c>
      <c r="CC21" s="129">
        <v>45782.625</v>
      </c>
      <c r="CD21" s="54">
        <v>63.378</v>
      </c>
      <c r="CF21" s="131">
        <v>45905.625</v>
      </c>
      <c r="CG21" s="45">
        <f t="shared" si="21"/>
        <v>263.56599999999997</v>
      </c>
      <c r="CH21" s="46">
        <f t="shared" si="55"/>
        <v>10435.822222222225</v>
      </c>
      <c r="CI21" s="46">
        <f t="shared" si="56"/>
        <v>2777.7777777777778</v>
      </c>
      <c r="CJ21" s="45">
        <f t="shared" si="57"/>
        <v>54.095999999999997</v>
      </c>
      <c r="CK21" s="46">
        <f t="shared" si="58"/>
        <v>3132.6000000000204</v>
      </c>
      <c r="CL21" s="47">
        <f t="shared" si="59"/>
        <v>2500</v>
      </c>
      <c r="CM21" s="45">
        <f t="shared" si="60"/>
        <v>7580.9999999999818</v>
      </c>
      <c r="CO21" s="129">
        <v>45783.625</v>
      </c>
      <c r="CP21" s="54">
        <v>331.04300000000001</v>
      </c>
      <c r="CQ21" s="129">
        <v>45783.625</v>
      </c>
      <c r="CR21" s="54">
        <v>64.090999999999994</v>
      </c>
      <c r="CS21" s="54"/>
      <c r="CT21" s="54"/>
      <c r="CU21" s="54"/>
      <c r="CV21" s="54"/>
      <c r="CW21" s="54"/>
      <c r="CX21" s="54"/>
      <c r="CY21" s="54"/>
      <c r="DF21" s="142">
        <f t="shared" si="1"/>
        <v>45908.625</v>
      </c>
      <c r="DG21" s="58">
        <f t="shared" si="2"/>
        <v>65592.368060628069</v>
      </c>
      <c r="DH21" s="58">
        <f t="shared" si="3"/>
        <v>-105414.76552654452</v>
      </c>
      <c r="DI21" s="58">
        <v>-3430.9999999998863</v>
      </c>
      <c r="DJ21" s="58">
        <v>6581.1481481481451</v>
      </c>
      <c r="DK21" s="58">
        <f t="shared" si="22"/>
        <v>-8711.0654400435742</v>
      </c>
      <c r="DL21" s="58">
        <f t="shared" si="23"/>
        <v>36049.5293355428</v>
      </c>
      <c r="DM21" s="58">
        <f t="shared" si="24"/>
        <v>-859.00000000001137</v>
      </c>
      <c r="DN21" s="58">
        <f t="shared" si="25"/>
        <v>-999.85185185183673</v>
      </c>
      <c r="DO21" s="58">
        <f t="shared" si="5"/>
        <v>-8711.0654400435742</v>
      </c>
      <c r="DP21" s="58">
        <f t="shared" si="6"/>
        <v>33906.642329486283</v>
      </c>
      <c r="DQ21" s="58">
        <f t="shared" si="7"/>
        <v>-48085.554878942879</v>
      </c>
      <c r="DR21" s="58">
        <f t="shared" si="8"/>
        <v>-35051.688254988076</v>
      </c>
      <c r="DS21" s="58">
        <f>SUM($DO$13:DO21)</f>
        <v>-75257.116934877005</v>
      </c>
      <c r="DT21" s="58">
        <f>SUM($DP$13:DP21)</f>
        <v>-99148.61072627618</v>
      </c>
      <c r="DU21" s="58">
        <f>SUM(DQ$13:DQ21)</f>
        <v>-192062.32687968027</v>
      </c>
      <c r="DV21" s="58">
        <f>SUM(DR$13:DR21)</f>
        <v>230714.53317962584</v>
      </c>
      <c r="DZ21" s="133">
        <v>45908.625</v>
      </c>
      <c r="EA21" s="54">
        <v>-75257.116934877005</v>
      </c>
      <c r="EB21" s="54">
        <v>-99148.61072627618</v>
      </c>
      <c r="EC21" s="54">
        <v>-192062.32687968027</v>
      </c>
      <c r="ED21" s="54">
        <v>230714.53317962584</v>
      </c>
    </row>
    <row r="22" spans="1:134" x14ac:dyDescent="0.3">
      <c r="A22" s="139">
        <v>45856.625</v>
      </c>
      <c r="B22" s="76">
        <f t="shared" si="26"/>
        <v>94.09</v>
      </c>
      <c r="C22" s="31">
        <f t="shared" si="9"/>
        <v>50585.72949946938</v>
      </c>
      <c r="D22" s="32">
        <f t="shared" si="10"/>
        <v>-29374.999999999996</v>
      </c>
      <c r="E22" s="76">
        <f t="shared" si="27"/>
        <v>101.28</v>
      </c>
      <c r="F22" s="31">
        <f t="shared" si="11"/>
        <v>7800.0000000002956</v>
      </c>
      <c r="G22" s="32">
        <f t="shared" si="12"/>
        <v>-10458.301666666663</v>
      </c>
      <c r="H22" s="76">
        <f t="shared" si="28"/>
        <v>120.01</v>
      </c>
      <c r="I22" s="31">
        <f t="shared" si="13"/>
        <v>-666694.01148482412</v>
      </c>
      <c r="J22" s="32">
        <f t="shared" si="14"/>
        <v>-50524.999999999993</v>
      </c>
      <c r="K22" s="76">
        <f t="shared" si="29"/>
        <v>99.805999999999997</v>
      </c>
      <c r="L22" s="31">
        <f t="shared" si="15"/>
        <v>18859.999999996831</v>
      </c>
      <c r="M22" s="32">
        <f t="shared" si="16"/>
        <v>-23003.824444444439</v>
      </c>
      <c r="N22" s="82">
        <f t="shared" si="17"/>
        <v>736944.21820651239</v>
      </c>
      <c r="O22" s="82"/>
      <c r="P22" s="82"/>
      <c r="Q22" s="82">
        <f>$G$5*SUM($O$14:O22)-$H$5*SUM($P$14:P22)</f>
        <v>-685953.76080000005</v>
      </c>
      <c r="R22" s="82">
        <f t="shared" si="18"/>
        <v>50990.457406512345</v>
      </c>
      <c r="S22" s="143"/>
      <c r="U22" s="75">
        <v>45784.625</v>
      </c>
      <c r="V22" s="54">
        <v>92.3</v>
      </c>
      <c r="W22" s="75">
        <v>45783.625</v>
      </c>
      <c r="X22" s="54">
        <v>101.666</v>
      </c>
      <c r="Y22" s="125">
        <v>45785.625</v>
      </c>
      <c r="Z22" s="54">
        <v>120.69</v>
      </c>
      <c r="AA22" s="75">
        <v>45873.625</v>
      </c>
      <c r="AB22" s="54">
        <v>99.884</v>
      </c>
      <c r="AF22" s="131">
        <v>45908.625</v>
      </c>
      <c r="AG22" s="45">
        <f t="shared" si="30"/>
        <v>80.87</v>
      </c>
      <c r="AH22" s="46">
        <f t="shared" si="31"/>
        <v>-43225.886130665029</v>
      </c>
      <c r="AI22" s="46">
        <f t="shared" si="32"/>
        <v>-49350</v>
      </c>
      <c r="AJ22" s="45">
        <f t="shared" si="33"/>
        <v>100.265625</v>
      </c>
      <c r="AK22" s="46">
        <f t="shared" si="34"/>
        <v>120351.5625</v>
      </c>
      <c r="AL22" s="47">
        <f t="shared" si="35"/>
        <v>-3835.837890625</v>
      </c>
      <c r="AM22" s="45">
        <f t="shared" si="36"/>
        <v>111.56</v>
      </c>
      <c r="AN22" s="46">
        <f t="shared" si="37"/>
        <v>500590.7479778218</v>
      </c>
      <c r="AO22" s="47">
        <f t="shared" si="38"/>
        <v>-50760</v>
      </c>
      <c r="AP22" s="45">
        <f t="shared" si="39"/>
        <v>100.265625</v>
      </c>
      <c r="AQ22" s="46">
        <f t="shared" si="40"/>
        <v>104921.875</v>
      </c>
      <c r="AR22" s="47">
        <f t="shared" si="41"/>
        <v>-3344.0638020833321</v>
      </c>
      <c r="AS22" s="45">
        <f t="shared" si="42"/>
        <v>101.6875</v>
      </c>
      <c r="AT22" s="46">
        <f t="shared" si="43"/>
        <v>117187.5</v>
      </c>
      <c r="AU22" s="47">
        <f t="shared" si="44"/>
        <v>36.78125</v>
      </c>
      <c r="AV22" s="45">
        <f t="shared" si="45"/>
        <v>101</v>
      </c>
      <c r="AW22" s="46">
        <f t="shared" si="46"/>
        <v>372421.875</v>
      </c>
      <c r="AX22" s="47">
        <f t="shared" si="47"/>
        <v>2197.0648437500022</v>
      </c>
      <c r="AY22" s="82">
        <f t="shared" si="48"/>
        <v>-65501.326426195184</v>
      </c>
      <c r="AZ22" s="82"/>
      <c r="BA22" s="82"/>
      <c r="BB22" s="82">
        <f>$AO$4*SUM($AZ$14:AZ22)-$AP$4*SUM($BA$14:BA22)</f>
        <v>39913.439100349337</v>
      </c>
      <c r="BC22" s="82">
        <f t="shared" si="19"/>
        <v>-105414.76552654452</v>
      </c>
      <c r="BE22" s="75">
        <v>45779.625</v>
      </c>
      <c r="BF22" s="54">
        <v>78.540000000000006</v>
      </c>
      <c r="BG22" s="75">
        <v>45923.625</v>
      </c>
      <c r="BH22" s="54">
        <v>99.796875</v>
      </c>
      <c r="BI22" s="75">
        <v>45779.625</v>
      </c>
      <c r="BJ22" s="54">
        <v>106.91</v>
      </c>
      <c r="BK22" s="75">
        <v>45923.625</v>
      </c>
      <c r="BL22" s="54">
        <v>99.796875</v>
      </c>
      <c r="BM22" s="75">
        <v>45902.625</v>
      </c>
      <c r="BN22" s="54">
        <v>99.859375</v>
      </c>
      <c r="BO22" s="75">
        <v>45903.625</v>
      </c>
      <c r="BP22" s="54">
        <v>97.671875</v>
      </c>
      <c r="BR22" s="131">
        <v>45908.625</v>
      </c>
      <c r="BS22" s="45">
        <f t="shared" si="20"/>
        <v>107.2625</v>
      </c>
      <c r="BT22" s="46">
        <f t="shared" si="49"/>
        <v>-2179.9999999998931</v>
      </c>
      <c r="BU22" s="46">
        <f t="shared" si="50"/>
        <v>3333.3333333333339</v>
      </c>
      <c r="BV22" s="45">
        <f t="shared" si="51"/>
        <v>49.890999999999998</v>
      </c>
      <c r="BW22" s="46">
        <f t="shared" si="52"/>
        <v>1250.9999999999941</v>
      </c>
      <c r="BX22" s="47">
        <f t="shared" si="53"/>
        <v>3333.333333333333</v>
      </c>
      <c r="BY22" s="45">
        <f t="shared" si="54"/>
        <v>-3430.9999999998863</v>
      </c>
      <c r="CA22" s="129">
        <v>45783.625</v>
      </c>
      <c r="CB22" s="54">
        <v>104.3732</v>
      </c>
      <c r="CC22" s="129">
        <v>45783.625</v>
      </c>
      <c r="CD22" s="54">
        <v>64.171999999999997</v>
      </c>
      <c r="CF22" s="131">
        <v>45908.625</v>
      </c>
      <c r="CG22" s="45">
        <f t="shared" si="21"/>
        <v>261.50299999999999</v>
      </c>
      <c r="CH22" s="46">
        <f t="shared" si="55"/>
        <v>12452.977777777769</v>
      </c>
      <c r="CI22" s="46">
        <f t="shared" si="56"/>
        <v>3703.7037037037039</v>
      </c>
      <c r="CJ22" s="45">
        <f t="shared" si="57"/>
        <v>53.42</v>
      </c>
      <c r="CK22" s="46">
        <f t="shared" si="58"/>
        <v>6242.1999999999962</v>
      </c>
      <c r="CL22" s="47">
        <f t="shared" si="59"/>
        <v>3333.333333333333</v>
      </c>
      <c r="CM22" s="45">
        <f t="shared" si="60"/>
        <v>6581.1481481481451</v>
      </c>
      <c r="CO22" s="129">
        <v>45784.625</v>
      </c>
      <c r="CP22" s="54">
        <v>331.15199999999999</v>
      </c>
      <c r="CQ22" s="129">
        <v>45784.625</v>
      </c>
      <c r="CR22" s="54">
        <v>64.108999999999995</v>
      </c>
      <c r="CS22" s="54"/>
      <c r="CT22" s="54"/>
      <c r="CU22" s="54"/>
      <c r="CV22" s="54"/>
      <c r="CW22" s="54"/>
      <c r="CX22" s="54"/>
      <c r="CY22" s="54"/>
      <c r="DF22" s="142">
        <f t="shared" si="1"/>
        <v>45909.625</v>
      </c>
      <c r="DG22" s="58">
        <f t="shared" si="2"/>
        <v>43316.193147450918</v>
      </c>
      <c r="DH22" s="58">
        <f t="shared" si="3"/>
        <v>-155567.97894688469</v>
      </c>
      <c r="DI22" s="58">
        <v>-4702.9999999998254</v>
      </c>
      <c r="DJ22" s="58">
        <v>5223.5679012345772</v>
      </c>
      <c r="DK22" s="58">
        <f t="shared" si="22"/>
        <v>-22276.17491317715</v>
      </c>
      <c r="DL22" s="58">
        <f t="shared" si="23"/>
        <v>-50153.213420340166</v>
      </c>
      <c r="DM22" s="58">
        <f t="shared" si="24"/>
        <v>-1271.9999999999391</v>
      </c>
      <c r="DN22" s="58">
        <f t="shared" si="25"/>
        <v>-1357.5802469135679</v>
      </c>
      <c r="DO22" s="58">
        <f t="shared" si="5"/>
        <v>-22276.17491317715</v>
      </c>
      <c r="DP22" s="58">
        <f t="shared" si="6"/>
        <v>-47171.963142421439</v>
      </c>
      <c r="DQ22" s="58">
        <f t="shared" si="7"/>
        <v>-71204.686619338303</v>
      </c>
      <c r="DR22" s="58">
        <f t="shared" si="8"/>
        <v>-47592.530341180573</v>
      </c>
      <c r="DS22" s="58">
        <f>SUM($DO$13:DO22)</f>
        <v>-97533.291848054156</v>
      </c>
      <c r="DT22" s="58">
        <f>SUM($DP$13:DP22)</f>
        <v>-146320.57386869763</v>
      </c>
      <c r="DU22" s="58">
        <f>SUM(DQ$13:DQ22)</f>
        <v>-263267.01349901856</v>
      </c>
      <c r="DV22" s="58">
        <f>SUM(DR$13:DR22)</f>
        <v>183122.00283844527</v>
      </c>
      <c r="DZ22" s="133">
        <v>45909.625</v>
      </c>
      <c r="EA22" s="54">
        <v>-97533.291848054156</v>
      </c>
      <c r="EB22" s="54">
        <v>-146320.57386869763</v>
      </c>
      <c r="EC22" s="54">
        <v>-263267.01349901856</v>
      </c>
      <c r="ED22" s="54">
        <v>183122.00283844527</v>
      </c>
    </row>
    <row r="23" spans="1:134" x14ac:dyDescent="0.3">
      <c r="A23" s="139">
        <v>45859.625</v>
      </c>
      <c r="B23" s="76">
        <f t="shared" si="26"/>
        <v>94.13</v>
      </c>
      <c r="C23" s="31">
        <f t="shared" si="9"/>
        <v>61235.356762512347</v>
      </c>
      <c r="D23" s="32">
        <f t="shared" si="10"/>
        <v>-38187.499999999993</v>
      </c>
      <c r="E23" s="76">
        <f t="shared" si="27"/>
        <v>101.45</v>
      </c>
      <c r="F23" s="31">
        <f t="shared" si="11"/>
        <v>41800.00000000064</v>
      </c>
      <c r="G23" s="32">
        <f t="shared" si="12"/>
        <v>-13595.792166666666</v>
      </c>
      <c r="H23" s="76">
        <f t="shared" si="28"/>
        <v>120.31</v>
      </c>
      <c r="I23" s="31">
        <f t="shared" si="13"/>
        <v>-560869.56521739287</v>
      </c>
      <c r="J23" s="32">
        <f t="shared" si="14"/>
        <v>-65682.499999999985</v>
      </c>
      <c r="K23" s="76">
        <f t="shared" si="29"/>
        <v>100.142</v>
      </c>
      <c r="L23" s="31">
        <f t="shared" si="15"/>
        <v>156619.99999999625</v>
      </c>
      <c r="M23" s="32">
        <f t="shared" si="16"/>
        <v>-29904.971777777781</v>
      </c>
      <c r="N23" s="82">
        <f t="shared" si="17"/>
        <v>748110.74236878974</v>
      </c>
      <c r="O23" s="82"/>
      <c r="P23" s="82"/>
      <c r="Q23" s="82">
        <f>$G$5*SUM($O$14:O23)-$H$5*SUM($P$14:P23)</f>
        <v>-685953.76080000005</v>
      </c>
      <c r="R23" s="82">
        <f t="shared" si="18"/>
        <v>62156.981568789692</v>
      </c>
      <c r="S23" s="143"/>
      <c r="U23" s="75">
        <v>45785.625</v>
      </c>
      <c r="V23" s="54">
        <v>92.52</v>
      </c>
      <c r="W23" s="75">
        <v>45784.625</v>
      </c>
      <c r="X23" s="54">
        <v>101.788</v>
      </c>
      <c r="Y23" s="125">
        <v>45786.625</v>
      </c>
      <c r="Z23" s="54">
        <v>120.68</v>
      </c>
      <c r="AA23" s="75">
        <v>45874.625</v>
      </c>
      <c r="AB23" s="54">
        <v>99.923000000000002</v>
      </c>
      <c r="AF23" s="131">
        <v>45909.625</v>
      </c>
      <c r="AG23" s="45">
        <f t="shared" si="30"/>
        <v>80.78</v>
      </c>
      <c r="AH23" s="46">
        <f t="shared" si="31"/>
        <v>-82129.183648262377</v>
      </c>
      <c r="AI23" s="46">
        <f t="shared" si="32"/>
        <v>-53462.499999999993</v>
      </c>
      <c r="AJ23" s="45">
        <f t="shared" si="33"/>
        <v>100.09375</v>
      </c>
      <c r="AK23" s="46">
        <f t="shared" si="34"/>
        <v>86835.937499999985</v>
      </c>
      <c r="AL23" s="47">
        <f t="shared" si="35"/>
        <v>-4155.4910481770821</v>
      </c>
      <c r="AM23" s="45">
        <f t="shared" si="36"/>
        <v>111.36</v>
      </c>
      <c r="AN23" s="46">
        <f t="shared" si="37"/>
        <v>435154.04889575572</v>
      </c>
      <c r="AO23" s="47">
        <f t="shared" si="38"/>
        <v>-54989.999999999985</v>
      </c>
      <c r="AP23" s="45">
        <f t="shared" si="39"/>
        <v>100.09375</v>
      </c>
      <c r="AQ23" s="46">
        <f t="shared" si="40"/>
        <v>75703.125</v>
      </c>
      <c r="AR23" s="47">
        <f t="shared" si="41"/>
        <v>-3622.7357855902774</v>
      </c>
      <c r="AS23" s="45">
        <f t="shared" si="42"/>
        <v>101.390625</v>
      </c>
      <c r="AT23" s="46">
        <f t="shared" si="43"/>
        <v>94921.875</v>
      </c>
      <c r="AU23" s="47">
        <f t="shared" si="44"/>
        <v>39.846354166667879</v>
      </c>
      <c r="AV23" s="45">
        <f t="shared" si="45"/>
        <v>100.4375</v>
      </c>
      <c r="AW23" s="46">
        <f t="shared" si="46"/>
        <v>313359.375</v>
      </c>
      <c r="AX23" s="47">
        <f t="shared" si="47"/>
        <v>2380.1535807291657</v>
      </c>
      <c r="AY23" s="82">
        <f t="shared" si="48"/>
        <v>-115654.53984653535</v>
      </c>
      <c r="AZ23" s="82"/>
      <c r="BA23" s="82"/>
      <c r="BB23" s="82">
        <f>$AO$4*SUM($AZ$14:AZ23)-$AP$4*SUM($BA$14:BA23)</f>
        <v>39913.439100349337</v>
      </c>
      <c r="BC23" s="82">
        <f t="shared" si="19"/>
        <v>-155567.97894688469</v>
      </c>
      <c r="BE23" s="75">
        <v>45782.625</v>
      </c>
      <c r="BF23" s="54">
        <v>78.510000000000005</v>
      </c>
      <c r="BG23" s="75">
        <v>45924.625</v>
      </c>
      <c r="BH23" s="54">
        <v>99.6015625</v>
      </c>
      <c r="BI23" s="75">
        <v>45782.625</v>
      </c>
      <c r="BJ23" s="54">
        <v>106.76</v>
      </c>
      <c r="BK23" s="75">
        <v>45924.625</v>
      </c>
      <c r="BL23" s="54">
        <v>99.6015625</v>
      </c>
      <c r="BM23" s="75">
        <v>45903.625</v>
      </c>
      <c r="BN23" s="54">
        <v>100.234375</v>
      </c>
      <c r="BO23" s="75">
        <v>45904.625</v>
      </c>
      <c r="BP23" s="54">
        <v>98.296875</v>
      </c>
      <c r="BR23" s="131">
        <v>45909.625</v>
      </c>
      <c r="BS23" s="45">
        <f t="shared" si="20"/>
        <v>107.24930000000001</v>
      </c>
      <c r="BT23" s="46">
        <f t="shared" si="49"/>
        <v>-2443.9999999998463</v>
      </c>
      <c r="BU23" s="46">
        <f t="shared" si="50"/>
        <v>3611.1111111111113</v>
      </c>
      <c r="BV23" s="45">
        <f t="shared" si="51"/>
        <v>49.667000000000002</v>
      </c>
      <c r="BW23" s="46">
        <f t="shared" si="52"/>
        <v>2258.9999999999791</v>
      </c>
      <c r="BX23" s="47">
        <f t="shared" si="53"/>
        <v>3611.1111111111109</v>
      </c>
      <c r="BY23" s="45">
        <f t="shared" si="54"/>
        <v>-4702.9999999998254</v>
      </c>
      <c r="CA23" s="129">
        <v>45784.625</v>
      </c>
      <c r="CB23" s="54">
        <v>104.47369999999999</v>
      </c>
      <c r="CC23" s="129">
        <v>45784.625</v>
      </c>
      <c r="CD23" s="54">
        <v>63.649000000000001</v>
      </c>
      <c r="CF23" s="131">
        <v>45909.625</v>
      </c>
      <c r="CG23" s="45">
        <f t="shared" si="21"/>
        <v>261.88799999999998</v>
      </c>
      <c r="CH23" s="46">
        <f t="shared" si="55"/>
        <v>12076.533333333333</v>
      </c>
      <c r="CI23" s="46">
        <f t="shared" si="56"/>
        <v>4012.345679012345</v>
      </c>
      <c r="CJ23" s="45">
        <f t="shared" si="57"/>
        <v>53.2</v>
      </c>
      <c r="CK23" s="46">
        <f t="shared" si="58"/>
        <v>7254.1999999999907</v>
      </c>
      <c r="CL23" s="47">
        <f t="shared" si="59"/>
        <v>3611.1111111111109</v>
      </c>
      <c r="CM23" s="45">
        <f t="shared" si="60"/>
        <v>5223.5679012345772</v>
      </c>
      <c r="CO23" s="129">
        <v>45785.625</v>
      </c>
      <c r="CP23" s="54">
        <v>326.08800000000002</v>
      </c>
      <c r="CQ23" s="129">
        <v>45785.625</v>
      </c>
      <c r="CR23" s="54">
        <v>62.965000000000003</v>
      </c>
      <c r="CS23" s="54"/>
      <c r="CT23" s="54"/>
      <c r="CU23" s="54"/>
      <c r="CV23" s="54"/>
      <c r="CW23" s="54"/>
      <c r="CX23" s="54"/>
      <c r="CY23" s="54"/>
      <c r="DF23" s="142">
        <f t="shared" si="1"/>
        <v>45910.625</v>
      </c>
      <c r="DG23" s="58">
        <f t="shared" si="2"/>
        <v>6506.9001736791106</v>
      </c>
      <c r="DH23" s="58">
        <f t="shared" si="3"/>
        <v>-162609.92823870503</v>
      </c>
      <c r="DI23" s="58">
        <v>-4960.4999999999382</v>
      </c>
      <c r="DJ23" s="58">
        <v>4782.5876543209688</v>
      </c>
      <c r="DK23" s="58">
        <f t="shared" si="22"/>
        <v>-36809.292973771808</v>
      </c>
      <c r="DL23" s="58">
        <f t="shared" si="23"/>
        <v>-7041.9492918203468</v>
      </c>
      <c r="DM23" s="58">
        <f t="shared" si="24"/>
        <v>-257.50000000011278</v>
      </c>
      <c r="DN23" s="58">
        <f t="shared" si="25"/>
        <v>-440.98024691360843</v>
      </c>
      <c r="DO23" s="58">
        <f t="shared" si="5"/>
        <v>-36809.292973771808</v>
      </c>
      <c r="DP23" s="58">
        <f t="shared" si="6"/>
        <v>-6623.3557092441461</v>
      </c>
      <c r="DQ23" s="58">
        <f t="shared" si="7"/>
        <v>-14414.470758245692</v>
      </c>
      <c r="DR23" s="58">
        <f t="shared" si="8"/>
        <v>-15459.392421782488</v>
      </c>
      <c r="DS23" s="58">
        <f>SUM($DO$13:DO23)</f>
        <v>-134342.58482182596</v>
      </c>
      <c r="DT23" s="58">
        <f>SUM($DP$13:DP23)</f>
        <v>-152943.92957794177</v>
      </c>
      <c r="DU23" s="58">
        <f>SUM(DQ$13:DQ23)</f>
        <v>-277681.48425726424</v>
      </c>
      <c r="DV23" s="58">
        <f>SUM(DR$13:DR23)</f>
        <v>167662.61041666279</v>
      </c>
      <c r="DZ23" s="133">
        <v>45910.625</v>
      </c>
      <c r="EA23" s="54">
        <v>-134342.58482182596</v>
      </c>
      <c r="EB23" s="54">
        <v>-152943.92957794177</v>
      </c>
      <c r="EC23" s="54">
        <v>-277681.48425726424</v>
      </c>
      <c r="ED23" s="54">
        <v>167662.61041666279</v>
      </c>
    </row>
    <row r="24" spans="1:134" x14ac:dyDescent="0.3">
      <c r="A24" s="139">
        <v>45860.625</v>
      </c>
      <c r="B24" s="76">
        <f t="shared" si="26"/>
        <v>94.13</v>
      </c>
      <c r="C24" s="31">
        <f t="shared" si="9"/>
        <v>61235.356762512347</v>
      </c>
      <c r="D24" s="32">
        <f t="shared" si="10"/>
        <v>-41125</v>
      </c>
      <c r="E24" s="76">
        <f t="shared" si="27"/>
        <v>101.5</v>
      </c>
      <c r="F24" s="31">
        <f t="shared" si="11"/>
        <v>51800.000000000065</v>
      </c>
      <c r="G24" s="32">
        <f t="shared" si="12"/>
        <v>-14641.622333333329</v>
      </c>
      <c r="H24" s="76">
        <f t="shared" si="28"/>
        <v>120.48</v>
      </c>
      <c r="I24" s="31">
        <f t="shared" si="13"/>
        <v>-500902.37899918098</v>
      </c>
      <c r="J24" s="32">
        <f t="shared" si="14"/>
        <v>-70735</v>
      </c>
      <c r="K24" s="76">
        <f t="shared" si="29"/>
        <v>100.247</v>
      </c>
      <c r="L24" s="31">
        <f t="shared" si="15"/>
        <v>199669.99999999785</v>
      </c>
      <c r="M24" s="32">
        <f t="shared" si="16"/>
        <v>-32205.354222222224</v>
      </c>
      <c r="N24" s="82">
        <f t="shared" si="17"/>
        <v>722054.00387280225</v>
      </c>
      <c r="O24" s="82"/>
      <c r="P24" s="82"/>
      <c r="Q24" s="82">
        <f>$G$5*SUM($O$14:O24)-$H$5*SUM($P$14:P24)</f>
        <v>-685953.76080000005</v>
      </c>
      <c r="R24" s="82">
        <f t="shared" si="18"/>
        <v>36100.243072802201</v>
      </c>
      <c r="S24" s="143"/>
      <c r="U24" s="75">
        <v>45786.625</v>
      </c>
      <c r="V24" s="54">
        <v>92.56</v>
      </c>
      <c r="W24" s="75">
        <v>45785.625</v>
      </c>
      <c r="X24" s="54">
        <v>101.69499999999999</v>
      </c>
      <c r="Y24" s="125">
        <v>45789.625</v>
      </c>
      <c r="Z24" s="54">
        <v>120.3</v>
      </c>
      <c r="AA24" s="75">
        <v>45875.625</v>
      </c>
      <c r="AB24" s="54">
        <v>99.869</v>
      </c>
      <c r="AF24" s="131">
        <v>45910.625</v>
      </c>
      <c r="AG24" s="45">
        <f t="shared" si="30"/>
        <v>80.84</v>
      </c>
      <c r="AH24" s="46">
        <f t="shared" si="31"/>
        <v>-56193.651969864142</v>
      </c>
      <c r="AI24" s="46">
        <f t="shared" si="32"/>
        <v>-57575</v>
      </c>
      <c r="AJ24" s="45">
        <f t="shared" si="33"/>
        <v>100.1640625</v>
      </c>
      <c r="AK24" s="46">
        <f t="shared" si="34"/>
        <v>100546.875</v>
      </c>
      <c r="AL24" s="47">
        <f t="shared" si="35"/>
        <v>-4475.1442057291679</v>
      </c>
      <c r="AM24" s="45">
        <f t="shared" si="36"/>
        <v>111.69</v>
      </c>
      <c r="AN24" s="46">
        <f t="shared" si="37"/>
        <v>543124.60238116514</v>
      </c>
      <c r="AO24" s="47">
        <f t="shared" si="38"/>
        <v>-59219.999999999993</v>
      </c>
      <c r="AP24" s="45">
        <f t="shared" si="39"/>
        <v>100.1640625</v>
      </c>
      <c r="AQ24" s="46">
        <f t="shared" si="40"/>
        <v>87656.25</v>
      </c>
      <c r="AR24" s="47">
        <f t="shared" si="41"/>
        <v>-3901.4077690972226</v>
      </c>
      <c r="AS24" s="45">
        <f t="shared" si="42"/>
        <v>101.6875</v>
      </c>
      <c r="AT24" s="46">
        <f t="shared" si="43"/>
        <v>117187.5</v>
      </c>
      <c r="AU24" s="47">
        <f t="shared" si="44"/>
        <v>42.911458333335759</v>
      </c>
      <c r="AV24" s="45">
        <f t="shared" si="45"/>
        <v>100.953125</v>
      </c>
      <c r="AW24" s="46">
        <f t="shared" si="46"/>
        <v>367500.00000000006</v>
      </c>
      <c r="AX24" s="47">
        <f t="shared" si="47"/>
        <v>2563.2423177083365</v>
      </c>
      <c r="AY24" s="82">
        <f t="shared" si="48"/>
        <v>-122696.4891383557</v>
      </c>
      <c r="AZ24" s="82"/>
      <c r="BA24" s="82"/>
      <c r="BB24" s="82">
        <f>$AO$4*SUM($AZ$14:AZ24)-$AP$4*SUM($BA$14:BA24)</f>
        <v>39913.439100349337</v>
      </c>
      <c r="BC24" s="82">
        <f t="shared" si="19"/>
        <v>-162609.92823870503</v>
      </c>
      <c r="BE24" s="75">
        <v>45783.625</v>
      </c>
      <c r="BF24" s="54">
        <v>78.45</v>
      </c>
      <c r="BG24" s="75">
        <v>45925.625</v>
      </c>
      <c r="BH24" s="54">
        <v>99.390625</v>
      </c>
      <c r="BI24" s="75">
        <v>45783.625</v>
      </c>
      <c r="BJ24" s="54">
        <v>106.97</v>
      </c>
      <c r="BK24" s="75">
        <v>45925.625</v>
      </c>
      <c r="BL24" s="54">
        <v>99.390625</v>
      </c>
      <c r="BM24" s="75">
        <v>45904.625</v>
      </c>
      <c r="BN24" s="54">
        <v>100.71875</v>
      </c>
      <c r="BO24" s="75">
        <v>45905.625</v>
      </c>
      <c r="BP24" s="54">
        <v>99.6875</v>
      </c>
      <c r="BR24" s="131">
        <v>45910.625</v>
      </c>
      <c r="BS24" s="45">
        <f t="shared" si="20"/>
        <v>107.3793</v>
      </c>
      <c r="BT24" s="46">
        <f t="shared" si="49"/>
        <v>156.00000000006276</v>
      </c>
      <c r="BU24" s="46">
        <f t="shared" si="50"/>
        <v>3888.8888888888891</v>
      </c>
      <c r="BV24" s="45">
        <f t="shared" si="51"/>
        <v>49.031999999999996</v>
      </c>
      <c r="BW24" s="46">
        <f t="shared" si="52"/>
        <v>5116.5000000000018</v>
      </c>
      <c r="BX24" s="47">
        <f t="shared" si="53"/>
        <v>3888.8888888888887</v>
      </c>
      <c r="BY24" s="45">
        <f t="shared" si="54"/>
        <v>-4960.4999999999382</v>
      </c>
      <c r="CA24" s="129">
        <v>45785.625</v>
      </c>
      <c r="CB24" s="54">
        <v>104.7473</v>
      </c>
      <c r="CC24" s="129">
        <v>45785.625</v>
      </c>
      <c r="CD24" s="54">
        <v>61.73</v>
      </c>
      <c r="CF24" s="131">
        <v>45910.625</v>
      </c>
      <c r="CG24" s="45">
        <f t="shared" si="21"/>
        <v>258.988</v>
      </c>
      <c r="CH24" s="46">
        <f t="shared" si="55"/>
        <v>14912.088888888866</v>
      </c>
      <c r="CI24" s="46">
        <f t="shared" si="56"/>
        <v>4320.9876543209875</v>
      </c>
      <c r="CJ24" s="45">
        <f t="shared" si="57"/>
        <v>52.481000000000002</v>
      </c>
      <c r="CK24" s="46">
        <f t="shared" si="58"/>
        <v>10561.599999999995</v>
      </c>
      <c r="CL24" s="47">
        <f t="shared" si="59"/>
        <v>3888.8888888888887</v>
      </c>
      <c r="CM24" s="45">
        <f t="shared" si="60"/>
        <v>4782.5876543209688</v>
      </c>
      <c r="CO24" s="129">
        <v>45786.625</v>
      </c>
      <c r="CP24" s="54">
        <v>322.20999999999998</v>
      </c>
      <c r="CQ24" s="129">
        <v>45786.625</v>
      </c>
      <c r="CR24" s="54">
        <v>61.750999999999998</v>
      </c>
      <c r="CS24" s="54"/>
      <c r="CT24" s="54"/>
      <c r="CU24" s="54"/>
      <c r="CV24" s="54"/>
      <c r="CW24" s="54"/>
      <c r="CX24" s="54"/>
      <c r="CY24" s="54"/>
      <c r="DF24" s="142">
        <f t="shared" si="1"/>
        <v>45911.625</v>
      </c>
      <c r="DG24" s="58">
        <f t="shared" si="2"/>
        <v>14395.108923095191</v>
      </c>
      <c r="DH24" s="58">
        <f t="shared" si="3"/>
        <v>-158527.06357556127</v>
      </c>
      <c r="DI24" s="58">
        <v>-4297.49999999998</v>
      </c>
      <c r="DJ24" s="58">
        <v>4505.7629629629282</v>
      </c>
      <c r="DK24" s="58">
        <f t="shared" si="22"/>
        <v>7888.2087494160805</v>
      </c>
      <c r="DL24" s="58">
        <f t="shared" si="23"/>
        <v>4082.8646631437587</v>
      </c>
      <c r="DM24" s="58">
        <f t="shared" si="24"/>
        <v>662.99999999995816</v>
      </c>
      <c r="DN24" s="58">
        <f t="shared" si="25"/>
        <v>-276.82469135804058</v>
      </c>
      <c r="DO24" s="58">
        <f t="shared" si="5"/>
        <v>7888.2087494160805</v>
      </c>
      <c r="DP24" s="58">
        <f t="shared" si="6"/>
        <v>3840.1675240853592</v>
      </c>
      <c r="DQ24" s="58">
        <f t="shared" si="7"/>
        <v>37113.763544513029</v>
      </c>
      <c r="DR24" s="58">
        <f t="shared" si="8"/>
        <v>-9704.6105028399725</v>
      </c>
      <c r="DS24" s="58">
        <f>SUM($DO$13:DO24)</f>
        <v>-126454.37607240988</v>
      </c>
      <c r="DT24" s="58">
        <f>SUM($DP$13:DP24)</f>
        <v>-149103.76205385642</v>
      </c>
      <c r="DU24" s="58">
        <f>SUM(DQ$13:DQ24)</f>
        <v>-240567.72071275121</v>
      </c>
      <c r="DV24" s="58">
        <f>SUM(DR$13:DR24)</f>
        <v>157957.99991382283</v>
      </c>
      <c r="DZ24" s="133">
        <v>45911.625</v>
      </c>
      <c r="EA24" s="54">
        <v>-126454.37607240988</v>
      </c>
      <c r="EB24" s="54">
        <v>-149103.76205385642</v>
      </c>
      <c r="EC24" s="54">
        <v>-240567.72071275121</v>
      </c>
      <c r="ED24" s="54">
        <v>157957.99991382283</v>
      </c>
    </row>
    <row r="25" spans="1:134" x14ac:dyDescent="0.3">
      <c r="A25" s="139">
        <v>45861.625</v>
      </c>
      <c r="B25" s="76">
        <f t="shared" si="26"/>
        <v>94.21</v>
      </c>
      <c r="C25" s="31">
        <f t="shared" si="9"/>
        <v>82534.611288603846</v>
      </c>
      <c r="D25" s="32">
        <f t="shared" si="10"/>
        <v>-44062.499999999993</v>
      </c>
      <c r="E25" s="76">
        <f t="shared" si="27"/>
        <v>101.505</v>
      </c>
      <c r="F25" s="31">
        <f t="shared" si="11"/>
        <v>52799.999999999156</v>
      </c>
      <c r="G25" s="32">
        <f t="shared" si="12"/>
        <v>-15687.452499999992</v>
      </c>
      <c r="H25" s="76">
        <f t="shared" si="28"/>
        <v>120.5</v>
      </c>
      <c r="I25" s="31">
        <f t="shared" si="13"/>
        <v>-493847.41591468715</v>
      </c>
      <c r="J25" s="32">
        <f t="shared" si="14"/>
        <v>-75787.499999999985</v>
      </c>
      <c r="K25" s="76">
        <f t="shared" si="29"/>
        <v>100.22499999999999</v>
      </c>
      <c r="L25" s="31">
        <f t="shared" si="15"/>
        <v>190649.99999999558</v>
      </c>
      <c r="M25" s="32">
        <f t="shared" si="16"/>
        <v>-34505.736666666664</v>
      </c>
      <c r="N25" s="82">
        <f t="shared" si="17"/>
        <v>727138.74303662067</v>
      </c>
      <c r="O25" s="82"/>
      <c r="P25" s="82"/>
      <c r="Q25" s="82">
        <f>$G$5*SUM($O$14:O25)-$H$5*SUM($P$14:P25)</f>
        <v>-685953.76080000005</v>
      </c>
      <c r="R25" s="82">
        <f t="shared" si="18"/>
        <v>41184.982236620621</v>
      </c>
      <c r="S25" s="143"/>
      <c r="U25" s="75">
        <v>45789.625</v>
      </c>
      <c r="V25" s="54">
        <v>92.85</v>
      </c>
      <c r="W25" s="75">
        <v>45786.625</v>
      </c>
      <c r="X25" s="54">
        <v>101.578</v>
      </c>
      <c r="Y25" s="125">
        <v>45790.625</v>
      </c>
      <c r="Z25" s="54">
        <v>120.31</v>
      </c>
      <c r="AA25" s="75">
        <v>45876.625</v>
      </c>
      <c r="AB25" s="54">
        <v>99.838999999999999</v>
      </c>
      <c r="AF25" s="131">
        <v>45911.625</v>
      </c>
      <c r="AG25" s="45">
        <f t="shared" si="30"/>
        <v>81.040000000000006</v>
      </c>
      <c r="AH25" s="46">
        <f t="shared" si="31"/>
        <v>30258.120291469793</v>
      </c>
      <c r="AI25" s="46">
        <f t="shared" si="32"/>
        <v>-61687.499999999993</v>
      </c>
      <c r="AJ25" s="45">
        <f t="shared" si="33"/>
        <v>100.1640625</v>
      </c>
      <c r="AK25" s="46">
        <f t="shared" si="34"/>
        <v>100546.875</v>
      </c>
      <c r="AL25" s="47">
        <f t="shared" si="35"/>
        <v>-4794.7973632812536</v>
      </c>
      <c r="AM25" s="45">
        <f t="shared" si="36"/>
        <v>112.21</v>
      </c>
      <c r="AN25" s="46">
        <f t="shared" si="37"/>
        <v>713260.01999454643</v>
      </c>
      <c r="AO25" s="47">
        <f t="shared" si="38"/>
        <v>-63449.999999999993</v>
      </c>
      <c r="AP25" s="45">
        <f t="shared" si="39"/>
        <v>100.1640625</v>
      </c>
      <c r="AQ25" s="46">
        <f t="shared" si="40"/>
        <v>87656.25</v>
      </c>
      <c r="AR25" s="47">
        <f t="shared" si="41"/>
        <v>-4180.0797526041679</v>
      </c>
      <c r="AS25" s="45">
        <f t="shared" si="42"/>
        <v>101.890625</v>
      </c>
      <c r="AT25" s="46">
        <f t="shared" si="43"/>
        <v>132421.875</v>
      </c>
      <c r="AU25" s="47">
        <f t="shared" si="44"/>
        <v>45.976562500001819</v>
      </c>
      <c r="AV25" s="45">
        <f t="shared" si="45"/>
        <v>101.640625</v>
      </c>
      <c r="AW25" s="46">
        <f t="shared" si="46"/>
        <v>439687.5</v>
      </c>
      <c r="AX25" s="47">
        <f t="shared" si="47"/>
        <v>2746.3310546875</v>
      </c>
      <c r="AY25" s="82">
        <f t="shared" si="48"/>
        <v>-118613.62447521195</v>
      </c>
      <c r="AZ25" s="82"/>
      <c r="BA25" s="82"/>
      <c r="BB25" s="82">
        <f>$AO$4*SUM($AZ$14:AZ25)-$AP$4*SUM($BA$14:BA25)</f>
        <v>39913.439100349337</v>
      </c>
      <c r="BC25" s="82">
        <f t="shared" si="19"/>
        <v>-158527.06357556127</v>
      </c>
      <c r="BE25" s="75">
        <v>45784.625</v>
      </c>
      <c r="BF25" s="54">
        <v>78.52</v>
      </c>
      <c r="BG25" s="75">
        <v>45926.625</v>
      </c>
      <c r="BH25" s="54">
        <v>99.3828125</v>
      </c>
      <c r="BI25" s="75">
        <v>45784.625</v>
      </c>
      <c r="BJ25" s="54">
        <v>107.19</v>
      </c>
      <c r="BK25" s="75">
        <v>45926.625</v>
      </c>
      <c r="BL25" s="54">
        <v>99.3828125</v>
      </c>
      <c r="BM25" s="75">
        <v>45905.625</v>
      </c>
      <c r="BN25" s="54">
        <v>101.3125</v>
      </c>
      <c r="BO25" s="75">
        <v>45908.625</v>
      </c>
      <c r="BP25" s="54">
        <v>101</v>
      </c>
      <c r="BR25" s="131">
        <v>45911.625</v>
      </c>
      <c r="BS25" s="45">
        <f t="shared" si="20"/>
        <v>107.7234</v>
      </c>
      <c r="BT25" s="46">
        <f t="shared" si="49"/>
        <v>7038.0000000000109</v>
      </c>
      <c r="BU25" s="46">
        <f t="shared" si="50"/>
        <v>4166.666666666667</v>
      </c>
      <c r="BV25" s="45">
        <f t="shared" si="51"/>
        <v>47.65</v>
      </c>
      <c r="BW25" s="46">
        <f t="shared" si="52"/>
        <v>11335.499999999993</v>
      </c>
      <c r="BX25" s="47">
        <f t="shared" si="53"/>
        <v>4166.6666666666661</v>
      </c>
      <c r="BY25" s="45">
        <f t="shared" si="54"/>
        <v>-4297.49999999998</v>
      </c>
      <c r="CA25" s="129">
        <v>45786.625</v>
      </c>
      <c r="CB25" s="54">
        <v>104.7522</v>
      </c>
      <c r="CC25" s="129">
        <v>45786.625</v>
      </c>
      <c r="CD25" s="54">
        <v>61.521999999999998</v>
      </c>
      <c r="CF25" s="131">
        <v>45911.625</v>
      </c>
      <c r="CG25" s="45">
        <f t="shared" si="21"/>
        <v>253.00800000000001</v>
      </c>
      <c r="CH25" s="46">
        <f t="shared" si="55"/>
        <v>20759.199999999968</v>
      </c>
      <c r="CI25" s="46">
        <f t="shared" si="56"/>
        <v>4629.6296296296296</v>
      </c>
      <c r="CJ25" s="45">
        <f t="shared" si="57"/>
        <v>51.143000000000001</v>
      </c>
      <c r="CK25" s="46">
        <f t="shared" si="58"/>
        <v>16716.400000000001</v>
      </c>
      <c r="CL25" s="47">
        <f t="shared" si="59"/>
        <v>4166.6666666666661</v>
      </c>
      <c r="CM25" s="45">
        <f t="shared" si="60"/>
        <v>4505.7629629629282</v>
      </c>
      <c r="CO25" s="129">
        <v>45789.625</v>
      </c>
      <c r="CP25" s="54">
        <v>307.27499999999998</v>
      </c>
      <c r="CQ25" s="129">
        <v>45789.625</v>
      </c>
      <c r="CR25" s="54">
        <v>58.206000000000003</v>
      </c>
      <c r="CS25" s="54"/>
      <c r="CT25" s="54"/>
      <c r="CU25" s="54"/>
      <c r="CV25" s="54"/>
      <c r="CW25" s="54"/>
      <c r="CX25" s="54"/>
      <c r="CY25" s="54"/>
      <c r="DF25" s="142">
        <f t="shared" si="1"/>
        <v>45912.625</v>
      </c>
      <c r="DG25" s="58">
        <f t="shared" si="2"/>
        <v>41613.732562482444</v>
      </c>
      <c r="DH25" s="58">
        <f t="shared" si="3"/>
        <v>-198029.56338284176</v>
      </c>
      <c r="DI25" s="58">
        <v>-4630.5000000000755</v>
      </c>
      <c r="DJ25" s="58">
        <v>4352.0271604937852</v>
      </c>
      <c r="DK25" s="58">
        <f t="shared" si="22"/>
        <v>27218.623639387253</v>
      </c>
      <c r="DL25" s="58">
        <f t="shared" si="23"/>
        <v>-39502.499807280488</v>
      </c>
      <c r="DM25" s="58">
        <f t="shared" si="24"/>
        <v>-333.0000000000955</v>
      </c>
      <c r="DN25" s="58">
        <f t="shared" si="25"/>
        <v>-153.73580246914298</v>
      </c>
      <c r="DO25" s="58">
        <f t="shared" si="5"/>
        <v>27218.623639387253</v>
      </c>
      <c r="DP25" s="58">
        <f t="shared" si="6"/>
        <v>-37154.358372315568</v>
      </c>
      <c r="DQ25" s="58">
        <f t="shared" si="7"/>
        <v>-18640.84956308773</v>
      </c>
      <c r="DR25" s="58">
        <f t="shared" si="8"/>
        <v>-5389.4978659071903</v>
      </c>
      <c r="DS25" s="58">
        <f>SUM($DO$13:DO25)</f>
        <v>-99235.75243302263</v>
      </c>
      <c r="DT25" s="58">
        <f>SUM($DP$13:DP25)</f>
        <v>-186258.12042617198</v>
      </c>
      <c r="DU25" s="58">
        <f>SUM(DQ$13:DQ25)</f>
        <v>-259208.57027583895</v>
      </c>
      <c r="DV25" s="58">
        <f>SUM(DR$13:DR25)</f>
        <v>152568.50204791565</v>
      </c>
      <c r="DZ25" s="133">
        <v>45912.625</v>
      </c>
      <c r="EA25" s="54">
        <v>-99235.75243302263</v>
      </c>
      <c r="EB25" s="54">
        <v>-186258.12042617198</v>
      </c>
      <c r="EC25" s="54">
        <v>-259208.57027583895</v>
      </c>
      <c r="ED25" s="54">
        <v>152568.50204791565</v>
      </c>
    </row>
    <row r="26" spans="1:134" x14ac:dyDescent="0.3">
      <c r="A26" s="139">
        <v>45862.625</v>
      </c>
      <c r="B26" s="76">
        <f t="shared" si="26"/>
        <v>94.34</v>
      </c>
      <c r="C26" s="31">
        <f t="shared" si="9"/>
        <v>117145.89989350043</v>
      </c>
      <c r="D26" s="32">
        <f t="shared" si="10"/>
        <v>-47000</v>
      </c>
      <c r="E26" s="76">
        <f t="shared" si="27"/>
        <v>101.15300000000001</v>
      </c>
      <c r="F26" s="31">
        <f t="shared" si="11"/>
        <v>-17599.99999999877</v>
      </c>
      <c r="G26" s="32">
        <f t="shared" si="12"/>
        <v>-16733.282666666666</v>
      </c>
      <c r="H26" s="76">
        <f t="shared" si="28"/>
        <v>120.16</v>
      </c>
      <c r="I26" s="31">
        <f t="shared" si="13"/>
        <v>-613781.78835111088</v>
      </c>
      <c r="J26" s="32">
        <f t="shared" si="14"/>
        <v>-80840</v>
      </c>
      <c r="K26" s="76">
        <f t="shared" si="29"/>
        <v>99.679000000000002</v>
      </c>
      <c r="L26" s="31">
        <f t="shared" si="15"/>
        <v>-33210.000000001259</v>
      </c>
      <c r="M26" s="32">
        <f t="shared" si="16"/>
        <v>-36806.119111111118</v>
      </c>
      <c r="N26" s="82">
        <f t="shared" si="17"/>
        <v>729084.85180016432</v>
      </c>
      <c r="O26" s="82"/>
      <c r="P26" s="82"/>
      <c r="Q26" s="82">
        <f>$G$5*SUM($O$14:O26)-$H$5*SUM($P$14:P26)</f>
        <v>-685953.76080000005</v>
      </c>
      <c r="R26" s="82">
        <f t="shared" si="18"/>
        <v>43131.091000164277</v>
      </c>
      <c r="S26" s="143"/>
      <c r="U26" s="75">
        <v>45790.625</v>
      </c>
      <c r="V26" s="54">
        <v>93.02</v>
      </c>
      <c r="W26" s="75">
        <v>45789.625</v>
      </c>
      <c r="X26" s="54">
        <v>101.15600000000001</v>
      </c>
      <c r="Y26" s="125">
        <v>45791.625</v>
      </c>
      <c r="Z26" s="54">
        <v>120.27</v>
      </c>
      <c r="AA26" s="75">
        <v>45877.625</v>
      </c>
      <c r="AB26" s="54">
        <v>99.611000000000004</v>
      </c>
      <c r="AF26" s="131">
        <v>45912.625</v>
      </c>
      <c r="AG26" s="45">
        <f t="shared" si="30"/>
        <v>80.959999999999994</v>
      </c>
      <c r="AH26" s="46">
        <f t="shared" si="31"/>
        <v>-4322.5886130676681</v>
      </c>
      <c r="AI26" s="46">
        <f t="shared" si="32"/>
        <v>-65800</v>
      </c>
      <c r="AJ26" s="45">
        <f t="shared" si="33"/>
        <v>99.9921875</v>
      </c>
      <c r="AK26" s="46">
        <f t="shared" si="34"/>
        <v>67031.25</v>
      </c>
      <c r="AL26" s="47">
        <f t="shared" si="35"/>
        <v>-5114.4505208333321</v>
      </c>
      <c r="AM26" s="45">
        <f t="shared" si="36"/>
        <v>112.01</v>
      </c>
      <c r="AN26" s="46">
        <f t="shared" si="37"/>
        <v>647823.32091248035</v>
      </c>
      <c r="AO26" s="47">
        <f t="shared" si="38"/>
        <v>-67680</v>
      </c>
      <c r="AP26" s="45">
        <f t="shared" si="39"/>
        <v>99.9921875</v>
      </c>
      <c r="AQ26" s="46">
        <f t="shared" si="40"/>
        <v>58437.5</v>
      </c>
      <c r="AR26" s="47">
        <f t="shared" si="41"/>
        <v>-4458.7517361111095</v>
      </c>
      <c r="AS26" s="45">
        <f t="shared" si="42"/>
        <v>101.546875</v>
      </c>
      <c r="AT26" s="46">
        <f t="shared" si="43"/>
        <v>106640.625</v>
      </c>
      <c r="AU26" s="47">
        <f t="shared" si="44"/>
        <v>49.041666666669698</v>
      </c>
      <c r="AV26" s="45">
        <f t="shared" si="45"/>
        <v>101.171875</v>
      </c>
      <c r="AW26" s="46">
        <f t="shared" si="46"/>
        <v>390468.75</v>
      </c>
      <c r="AX26" s="47">
        <f t="shared" si="47"/>
        <v>2929.4197916666672</v>
      </c>
      <c r="AY26" s="82">
        <f t="shared" si="48"/>
        <v>-158116.12428249244</v>
      </c>
      <c r="AZ26" s="82"/>
      <c r="BA26" s="82"/>
      <c r="BB26" s="82">
        <f>$AO$4*SUM($AZ$14:AZ26)-$AP$4*SUM($BA$14:BA26)</f>
        <v>39913.439100349337</v>
      </c>
      <c r="BC26" s="82">
        <f t="shared" si="19"/>
        <v>-198029.56338284176</v>
      </c>
      <c r="BE26" s="75">
        <v>45785.625</v>
      </c>
      <c r="BF26" s="54">
        <v>78.5</v>
      </c>
      <c r="BG26" s="75">
        <v>45929.625</v>
      </c>
      <c r="BH26" s="54">
        <v>99.4921875</v>
      </c>
      <c r="BI26" s="75">
        <v>45785.625</v>
      </c>
      <c r="BJ26" s="54">
        <v>106.65</v>
      </c>
      <c r="BK26" s="75">
        <v>45929.625</v>
      </c>
      <c r="BL26" s="54">
        <v>99.4921875</v>
      </c>
      <c r="BM26" s="75">
        <v>45908.625</v>
      </c>
      <c r="BN26" s="54">
        <v>101.6875</v>
      </c>
      <c r="BO26" s="75">
        <v>45909.625</v>
      </c>
      <c r="BP26" s="54">
        <v>100.4375</v>
      </c>
      <c r="BR26" s="131">
        <v>45912.625</v>
      </c>
      <c r="BS26" s="45">
        <f t="shared" si="20"/>
        <v>107.64149999999999</v>
      </c>
      <c r="BT26" s="46">
        <f t="shared" si="49"/>
        <v>5399.9999999999209</v>
      </c>
      <c r="BU26" s="46">
        <f t="shared" si="50"/>
        <v>4444.4444444444443</v>
      </c>
      <c r="BV26" s="45">
        <f t="shared" si="51"/>
        <v>47.94</v>
      </c>
      <c r="BW26" s="46">
        <f t="shared" si="52"/>
        <v>10030.499999999996</v>
      </c>
      <c r="BX26" s="47">
        <f t="shared" si="53"/>
        <v>4444.4444444444443</v>
      </c>
      <c r="BY26" s="45">
        <f t="shared" si="54"/>
        <v>-4630.5000000000755</v>
      </c>
      <c r="CA26" s="129">
        <v>45789.625</v>
      </c>
      <c r="CB26" s="54">
        <v>106.1426</v>
      </c>
      <c r="CC26" s="129">
        <v>45789.625</v>
      </c>
      <c r="CD26" s="54">
        <v>55.463999999999999</v>
      </c>
      <c r="CF26" s="131">
        <v>45912.625</v>
      </c>
      <c r="CG26" s="45">
        <f t="shared" si="21"/>
        <v>252.27</v>
      </c>
      <c r="CH26" s="46">
        <f t="shared" si="55"/>
        <v>21480.79999999997</v>
      </c>
      <c r="CI26" s="46">
        <f t="shared" si="56"/>
        <v>4938.2716049382716</v>
      </c>
      <c r="CJ26" s="45">
        <f t="shared" si="57"/>
        <v>50.945999999999998</v>
      </c>
      <c r="CK26" s="46">
        <f t="shared" si="58"/>
        <v>17622.600000000013</v>
      </c>
      <c r="CL26" s="47">
        <f t="shared" si="59"/>
        <v>4444.4444444444443</v>
      </c>
      <c r="CM26" s="45">
        <f t="shared" si="60"/>
        <v>4352.0271604937852</v>
      </c>
      <c r="CO26" s="129">
        <v>45790.625</v>
      </c>
      <c r="CP26" s="54">
        <v>296.28399999999999</v>
      </c>
      <c r="CQ26" s="129">
        <v>45790.625</v>
      </c>
      <c r="CR26" s="54">
        <v>55.77</v>
      </c>
      <c r="CS26" s="54"/>
      <c r="CT26" s="54"/>
      <c r="CU26" s="54"/>
      <c r="CV26" s="54"/>
      <c r="CW26" s="54"/>
      <c r="CX26" s="54"/>
      <c r="CY26" s="54"/>
      <c r="DF26" s="142">
        <f t="shared" si="1"/>
        <v>45915.625</v>
      </c>
      <c r="DG26" s="58">
        <f t="shared" si="2"/>
        <v>33492.704933410801</v>
      </c>
      <c r="DH26" s="58">
        <f t="shared" si="3"/>
        <v>-173848.15613034973</v>
      </c>
      <c r="DI26" s="58">
        <v>-4497.9999999998799</v>
      </c>
      <c r="DJ26" s="58">
        <v>4650.0419753086317</v>
      </c>
      <c r="DK26" s="58">
        <f t="shared" si="22"/>
        <v>-8121.0276290716429</v>
      </c>
      <c r="DL26" s="58">
        <f t="shared" si="23"/>
        <v>24181.407252492034</v>
      </c>
      <c r="DM26" s="58">
        <f t="shared" si="24"/>
        <v>132.50000000019554</v>
      </c>
      <c r="DN26" s="58">
        <f t="shared" si="25"/>
        <v>298.01481481484643</v>
      </c>
      <c r="DO26" s="58">
        <f t="shared" si="5"/>
        <v>-8121.0276290716429</v>
      </c>
      <c r="DP26" s="58">
        <f t="shared" si="6"/>
        <v>22743.995326604938</v>
      </c>
      <c r="DQ26" s="58">
        <f t="shared" si="7"/>
        <v>7417.1548561923746</v>
      </c>
      <c r="DR26" s="58">
        <f t="shared" si="8"/>
        <v>10447.470157614842</v>
      </c>
      <c r="DS26" s="58">
        <f>SUM($DO$13:DO26)</f>
        <v>-107356.78006209427</v>
      </c>
      <c r="DT26" s="58">
        <f>SUM($DP$13:DP26)</f>
        <v>-163514.12509956706</v>
      </c>
      <c r="DU26" s="58">
        <f>SUM(DQ$13:DQ26)</f>
        <v>-251791.41541964657</v>
      </c>
      <c r="DV26" s="58">
        <f>SUM(DR$13:DR26)</f>
        <v>163015.9722055305</v>
      </c>
      <c r="DZ26" s="133">
        <v>45915.625</v>
      </c>
      <c r="EA26" s="54">
        <v>-107356.78006209427</v>
      </c>
      <c r="EB26" s="54">
        <v>-163514.12509956706</v>
      </c>
      <c r="EC26" s="54">
        <v>-251791.41541964657</v>
      </c>
      <c r="ED26" s="54">
        <v>163015.9722055305</v>
      </c>
    </row>
    <row r="27" spans="1:134" x14ac:dyDescent="0.3">
      <c r="A27" s="139">
        <v>45863.625</v>
      </c>
      <c r="B27" s="76">
        <f t="shared" si="26"/>
        <v>94.27</v>
      </c>
      <c r="C27" s="31">
        <f t="shared" si="9"/>
        <v>98509.052183171079</v>
      </c>
      <c r="D27" s="32">
        <f t="shared" si="10"/>
        <v>-49937.499999999993</v>
      </c>
      <c r="E27" s="76">
        <f t="shared" si="27"/>
        <v>101.054</v>
      </c>
      <c r="F27" s="31">
        <f t="shared" si="11"/>
        <v>-37399.99999999952</v>
      </c>
      <c r="G27" s="32">
        <f t="shared" si="12"/>
        <v>-17779.112833333322</v>
      </c>
      <c r="H27" s="76">
        <f t="shared" si="28"/>
        <v>120.06</v>
      </c>
      <c r="I27" s="31">
        <f t="shared" si="13"/>
        <v>-649056.60377358471</v>
      </c>
      <c r="J27" s="32">
        <f t="shared" si="14"/>
        <v>-85892.499999999985</v>
      </c>
      <c r="K27" s="76">
        <f t="shared" si="29"/>
        <v>99.524000000000001</v>
      </c>
      <c r="L27" s="31">
        <f t="shared" si="15"/>
        <v>-96760.000000001732</v>
      </c>
      <c r="M27" s="32">
        <f t="shared" si="16"/>
        <v>-39106.501555555536</v>
      </c>
      <c r="N27" s="82">
        <f t="shared" si="17"/>
        <v>702833.26723453135</v>
      </c>
      <c r="O27" s="82"/>
      <c r="P27" s="82"/>
      <c r="Q27" s="82">
        <f>$G$5*SUM($O$14:O27)-$H$5*SUM($P$14:P27)</f>
        <v>-685953.76080000005</v>
      </c>
      <c r="R27" s="82">
        <f t="shared" si="18"/>
        <v>16879.5064345313</v>
      </c>
      <c r="S27" s="143"/>
      <c r="U27" s="75">
        <v>45791.625</v>
      </c>
      <c r="V27" s="54">
        <v>92.87</v>
      </c>
      <c r="W27" s="75">
        <v>45790.625</v>
      </c>
      <c r="X27" s="54">
        <v>101.125</v>
      </c>
      <c r="Y27" s="125">
        <v>45792.625</v>
      </c>
      <c r="Z27" s="54">
        <v>120.4</v>
      </c>
      <c r="AA27" s="75">
        <v>45880.625</v>
      </c>
      <c r="AB27" s="54">
        <v>99.561999999999998</v>
      </c>
      <c r="AF27" s="131">
        <v>45915.625</v>
      </c>
      <c r="AG27" s="45">
        <f t="shared" si="30"/>
        <v>81.19</v>
      </c>
      <c r="AH27" s="46">
        <f t="shared" si="31"/>
        <v>95096.94948746539</v>
      </c>
      <c r="AI27" s="46">
        <f t="shared" si="32"/>
        <v>-78137.5</v>
      </c>
      <c r="AJ27" s="45">
        <f t="shared" si="33"/>
        <v>100.09375</v>
      </c>
      <c r="AK27" s="46">
        <f t="shared" si="34"/>
        <v>86835.937499999985</v>
      </c>
      <c r="AL27" s="47">
        <f t="shared" si="35"/>
        <v>-6073.4099934895785</v>
      </c>
      <c r="AM27" s="45">
        <f t="shared" si="36"/>
        <v>112.36</v>
      </c>
      <c r="AN27" s="46">
        <f t="shared" si="37"/>
        <v>762337.54430609406</v>
      </c>
      <c r="AO27" s="47">
        <f t="shared" si="38"/>
        <v>-80370</v>
      </c>
      <c r="AP27" s="45">
        <f t="shared" si="39"/>
        <v>100.09375</v>
      </c>
      <c r="AQ27" s="46">
        <f t="shared" si="40"/>
        <v>75703.125</v>
      </c>
      <c r="AR27" s="47">
        <f t="shared" si="41"/>
        <v>-5294.7676866319453</v>
      </c>
      <c r="AS27" s="45">
        <f t="shared" si="42"/>
        <v>101.71875</v>
      </c>
      <c r="AT27" s="46">
        <f t="shared" si="43"/>
        <v>119531.25</v>
      </c>
      <c r="AU27" s="47">
        <f t="shared" si="44"/>
        <v>58.236979166671517</v>
      </c>
      <c r="AV27" s="45">
        <f t="shared" si="45"/>
        <v>101.4375</v>
      </c>
      <c r="AW27" s="46">
        <f t="shared" si="46"/>
        <v>418359.37499999994</v>
      </c>
      <c r="AX27" s="47">
        <f t="shared" si="47"/>
        <v>3478.6860026041686</v>
      </c>
      <c r="AY27" s="82">
        <f t="shared" si="48"/>
        <v>-133934.71703000038</v>
      </c>
      <c r="AZ27" s="82"/>
      <c r="BA27" s="82"/>
      <c r="BB27" s="82">
        <f>$AO$4*SUM($AZ$14:AZ27)-$AP$4*SUM($BA$14:BA27)</f>
        <v>39913.439100349337</v>
      </c>
      <c r="BC27" s="82">
        <f t="shared" si="19"/>
        <v>-173848.15613034973</v>
      </c>
      <c r="BE27" s="75">
        <v>45786.625</v>
      </c>
      <c r="BF27" s="54">
        <v>78.55</v>
      </c>
      <c r="BG27" s="75">
        <v>45930.625</v>
      </c>
      <c r="BH27" s="54">
        <v>99.5078125</v>
      </c>
      <c r="BI27" s="75">
        <v>45786.625</v>
      </c>
      <c r="BJ27" s="54">
        <v>106.61</v>
      </c>
      <c r="BK27" s="75">
        <v>45930.625</v>
      </c>
      <c r="BL27" s="54">
        <v>99.5078125</v>
      </c>
      <c r="BM27" s="75">
        <v>45909.625</v>
      </c>
      <c r="BN27" s="54">
        <v>101.390625</v>
      </c>
      <c r="BO27" s="75">
        <v>45910.625</v>
      </c>
      <c r="BP27" s="54">
        <v>100.953125</v>
      </c>
      <c r="BR27" s="131">
        <v>45915.625</v>
      </c>
      <c r="BS27" s="45">
        <f t="shared" si="20"/>
        <v>107.8558</v>
      </c>
      <c r="BT27" s="46">
        <f t="shared" si="49"/>
        <v>9686.0000000000928</v>
      </c>
      <c r="BU27" s="46">
        <f t="shared" si="50"/>
        <v>5277.7777777777783</v>
      </c>
      <c r="BV27" s="45">
        <f t="shared" si="51"/>
        <v>47.017000000000003</v>
      </c>
      <c r="BW27" s="46">
        <f t="shared" si="52"/>
        <v>14183.999999999975</v>
      </c>
      <c r="BX27" s="47">
        <f t="shared" si="53"/>
        <v>5277.7777777777774</v>
      </c>
      <c r="BY27" s="45">
        <f t="shared" si="54"/>
        <v>-4497.9999999998799</v>
      </c>
      <c r="CA27" s="129">
        <v>45790.625</v>
      </c>
      <c r="CB27" s="54">
        <v>106.55589999999999</v>
      </c>
      <c r="CC27" s="129">
        <v>45790.625</v>
      </c>
      <c r="CD27" s="54">
        <v>54.054000000000002</v>
      </c>
      <c r="CF27" s="131">
        <v>45915.625</v>
      </c>
      <c r="CG27" s="45">
        <f t="shared" si="21"/>
        <v>247.80699999999999</v>
      </c>
      <c r="CH27" s="46">
        <f t="shared" si="55"/>
        <v>25844.62222222221</v>
      </c>
      <c r="CI27" s="46">
        <f t="shared" si="56"/>
        <v>5864.1975308641977</v>
      </c>
      <c r="CJ27" s="45">
        <f t="shared" si="57"/>
        <v>50.042000000000002</v>
      </c>
      <c r="CK27" s="46">
        <f t="shared" si="58"/>
        <v>21780.999999999996</v>
      </c>
      <c r="CL27" s="47">
        <f t="shared" si="59"/>
        <v>5277.7777777777774</v>
      </c>
      <c r="CM27" s="45">
        <f t="shared" si="60"/>
        <v>4650.0419753086317</v>
      </c>
      <c r="CO27" s="129">
        <v>45791.625</v>
      </c>
      <c r="CP27" s="54">
        <v>297.67</v>
      </c>
      <c r="CQ27" s="129">
        <v>45791.625</v>
      </c>
      <c r="CR27" s="54">
        <v>56.567999999999998</v>
      </c>
      <c r="CS27" s="54"/>
      <c r="CT27" s="54"/>
      <c r="CU27" s="54"/>
      <c r="CV27" s="54"/>
      <c r="CW27" s="54"/>
      <c r="CX27" s="54"/>
      <c r="CY27" s="54"/>
      <c r="DF27" s="142">
        <f t="shared" si="1"/>
        <v>45916.625</v>
      </c>
      <c r="DG27" s="58">
        <f t="shared" si="2"/>
        <v>21886.603851248568</v>
      </c>
      <c r="DH27" s="58">
        <f t="shared" si="3"/>
        <v>-150001.95325252769</v>
      </c>
      <c r="DI27" s="58">
        <v>-3282.4999999998399</v>
      </c>
      <c r="DJ27" s="58">
        <v>4159.4172839505809</v>
      </c>
      <c r="DK27" s="58">
        <f t="shared" si="22"/>
        <v>-11606.101082162233</v>
      </c>
      <c r="DL27" s="58">
        <f t="shared" si="23"/>
        <v>23846.202877822041</v>
      </c>
      <c r="DM27" s="58">
        <f t="shared" si="24"/>
        <v>1215.50000000004</v>
      </c>
      <c r="DN27" s="58">
        <f t="shared" si="25"/>
        <v>-490.62469135805077</v>
      </c>
      <c r="DO27" s="58">
        <f t="shared" si="5"/>
        <v>-11606.101082162233</v>
      </c>
      <c r="DP27" s="58">
        <f t="shared" si="6"/>
        <v>22428.716457540519</v>
      </c>
      <c r="DQ27" s="58">
        <f t="shared" si="7"/>
        <v>68041.899831613759</v>
      </c>
      <c r="DR27" s="58">
        <f t="shared" si="8"/>
        <v>-17199.771846029958</v>
      </c>
      <c r="DS27" s="58">
        <f>SUM($DO$13:DO27)</f>
        <v>-118962.88114425651</v>
      </c>
      <c r="DT27" s="58">
        <f>SUM($DP$13:DP27)</f>
        <v>-141085.40864202654</v>
      </c>
      <c r="DU27" s="58">
        <f>SUM(DQ$13:DQ27)</f>
        <v>-183749.51558803281</v>
      </c>
      <c r="DV27" s="58">
        <f>SUM(DR$13:DR27)</f>
        <v>145816.20035950054</v>
      </c>
      <c r="DZ27" s="133">
        <v>45916.625</v>
      </c>
      <c r="EA27" s="54">
        <v>-118962.88114425651</v>
      </c>
      <c r="EB27" s="54">
        <v>-141085.40864202654</v>
      </c>
      <c r="EC27" s="54">
        <v>-183749.51558803281</v>
      </c>
      <c r="ED27" s="54">
        <v>145816.20035950054</v>
      </c>
    </row>
    <row r="28" spans="1:134" x14ac:dyDescent="0.3">
      <c r="A28" s="139">
        <v>45866.625</v>
      </c>
      <c r="B28" s="76">
        <f t="shared" si="26"/>
        <v>94.37</v>
      </c>
      <c r="C28" s="31">
        <f t="shared" si="9"/>
        <v>125133.12034078683</v>
      </c>
      <c r="D28" s="32">
        <f t="shared" si="10"/>
        <v>-58749.999999999993</v>
      </c>
      <c r="E28" s="76">
        <f t="shared" si="27"/>
        <v>101.17</v>
      </c>
      <c r="F28" s="31">
        <f t="shared" si="11"/>
        <v>-14199.999999999591</v>
      </c>
      <c r="G28" s="32">
        <f t="shared" si="12"/>
        <v>-20916.603333333325</v>
      </c>
      <c r="H28" s="76">
        <f t="shared" si="28"/>
        <v>120.25</v>
      </c>
      <c r="I28" s="31">
        <f t="shared" si="13"/>
        <v>-582034.45447087905</v>
      </c>
      <c r="J28" s="32">
        <f t="shared" si="14"/>
        <v>-101049.99999999999</v>
      </c>
      <c r="K28" s="76">
        <f t="shared" si="29"/>
        <v>99.715000000000003</v>
      </c>
      <c r="L28" s="31">
        <f t="shared" si="15"/>
        <v>-18450.000000000698</v>
      </c>
      <c r="M28" s="32">
        <f t="shared" si="16"/>
        <v>-46007.648888888878</v>
      </c>
      <c r="N28" s="82">
        <f t="shared" si="17"/>
        <v>720126.52925610926</v>
      </c>
      <c r="O28" s="82"/>
      <c r="P28" s="82"/>
      <c r="Q28" s="82">
        <f>$G$5*SUM($O$14:O28)-$H$5*SUM($P$14:P28)</f>
        <v>-685953.76080000005</v>
      </c>
      <c r="R28" s="82">
        <f t="shared" si="18"/>
        <v>34172.768456109217</v>
      </c>
      <c r="S28" s="143"/>
      <c r="U28" s="75">
        <v>45792.625</v>
      </c>
      <c r="V28" s="54">
        <v>92.74</v>
      </c>
      <c r="W28" s="75">
        <v>45791.625</v>
      </c>
      <c r="X28" s="54">
        <v>101.087</v>
      </c>
      <c r="Y28" s="125">
        <v>45793.625</v>
      </c>
      <c r="Z28" s="54">
        <v>120.73</v>
      </c>
      <c r="AA28" s="75">
        <v>45881.625</v>
      </c>
      <c r="AB28" s="54">
        <v>99.405000000000001</v>
      </c>
      <c r="AF28" s="131">
        <v>45916.625</v>
      </c>
      <c r="AG28" s="45">
        <f t="shared" si="30"/>
        <v>81.13</v>
      </c>
      <c r="AH28" s="46">
        <f t="shared" si="31"/>
        <v>69161.417809067148</v>
      </c>
      <c r="AI28" s="46">
        <f t="shared" si="32"/>
        <v>-82249.999999999985</v>
      </c>
      <c r="AJ28" s="45">
        <f t="shared" si="33"/>
        <v>100.15625</v>
      </c>
      <c r="AK28" s="46">
        <f t="shared" si="34"/>
        <v>99023.4375</v>
      </c>
      <c r="AL28" s="47">
        <f t="shared" si="35"/>
        <v>-6393.0631510416642</v>
      </c>
      <c r="AM28" s="45">
        <f t="shared" si="36"/>
        <v>112.26</v>
      </c>
      <c r="AN28" s="46">
        <f t="shared" si="37"/>
        <v>729619.19476506498</v>
      </c>
      <c r="AO28" s="47">
        <f t="shared" si="38"/>
        <v>-84600</v>
      </c>
      <c r="AP28" s="45">
        <f t="shared" si="39"/>
        <v>100.15625</v>
      </c>
      <c r="AQ28" s="46">
        <f t="shared" si="40"/>
        <v>86328.125</v>
      </c>
      <c r="AR28" s="47">
        <f t="shared" si="41"/>
        <v>-5573.4396701388832</v>
      </c>
      <c r="AS28" s="45">
        <f t="shared" si="42"/>
        <v>101.765625</v>
      </c>
      <c r="AT28" s="46">
        <f t="shared" si="43"/>
        <v>123046.875</v>
      </c>
      <c r="AU28" s="47">
        <f t="shared" si="44"/>
        <v>61.302083333335759</v>
      </c>
      <c r="AV28" s="45">
        <f t="shared" si="45"/>
        <v>101.578125</v>
      </c>
      <c r="AW28" s="46">
        <f t="shared" si="46"/>
        <v>433125</v>
      </c>
      <c r="AX28" s="47">
        <f t="shared" si="47"/>
        <v>3661.7747395833321</v>
      </c>
      <c r="AY28" s="82">
        <f t="shared" si="48"/>
        <v>-110088.51415217835</v>
      </c>
      <c r="AZ28" s="82"/>
      <c r="BA28" s="82"/>
      <c r="BB28" s="82">
        <f>$AO$4*SUM($AZ$14:AZ28)-$AP$4*SUM($BA$14:BA28)</f>
        <v>39913.439100349337</v>
      </c>
      <c r="BC28" s="82">
        <f t="shared" si="19"/>
        <v>-150001.95325252769</v>
      </c>
      <c r="BE28" s="75">
        <v>45789.625</v>
      </c>
      <c r="BF28" s="54">
        <v>79.33</v>
      </c>
      <c r="BG28" s="75">
        <v>45931.625</v>
      </c>
      <c r="BH28" s="54">
        <v>99.765625</v>
      </c>
      <c r="BI28" s="75">
        <v>45789.625</v>
      </c>
      <c r="BJ28" s="54">
        <v>106.59</v>
      </c>
      <c r="BK28" s="75">
        <v>45931.625</v>
      </c>
      <c r="BL28" s="54">
        <v>99.765625</v>
      </c>
      <c r="BM28" s="75">
        <v>45910.625</v>
      </c>
      <c r="BN28" s="54">
        <v>101.6875</v>
      </c>
      <c r="BO28" s="75">
        <v>45911.625</v>
      </c>
      <c r="BP28" s="54">
        <v>101.640625</v>
      </c>
      <c r="BR28" s="131">
        <v>45916.625</v>
      </c>
      <c r="BS28" s="45">
        <f t="shared" si="20"/>
        <v>107.8259</v>
      </c>
      <c r="BT28" s="46">
        <f t="shared" si="49"/>
        <v>9088.0000000001364</v>
      </c>
      <c r="BU28" s="46">
        <f t="shared" si="50"/>
        <v>5555.5555555555557</v>
      </c>
      <c r="BV28" s="45">
        <f t="shared" si="51"/>
        <v>47.42</v>
      </c>
      <c r="BW28" s="46">
        <f t="shared" si="52"/>
        <v>12370.499999999978</v>
      </c>
      <c r="BX28" s="47">
        <f t="shared" si="53"/>
        <v>5555.5555555555547</v>
      </c>
      <c r="BY28" s="45">
        <f t="shared" si="54"/>
        <v>-3282.4999999998399</v>
      </c>
      <c r="CA28" s="129">
        <v>45791.625</v>
      </c>
      <c r="CB28" s="54">
        <v>106.1994</v>
      </c>
      <c r="CC28" s="129">
        <v>45791.625</v>
      </c>
      <c r="CD28" s="54">
        <v>55.914999999999999</v>
      </c>
      <c r="CF28" s="131">
        <v>45916.625</v>
      </c>
      <c r="CG28" s="45">
        <f t="shared" si="21"/>
        <v>251.81700000000001</v>
      </c>
      <c r="CH28" s="46">
        <f t="shared" si="55"/>
        <v>21923.733333333304</v>
      </c>
      <c r="CI28" s="46">
        <f t="shared" si="56"/>
        <v>6172.8395061728388</v>
      </c>
      <c r="CJ28" s="45">
        <f t="shared" si="57"/>
        <v>50.780999999999999</v>
      </c>
      <c r="CK28" s="46">
        <f t="shared" si="58"/>
        <v>18381.600000000009</v>
      </c>
      <c r="CL28" s="47">
        <f t="shared" si="59"/>
        <v>5555.5555555555547</v>
      </c>
      <c r="CM28" s="45">
        <f t="shared" si="60"/>
        <v>4159.4172839505809</v>
      </c>
      <c r="CO28" s="129">
        <v>45792.625</v>
      </c>
      <c r="CP28" s="54">
        <v>301.32</v>
      </c>
      <c r="CQ28" s="129">
        <v>45792.625</v>
      </c>
      <c r="CR28" s="54">
        <v>57.174999999999997</v>
      </c>
      <c r="CS28" s="54"/>
      <c r="CT28" s="54"/>
      <c r="CU28" s="54"/>
      <c r="CV28" s="54"/>
      <c r="CW28" s="54"/>
      <c r="CX28" s="54"/>
      <c r="CY28" s="54"/>
      <c r="DF28" s="142">
        <f t="shared" si="1"/>
        <v>45917.625</v>
      </c>
      <c r="DG28" s="58">
        <f t="shared" si="2"/>
        <v>39389.197294270649</v>
      </c>
      <c r="DH28" s="58">
        <f t="shared" si="3"/>
        <v>-154973.20305980439</v>
      </c>
      <c r="DI28" s="58">
        <v>-2914.0000000000582</v>
      </c>
      <c r="DJ28" s="58">
        <v>4560.5703703703493</v>
      </c>
      <c r="DK28" s="58">
        <f t="shared" si="22"/>
        <v>17502.59344302208</v>
      </c>
      <c r="DL28" s="58">
        <f t="shared" si="23"/>
        <v>-4971.2498072767048</v>
      </c>
      <c r="DM28" s="58">
        <f t="shared" si="24"/>
        <v>368.49999999978172</v>
      </c>
      <c r="DN28" s="58">
        <f t="shared" si="25"/>
        <v>401.15308641976844</v>
      </c>
      <c r="DO28" s="58">
        <f t="shared" si="5"/>
        <v>17502.59344302208</v>
      </c>
      <c r="DP28" s="58">
        <f t="shared" si="6"/>
        <v>-4675.7445174095465</v>
      </c>
      <c r="DQ28" s="58">
        <f t="shared" si="7"/>
        <v>20628.087279254622</v>
      </c>
      <c r="DR28" s="58">
        <f t="shared" si="8"/>
        <v>14063.176361247228</v>
      </c>
      <c r="DS28" s="58">
        <f>SUM($DO$13:DO28)</f>
        <v>-101460.28770123443</v>
      </c>
      <c r="DT28" s="58">
        <f>SUM($DP$13:DP28)</f>
        <v>-145761.15315943607</v>
      </c>
      <c r="DU28" s="58">
        <f>SUM(DQ$13:DQ28)</f>
        <v>-163121.42830877818</v>
      </c>
      <c r="DV28" s="58">
        <f>SUM(DR$13:DR28)</f>
        <v>159879.37672074776</v>
      </c>
      <c r="DZ28" s="133">
        <v>45917.625</v>
      </c>
      <c r="EA28" s="54">
        <v>-101460.28770123443</v>
      </c>
      <c r="EB28" s="54">
        <v>-145761.15315943607</v>
      </c>
      <c r="EC28" s="54">
        <v>-163121.42830877818</v>
      </c>
      <c r="ED28" s="54">
        <v>159879.37672074776</v>
      </c>
    </row>
    <row r="29" spans="1:134" x14ac:dyDescent="0.3">
      <c r="A29" s="139">
        <v>45867.625</v>
      </c>
      <c r="B29" s="76">
        <f t="shared" si="26"/>
        <v>94.46</v>
      </c>
      <c r="C29" s="31">
        <f t="shared" si="9"/>
        <v>149094.78168264046</v>
      </c>
      <c r="D29" s="32">
        <f t="shared" si="10"/>
        <v>-61687.5</v>
      </c>
      <c r="E29" s="76">
        <f t="shared" si="27"/>
        <v>101.105</v>
      </c>
      <c r="F29" s="31">
        <f t="shared" si="11"/>
        <v>-27199.999999999134</v>
      </c>
      <c r="G29" s="32">
        <f t="shared" si="12"/>
        <v>-21962.433499999999</v>
      </c>
      <c r="H29" s="76">
        <f t="shared" si="28"/>
        <v>120.32</v>
      </c>
      <c r="I29" s="31">
        <f t="shared" si="13"/>
        <v>-557342.08367514587</v>
      </c>
      <c r="J29" s="32">
        <f t="shared" si="14"/>
        <v>-106102.5</v>
      </c>
      <c r="K29" s="76">
        <f t="shared" si="29"/>
        <v>99.623999999999995</v>
      </c>
      <c r="L29" s="31">
        <f t="shared" si="15"/>
        <v>-55760.00000000406</v>
      </c>
      <c r="M29" s="32">
        <f t="shared" si="16"/>
        <v>-48308.031333333332</v>
      </c>
      <c r="N29" s="82">
        <f t="shared" si="17"/>
        <v>695946.26752444811</v>
      </c>
      <c r="O29" s="82"/>
      <c r="P29" s="82"/>
      <c r="Q29" s="82">
        <f>$G$5*SUM($O$14:O29)-$H$5*SUM($P$14:P29)</f>
        <v>-685953.76080000005</v>
      </c>
      <c r="R29" s="82">
        <f t="shared" si="18"/>
        <v>9992.5067244480597</v>
      </c>
      <c r="S29" s="143"/>
      <c r="U29" s="75">
        <v>45793.625</v>
      </c>
      <c r="V29" s="54">
        <v>92.96</v>
      </c>
      <c r="W29" s="75">
        <v>45792.625</v>
      </c>
      <c r="X29" s="54">
        <v>101.241</v>
      </c>
      <c r="Y29" s="125">
        <v>45796.625</v>
      </c>
      <c r="Z29" s="54">
        <v>120.66</v>
      </c>
      <c r="AA29" s="75">
        <v>45882.625</v>
      </c>
      <c r="AB29" s="54">
        <v>99.745000000000005</v>
      </c>
      <c r="AF29" s="131">
        <v>45917.625</v>
      </c>
      <c r="AG29" s="45">
        <f t="shared" si="30"/>
        <v>81.05</v>
      </c>
      <c r="AH29" s="46">
        <f t="shared" si="31"/>
        <v>34580.708904533574</v>
      </c>
      <c r="AI29" s="46">
        <f t="shared" si="32"/>
        <v>-86362.5</v>
      </c>
      <c r="AJ29" s="45">
        <f t="shared" si="33"/>
        <v>99.953125</v>
      </c>
      <c r="AK29" s="46">
        <f t="shared" si="34"/>
        <v>59414.0625</v>
      </c>
      <c r="AL29" s="47">
        <f t="shared" si="35"/>
        <v>-6712.71630859375</v>
      </c>
      <c r="AM29" s="45">
        <f t="shared" si="36"/>
        <v>112.06</v>
      </c>
      <c r="AN29" s="46">
        <f t="shared" si="37"/>
        <v>664182.49568299891</v>
      </c>
      <c r="AO29" s="47">
        <f t="shared" si="38"/>
        <v>-88830</v>
      </c>
      <c r="AP29" s="45">
        <f t="shared" si="39"/>
        <v>99.953125</v>
      </c>
      <c r="AQ29" s="46">
        <f t="shared" si="40"/>
        <v>51796.875</v>
      </c>
      <c r="AR29" s="47">
        <f t="shared" si="41"/>
        <v>-5852.1116536458285</v>
      </c>
      <c r="AS29" s="45">
        <f t="shared" si="42"/>
        <v>101.5</v>
      </c>
      <c r="AT29" s="46">
        <f t="shared" si="43"/>
        <v>103125</v>
      </c>
      <c r="AU29" s="47">
        <f t="shared" si="44"/>
        <v>64.3671875</v>
      </c>
      <c r="AV29" s="45">
        <f t="shared" si="45"/>
        <v>101.375</v>
      </c>
      <c r="AW29" s="46">
        <f t="shared" si="46"/>
        <v>411796.87499999994</v>
      </c>
      <c r="AX29" s="47">
        <f t="shared" si="47"/>
        <v>3844.8634765624993</v>
      </c>
      <c r="AY29" s="82">
        <f t="shared" si="48"/>
        <v>-115059.76395945506</v>
      </c>
      <c r="AZ29" s="82"/>
      <c r="BA29" s="82"/>
      <c r="BB29" s="82">
        <f>$AO$4*SUM($AZ$14:AZ29)-$AP$4*SUM($BA$14:BA29)</f>
        <v>39913.439100349337</v>
      </c>
      <c r="BC29" s="82">
        <f t="shared" si="19"/>
        <v>-154973.20305980439</v>
      </c>
      <c r="BE29" s="75">
        <v>45790.625</v>
      </c>
      <c r="BF29" s="54">
        <v>79.47</v>
      </c>
      <c r="BG29" s="75">
        <v>45932.625</v>
      </c>
      <c r="BH29" s="54">
        <v>99.78125</v>
      </c>
      <c r="BI29" s="75">
        <v>45790.625</v>
      </c>
      <c r="BJ29" s="54">
        <v>106.68</v>
      </c>
      <c r="BK29" s="75">
        <v>45932.625</v>
      </c>
      <c r="BL29" s="54">
        <v>99.78125</v>
      </c>
      <c r="BM29" s="75">
        <v>45911.625</v>
      </c>
      <c r="BN29" s="54">
        <v>101.890625</v>
      </c>
      <c r="BO29" s="75">
        <v>45912.625</v>
      </c>
      <c r="BP29" s="54">
        <v>101.171875</v>
      </c>
      <c r="BR29" s="131">
        <v>45917.625</v>
      </c>
      <c r="BS29" s="45">
        <f t="shared" si="20"/>
        <v>107.72799999999999</v>
      </c>
      <c r="BT29" s="46">
        <f t="shared" si="49"/>
        <v>7129.9999999999382</v>
      </c>
      <c r="BU29" s="46">
        <f t="shared" si="50"/>
        <v>5833.3333333333339</v>
      </c>
      <c r="BV29" s="45">
        <f t="shared" si="51"/>
        <v>47.936999999999998</v>
      </c>
      <c r="BW29" s="46">
        <f t="shared" si="52"/>
        <v>10043.999999999996</v>
      </c>
      <c r="BX29" s="47">
        <f t="shared" si="53"/>
        <v>5833.3333333333339</v>
      </c>
      <c r="BY29" s="45">
        <f t="shared" si="54"/>
        <v>-2914.0000000000582</v>
      </c>
      <c r="CA29" s="129">
        <v>45792.625</v>
      </c>
      <c r="CB29" s="54">
        <v>106.253</v>
      </c>
      <c r="CC29" s="129">
        <v>45792.625</v>
      </c>
      <c r="CD29" s="54">
        <v>55</v>
      </c>
      <c r="CF29" s="131">
        <v>45917.625</v>
      </c>
      <c r="CG29" s="45">
        <f t="shared" si="21"/>
        <v>251.23599999999999</v>
      </c>
      <c r="CH29" s="46">
        <f t="shared" si="55"/>
        <v>22491.822222222207</v>
      </c>
      <c r="CI29" s="46">
        <f t="shared" si="56"/>
        <v>6481.4814814814818</v>
      </c>
      <c r="CJ29" s="45">
        <f t="shared" si="57"/>
        <v>50.738</v>
      </c>
      <c r="CK29" s="46">
        <f t="shared" si="58"/>
        <v>18579.400000000005</v>
      </c>
      <c r="CL29" s="47">
        <f t="shared" si="59"/>
        <v>5833.3333333333339</v>
      </c>
      <c r="CM29" s="45">
        <f t="shared" si="60"/>
        <v>4560.5703703703493</v>
      </c>
      <c r="CO29" s="129">
        <v>45793.625</v>
      </c>
      <c r="CP29" s="54">
        <v>300.76799999999997</v>
      </c>
      <c r="CQ29" s="129">
        <v>45793.625</v>
      </c>
      <c r="CR29" s="54">
        <v>57.244999999999997</v>
      </c>
      <c r="CS29" s="54"/>
      <c r="CT29" s="54"/>
      <c r="CU29" s="54"/>
      <c r="CV29" s="54"/>
      <c r="CW29" s="54"/>
      <c r="CX29" s="54"/>
      <c r="CY29" s="54"/>
      <c r="DF29" s="142">
        <f t="shared" si="1"/>
        <v>45918.625</v>
      </c>
      <c r="DG29" s="58">
        <f t="shared" si="2"/>
        <v>72364.591231070284</v>
      </c>
      <c r="DH29" s="58">
        <f t="shared" si="3"/>
        <v>-137858.83156503038</v>
      </c>
      <c r="DI29" s="58">
        <v>-2796.9999999998363</v>
      </c>
      <c r="DJ29" s="58">
        <v>5262.7456790123415</v>
      </c>
      <c r="DK29" s="58">
        <f t="shared" si="22"/>
        <v>32975.393936799635</v>
      </c>
      <c r="DL29" s="58">
        <f t="shared" si="23"/>
        <v>17114.371494774008</v>
      </c>
      <c r="DM29" s="58">
        <f t="shared" si="24"/>
        <v>117.00000000022192</v>
      </c>
      <c r="DN29" s="58">
        <f t="shared" si="25"/>
        <v>702.17530864199216</v>
      </c>
      <c r="DO29" s="58">
        <f t="shared" si="5"/>
        <v>32975.393936799635</v>
      </c>
      <c r="DP29" s="58">
        <f t="shared" si="6"/>
        <v>16097.044362660341</v>
      </c>
      <c r="DQ29" s="58">
        <f t="shared" si="7"/>
        <v>6549.4876843386655</v>
      </c>
      <c r="DR29" s="58">
        <f t="shared" si="8"/>
        <v>24616.076845068786</v>
      </c>
      <c r="DS29" s="58">
        <f>SUM($DO$13:DO29)</f>
        <v>-68484.89376443479</v>
      </c>
      <c r="DT29" s="58">
        <f>SUM($DP$13:DP29)</f>
        <v>-129664.10879677573</v>
      </c>
      <c r="DU29" s="58">
        <f>SUM(DQ$13:DQ29)</f>
        <v>-156571.94062443951</v>
      </c>
      <c r="DV29" s="58">
        <f>SUM(DR$13:DR29)</f>
        <v>184495.45356581654</v>
      </c>
      <c r="DZ29" s="133">
        <v>45918.625</v>
      </c>
      <c r="EA29" s="54">
        <v>-68484.89376443479</v>
      </c>
      <c r="EB29" s="54">
        <v>-129664.10879677573</v>
      </c>
      <c r="EC29" s="54">
        <v>-156571.94062443951</v>
      </c>
      <c r="ED29" s="54">
        <v>184495.45356581654</v>
      </c>
    </row>
    <row r="30" spans="1:134" x14ac:dyDescent="0.3">
      <c r="A30" s="140">
        <v>45868.625</v>
      </c>
      <c r="B30" s="76">
        <f t="shared" si="26"/>
        <v>94.48</v>
      </c>
      <c r="C30" s="31">
        <f t="shared" si="9"/>
        <v>154419.5953141647</v>
      </c>
      <c r="D30" s="32">
        <f t="shared" si="10"/>
        <v>-64624.999999999993</v>
      </c>
      <c r="E30" s="76">
        <f t="shared" si="27"/>
        <v>101.048</v>
      </c>
      <c r="F30" s="31">
        <f t="shared" si="11"/>
        <v>-38599.999999999571</v>
      </c>
      <c r="G30" s="32">
        <f t="shared" si="12"/>
        <v>-23008.263666666662</v>
      </c>
      <c r="H30" s="76">
        <f t="shared" si="28"/>
        <v>120.21</v>
      </c>
      <c r="I30" s="31">
        <f t="shared" si="13"/>
        <v>-596144.38063987147</v>
      </c>
      <c r="J30" s="32">
        <f t="shared" si="14"/>
        <v>-111154.99999999999</v>
      </c>
      <c r="K30" s="76">
        <f t="shared" si="29"/>
        <v>99.552999999999997</v>
      </c>
      <c r="L30" s="31">
        <f t="shared" si="15"/>
        <v>-84870.000000003216</v>
      </c>
      <c r="M30" s="32">
        <f t="shared" si="16"/>
        <v>-50608.41377777778</v>
      </c>
      <c r="N30" s="82">
        <f t="shared" si="17"/>
        <v>723223.82584292127</v>
      </c>
      <c r="O30" s="82"/>
      <c r="P30" s="82"/>
      <c r="Q30" s="82">
        <f>$G$5*SUM($O$14:O30)-$H$5*SUM($P$14:P30)</f>
        <v>-685953.76080000005</v>
      </c>
      <c r="R30" s="82">
        <f t="shared" si="18"/>
        <v>37270.065042921226</v>
      </c>
      <c r="S30" s="143"/>
      <c r="U30" s="75">
        <v>45796.625</v>
      </c>
      <c r="V30" s="54">
        <v>92.89</v>
      </c>
      <c r="W30" s="75">
        <v>45793.625</v>
      </c>
      <c r="X30" s="54">
        <v>101.34</v>
      </c>
      <c r="Y30" s="125">
        <v>45797.625</v>
      </c>
      <c r="Z30" s="54">
        <v>120.68</v>
      </c>
      <c r="AA30" s="75">
        <v>45883.625</v>
      </c>
      <c r="AB30" s="54">
        <v>99.620999999999995</v>
      </c>
      <c r="AF30" s="131">
        <v>45918.625</v>
      </c>
      <c r="AG30" s="45">
        <f t="shared" si="30"/>
        <v>81.23</v>
      </c>
      <c r="AH30" s="46">
        <f t="shared" si="31"/>
        <v>112387.30393973606</v>
      </c>
      <c r="AI30" s="46">
        <f t="shared" si="32"/>
        <v>-90475</v>
      </c>
      <c r="AJ30" s="45">
        <f t="shared" si="33"/>
        <v>99.7890625</v>
      </c>
      <c r="AK30" s="46">
        <f t="shared" si="34"/>
        <v>27421.875</v>
      </c>
      <c r="AL30" s="47">
        <f t="shared" si="35"/>
        <v>-7032.3694661458358</v>
      </c>
      <c r="AM30" s="45">
        <f t="shared" si="36"/>
        <v>111.83</v>
      </c>
      <c r="AN30" s="46">
        <f t="shared" si="37"/>
        <v>588930.29173861851</v>
      </c>
      <c r="AO30" s="47">
        <f t="shared" si="38"/>
        <v>-93060</v>
      </c>
      <c r="AP30" s="45">
        <f t="shared" si="39"/>
        <v>99.7890625</v>
      </c>
      <c r="AQ30" s="46">
        <f t="shared" si="40"/>
        <v>23906.25</v>
      </c>
      <c r="AR30" s="47">
        <f t="shared" si="41"/>
        <v>-6130.783637152781</v>
      </c>
      <c r="AS30" s="45">
        <f t="shared" si="42"/>
        <v>101.09375</v>
      </c>
      <c r="AT30" s="46">
        <f t="shared" si="43"/>
        <v>72656.25</v>
      </c>
      <c r="AU30" s="47">
        <f t="shared" si="44"/>
        <v>67.432291666671517</v>
      </c>
      <c r="AV30" s="45">
        <f t="shared" si="45"/>
        <v>100.328125</v>
      </c>
      <c r="AW30" s="46">
        <f t="shared" si="46"/>
        <v>301875</v>
      </c>
      <c r="AX30" s="47">
        <f t="shared" si="47"/>
        <v>4027.9522135416701</v>
      </c>
      <c r="AY30" s="82">
        <f t="shared" si="48"/>
        <v>-97945.392464681063</v>
      </c>
      <c r="AZ30" s="82"/>
      <c r="BA30" s="82"/>
      <c r="BB30" s="82">
        <f>$AO$4*SUM($AZ$14:AZ30)-$AP$4*SUM($BA$14:BA30)</f>
        <v>39913.439100349337</v>
      </c>
      <c r="BC30" s="82">
        <f t="shared" si="19"/>
        <v>-137858.83156503038</v>
      </c>
      <c r="BE30" s="75">
        <v>45791.625</v>
      </c>
      <c r="BF30" s="54">
        <v>79.180000000000007</v>
      </c>
      <c r="BG30" s="75">
        <v>45933.625</v>
      </c>
      <c r="BH30" s="54">
        <v>99.6015625</v>
      </c>
      <c r="BI30" s="75">
        <v>45791.625</v>
      </c>
      <c r="BJ30" s="54">
        <v>106.18</v>
      </c>
      <c r="BK30" s="75">
        <v>45933.625</v>
      </c>
      <c r="BL30" s="54">
        <v>99.6015625</v>
      </c>
      <c r="BM30" s="75">
        <v>45912.625</v>
      </c>
      <c r="BN30" s="54">
        <v>101.546875</v>
      </c>
      <c r="BO30" s="75">
        <v>45915.625</v>
      </c>
      <c r="BP30" s="54">
        <v>101.4375</v>
      </c>
      <c r="BR30" s="131">
        <v>45918.625</v>
      </c>
      <c r="BS30" s="45">
        <f t="shared" si="20"/>
        <v>107.9539</v>
      </c>
      <c r="BT30" s="46">
        <f t="shared" si="49"/>
        <v>11648.000000000138</v>
      </c>
      <c r="BU30" s="46">
        <f t="shared" si="50"/>
        <v>6111.1111111111113</v>
      </c>
      <c r="BV30" s="45">
        <f t="shared" si="51"/>
        <v>46.959000000000003</v>
      </c>
      <c r="BW30" s="46">
        <f t="shared" si="52"/>
        <v>14444.999999999973</v>
      </c>
      <c r="BX30" s="47">
        <f t="shared" si="53"/>
        <v>6111.1111111111113</v>
      </c>
      <c r="BY30" s="45">
        <f t="shared" si="54"/>
        <v>-2796.9999999998363</v>
      </c>
      <c r="CA30" s="129">
        <v>45793.625</v>
      </c>
      <c r="CB30" s="54">
        <v>106.4032</v>
      </c>
      <c r="CC30" s="129">
        <v>45793.625</v>
      </c>
      <c r="CD30" s="54">
        <v>54.555999999999997</v>
      </c>
      <c r="CF30" s="131">
        <v>45918.625</v>
      </c>
      <c r="CG30" s="45">
        <f t="shared" si="21"/>
        <v>247.51499999999999</v>
      </c>
      <c r="CH30" s="46">
        <f t="shared" si="55"/>
        <v>26130.13333333332</v>
      </c>
      <c r="CI30" s="46">
        <f t="shared" si="56"/>
        <v>6790.1234567901229</v>
      </c>
      <c r="CJ30" s="45">
        <f t="shared" si="57"/>
        <v>50.093000000000004</v>
      </c>
      <c r="CK30" s="46">
        <f t="shared" si="58"/>
        <v>21546.399999999991</v>
      </c>
      <c r="CL30" s="47">
        <f t="shared" si="59"/>
        <v>6111.1111111111113</v>
      </c>
      <c r="CM30" s="45">
        <f t="shared" si="60"/>
        <v>5262.7456790123415</v>
      </c>
      <c r="CO30" s="129">
        <v>45796.625</v>
      </c>
      <c r="CP30" s="54">
        <v>301.44499999999999</v>
      </c>
      <c r="CQ30" s="129">
        <v>45796.625</v>
      </c>
      <c r="CR30" s="54">
        <v>57.45</v>
      </c>
      <c r="CS30" s="54"/>
      <c r="CT30" s="54"/>
      <c r="CU30" s="54"/>
      <c r="CV30" s="54"/>
      <c r="CW30" s="54"/>
      <c r="CX30" s="54"/>
      <c r="CY30" s="54"/>
      <c r="DF30" s="142">
        <f t="shared" si="1"/>
        <v>45919.625</v>
      </c>
      <c r="DG30" s="58">
        <f t="shared" si="2"/>
        <v>38277.557411050278</v>
      </c>
      <c r="DH30" s="58">
        <f t="shared" si="3"/>
        <v>-121896.79112370535</v>
      </c>
      <c r="DI30" s="58">
        <v>-2696.99999999992</v>
      </c>
      <c r="DJ30" s="58">
        <v>4763.9876543209411</v>
      </c>
      <c r="DK30" s="58">
        <f t="shared" si="22"/>
        <v>-34087.033820020006</v>
      </c>
      <c r="DL30" s="58">
        <f t="shared" si="23"/>
        <v>15962.040441325036</v>
      </c>
      <c r="DM30" s="58">
        <f t="shared" si="24"/>
        <v>99.999999999916326</v>
      </c>
      <c r="DN30" s="58">
        <f t="shared" si="25"/>
        <v>-498.75802469140035</v>
      </c>
      <c r="DO30" s="58">
        <f t="shared" si="5"/>
        <v>-34087.033820020006</v>
      </c>
      <c r="DP30" s="58">
        <f t="shared" si="6"/>
        <v>15013.211158881673</v>
      </c>
      <c r="DQ30" s="58">
        <f t="shared" si="7"/>
        <v>5597.8527216416769</v>
      </c>
      <c r="DR30" s="58">
        <f t="shared" si="8"/>
        <v>-17484.901151883081</v>
      </c>
      <c r="DS30" s="58">
        <f>SUM($DO$13:DO30)</f>
        <v>-102571.9275844548</v>
      </c>
      <c r="DT30" s="58">
        <f>SUM($DP$13:DP30)</f>
        <v>-114650.89763789406</v>
      </c>
      <c r="DU30" s="58">
        <f>SUM(DQ$13:DQ30)</f>
        <v>-150974.08790279782</v>
      </c>
      <c r="DV30" s="58">
        <f>SUM(DR$13:DR30)</f>
        <v>167010.55241393344</v>
      </c>
      <c r="DZ30" s="133">
        <v>45919.625</v>
      </c>
      <c r="EA30" s="54">
        <v>-102571.9275844548</v>
      </c>
      <c r="EB30" s="54">
        <v>-114650.89763789406</v>
      </c>
      <c r="EC30" s="54">
        <v>-150974.08790279782</v>
      </c>
      <c r="ED30" s="54">
        <v>167010.55241393344</v>
      </c>
    </row>
    <row r="31" spans="1:134" x14ac:dyDescent="0.3">
      <c r="A31" s="140">
        <v>45869.625</v>
      </c>
      <c r="B31" s="76">
        <f t="shared" si="26"/>
        <v>94.45</v>
      </c>
      <c r="C31" s="31">
        <f t="shared" si="9"/>
        <v>146432.37486687832</v>
      </c>
      <c r="D31" s="32">
        <f t="shared" si="10"/>
        <v>-67562.499999999985</v>
      </c>
      <c r="E31" s="76">
        <f t="shared" si="27"/>
        <v>101.02200000000001</v>
      </c>
      <c r="F31" s="31">
        <f t="shared" si="11"/>
        <v>-43799.999999998814</v>
      </c>
      <c r="G31" s="32">
        <f t="shared" si="12"/>
        <v>-24054.093833333325</v>
      </c>
      <c r="H31" s="76">
        <f t="shared" si="28"/>
        <v>120.26</v>
      </c>
      <c r="I31" s="31">
        <f t="shared" si="13"/>
        <v>-578506.97292863217</v>
      </c>
      <c r="J31" s="32">
        <f t="shared" si="14"/>
        <v>-116207.49999999999</v>
      </c>
      <c r="K31" s="76">
        <f t="shared" si="29"/>
        <v>99.549000000000007</v>
      </c>
      <c r="L31" s="31">
        <f t="shared" si="15"/>
        <v>-86509.999999999389</v>
      </c>
      <c r="M31" s="32">
        <f t="shared" si="16"/>
        <v>-52908.796222222212</v>
      </c>
      <c r="N31" s="82">
        <f t="shared" si="17"/>
        <v>702019.64540662104</v>
      </c>
      <c r="O31" s="82"/>
      <c r="P31" s="82"/>
      <c r="Q31" s="82">
        <f>$G$5*SUM($O$14:O31)-$H$5*SUM($P$14:P31)</f>
        <v>-685953.76080000005</v>
      </c>
      <c r="R31" s="82">
        <f t="shared" si="18"/>
        <v>16065.884606620995</v>
      </c>
      <c r="S31" s="143"/>
      <c r="U31" s="75">
        <v>45797.625</v>
      </c>
      <c r="V31" s="54">
        <v>93.05</v>
      </c>
      <c r="W31" s="75">
        <v>45796.625</v>
      </c>
      <c r="X31" s="54">
        <v>101.408</v>
      </c>
      <c r="Y31" s="125">
        <v>45798.625</v>
      </c>
      <c r="Z31" s="54">
        <v>120.59</v>
      </c>
      <c r="AA31" s="75">
        <v>45884.625</v>
      </c>
      <c r="AB31" s="54">
        <v>99.375</v>
      </c>
      <c r="AF31" s="131">
        <v>45919.625</v>
      </c>
      <c r="AG31" s="45">
        <f t="shared" si="30"/>
        <v>81.260000000000005</v>
      </c>
      <c r="AH31" s="46">
        <f t="shared" si="31"/>
        <v>125355.06977893518</v>
      </c>
      <c r="AI31" s="46">
        <f t="shared" si="32"/>
        <v>-94587.499999999985</v>
      </c>
      <c r="AJ31" s="45">
        <f t="shared" si="33"/>
        <v>99.7734375</v>
      </c>
      <c r="AK31" s="46">
        <f t="shared" si="34"/>
        <v>24375</v>
      </c>
      <c r="AL31" s="47">
        <f t="shared" si="35"/>
        <v>-7352.0226236979142</v>
      </c>
      <c r="AM31" s="45">
        <f t="shared" si="36"/>
        <v>111.74</v>
      </c>
      <c r="AN31" s="46">
        <f t="shared" si="37"/>
        <v>559483.77715168358</v>
      </c>
      <c r="AO31" s="47">
        <f t="shared" si="38"/>
        <v>-97290</v>
      </c>
      <c r="AP31" s="45">
        <f t="shared" si="39"/>
        <v>99.7734375</v>
      </c>
      <c r="AQ31" s="46">
        <f t="shared" si="40"/>
        <v>21250</v>
      </c>
      <c r="AR31" s="47">
        <f t="shared" si="41"/>
        <v>-6409.455620659719</v>
      </c>
      <c r="AS31" s="45">
        <f t="shared" si="42"/>
        <v>101.015625</v>
      </c>
      <c r="AT31" s="46">
        <f t="shared" si="43"/>
        <v>66796.875</v>
      </c>
      <c r="AU31" s="47">
        <f t="shared" si="44"/>
        <v>70.497395833335759</v>
      </c>
      <c r="AV31" s="45">
        <f t="shared" si="45"/>
        <v>100.125</v>
      </c>
      <c r="AW31" s="46">
        <f t="shared" si="46"/>
        <v>280546.875</v>
      </c>
      <c r="AX31" s="47">
        <f t="shared" si="47"/>
        <v>4211.0409505208336</v>
      </c>
      <c r="AY31" s="82">
        <f t="shared" si="48"/>
        <v>-81983.352023356012</v>
      </c>
      <c r="AZ31" s="82"/>
      <c r="BA31" s="82"/>
      <c r="BB31" s="82">
        <f>$AO$4*SUM($AZ$14:AZ31)-$AP$4*SUM($BA$14:BA31)</f>
        <v>39913.439100349337</v>
      </c>
      <c r="BC31" s="82">
        <f t="shared" si="19"/>
        <v>-121896.79112370535</v>
      </c>
      <c r="BE31" s="75">
        <v>45792.625</v>
      </c>
      <c r="BF31" s="54">
        <v>79.33</v>
      </c>
      <c r="BG31" s="75">
        <v>45936.625</v>
      </c>
      <c r="BH31" s="54">
        <v>99.46875</v>
      </c>
      <c r="BI31" s="75">
        <v>45792.625</v>
      </c>
      <c r="BJ31" s="54">
        <v>106.9</v>
      </c>
      <c r="BK31" s="75">
        <v>45936.625</v>
      </c>
      <c r="BL31" s="54">
        <v>99.46875</v>
      </c>
      <c r="BM31" s="75">
        <v>45915.625</v>
      </c>
      <c r="BN31" s="54">
        <v>101.71875</v>
      </c>
      <c r="BO31" s="75">
        <v>45916.625</v>
      </c>
      <c r="BP31" s="54">
        <v>101.578125</v>
      </c>
      <c r="BR31" s="131">
        <v>45919.625</v>
      </c>
      <c r="BS31" s="45">
        <f t="shared" si="20"/>
        <v>107.8977</v>
      </c>
      <c r="BT31" s="46">
        <f t="shared" si="49"/>
        <v>10524.000000000058</v>
      </c>
      <c r="BU31" s="46">
        <f t="shared" si="50"/>
        <v>6388.8888888888887</v>
      </c>
      <c r="BV31" s="45">
        <f t="shared" si="51"/>
        <v>47.231000000000002</v>
      </c>
      <c r="BW31" s="46">
        <f t="shared" si="52"/>
        <v>13220.99999999998</v>
      </c>
      <c r="BX31" s="47">
        <f t="shared" si="53"/>
        <v>6388.8888888888887</v>
      </c>
      <c r="BY31" s="45">
        <f t="shared" si="54"/>
        <v>-2696.99999999992</v>
      </c>
      <c r="CA31" s="129">
        <v>45796.625</v>
      </c>
      <c r="CB31" s="54">
        <v>106.25920000000001</v>
      </c>
      <c r="CC31" s="129">
        <v>45796.625</v>
      </c>
      <c r="CD31" s="54">
        <v>55.116999999999997</v>
      </c>
      <c r="CF31" s="131">
        <v>45919.625</v>
      </c>
      <c r="CG31" s="45">
        <f t="shared" si="21"/>
        <v>248.51300000000001</v>
      </c>
      <c r="CH31" s="46">
        <f t="shared" si="55"/>
        <v>25154.311111111081</v>
      </c>
      <c r="CI31" s="46">
        <f t="shared" si="56"/>
        <v>7098.765432098764</v>
      </c>
      <c r="CJ31" s="45">
        <f t="shared" si="57"/>
        <v>50.19</v>
      </c>
      <c r="CK31" s="46">
        <f t="shared" si="58"/>
        <v>21100.200000000015</v>
      </c>
      <c r="CL31" s="47">
        <f t="shared" si="59"/>
        <v>6388.8888888888887</v>
      </c>
      <c r="CM31" s="45">
        <f t="shared" si="60"/>
        <v>4763.9876543209411</v>
      </c>
      <c r="CO31" s="129">
        <v>45797.625</v>
      </c>
      <c r="CP31" s="54">
        <v>297.32799999999997</v>
      </c>
      <c r="CQ31" s="129">
        <v>45797.625</v>
      </c>
      <c r="CR31" s="54">
        <v>56.813000000000002</v>
      </c>
      <c r="CS31" s="54"/>
      <c r="CT31" s="54"/>
      <c r="CU31" s="54"/>
      <c r="CV31" s="54"/>
      <c r="CW31" s="54"/>
      <c r="CX31" s="54"/>
      <c r="CY31" s="54"/>
      <c r="DF31" s="142">
        <f t="shared" si="1"/>
        <v>45922.625</v>
      </c>
      <c r="DG31" s="58">
        <f t="shared" si="2"/>
        <v>45467.613763767498</v>
      </c>
      <c r="DH31" s="58">
        <f t="shared" si="3"/>
        <v>-63179.958093055393</v>
      </c>
      <c r="DI31" s="58">
        <v>-1289.9999999999445</v>
      </c>
      <c r="DJ31" s="58">
        <v>6281.8691358024416</v>
      </c>
      <c r="DK31" s="58">
        <f t="shared" si="22"/>
        <v>7190.0563527172199</v>
      </c>
      <c r="DL31" s="58">
        <f t="shared" si="23"/>
        <v>58716.833030649956</v>
      </c>
      <c r="DM31" s="58">
        <f t="shared" si="24"/>
        <v>1406.9999999999754</v>
      </c>
      <c r="DN31" s="58">
        <f t="shared" si="25"/>
        <v>1517.8814814815005</v>
      </c>
      <c r="DO31" s="58">
        <f t="shared" si="5"/>
        <v>7190.0563527172199</v>
      </c>
      <c r="DP31" s="58">
        <f t="shared" si="6"/>
        <v>55226.536739482712</v>
      </c>
      <c r="DQ31" s="58">
        <f t="shared" si="7"/>
        <v>78761.787793562922</v>
      </c>
      <c r="DR31" s="58">
        <f t="shared" si="8"/>
        <v>53212.191784581606</v>
      </c>
      <c r="DS31" s="58">
        <f>SUM($DO$13:DO31)</f>
        <v>-95381.871231737576</v>
      </c>
      <c r="DT31" s="58">
        <f>SUM($DP$13:DP31)</f>
        <v>-59424.360898411345</v>
      </c>
      <c r="DU31" s="58">
        <f>SUM(DQ$13:DQ31)</f>
        <v>-72212.3001092349</v>
      </c>
      <c r="DV31" s="58">
        <f>SUM(DR$13:DR31)</f>
        <v>220222.74419851505</v>
      </c>
      <c r="DZ31" s="133">
        <v>45922.625</v>
      </c>
      <c r="EA31" s="54">
        <v>-95381.871231737576</v>
      </c>
      <c r="EB31" s="54">
        <v>-59424.360898411345</v>
      </c>
      <c r="EC31" s="54">
        <v>-72212.3001092349</v>
      </c>
      <c r="ED31" s="54">
        <v>220222.74419851505</v>
      </c>
    </row>
    <row r="32" spans="1:134" x14ac:dyDescent="0.3">
      <c r="A32" s="139">
        <v>45870.625</v>
      </c>
      <c r="B32" s="76">
        <f t="shared" si="26"/>
        <v>94.32</v>
      </c>
      <c r="C32" s="31">
        <f t="shared" si="9"/>
        <v>111821.08626197618</v>
      </c>
      <c r="D32" s="32">
        <f t="shared" si="10"/>
        <v>-70499.999999999985</v>
      </c>
      <c r="E32" s="76">
        <f t="shared" si="27"/>
        <v>101.155</v>
      </c>
      <c r="F32" s="31">
        <f t="shared" si="11"/>
        <v>-17199.999999999705</v>
      </c>
      <c r="G32" s="32">
        <f t="shared" si="12"/>
        <v>-25099.923999999992</v>
      </c>
      <c r="H32" s="76">
        <f t="shared" si="28"/>
        <v>120.22</v>
      </c>
      <c r="I32" s="31">
        <f t="shared" si="13"/>
        <v>-592616.89909762458</v>
      </c>
      <c r="J32" s="32">
        <f t="shared" si="14"/>
        <v>-121259.99999999999</v>
      </c>
      <c r="K32" s="76">
        <f t="shared" si="29"/>
        <v>99.751000000000005</v>
      </c>
      <c r="L32" s="31">
        <f t="shared" si="15"/>
        <v>-3690.0000000001396</v>
      </c>
      <c r="M32" s="32">
        <f t="shared" si="16"/>
        <v>-55209.178666666659</v>
      </c>
      <c r="N32" s="82">
        <f t="shared" si="17"/>
        <v>738598.73069293378</v>
      </c>
      <c r="O32" s="82"/>
      <c r="P32" s="82"/>
      <c r="Q32" s="82">
        <f>$G$5*SUM($O$14:O32)-$H$5*SUM($P$14:P32)</f>
        <v>-685953.76080000005</v>
      </c>
      <c r="R32" s="82">
        <f t="shared" si="18"/>
        <v>52644.969892933732</v>
      </c>
      <c r="S32" s="143"/>
      <c r="U32" s="75">
        <v>45798.625</v>
      </c>
      <c r="V32" s="54">
        <v>92.95</v>
      </c>
      <c r="W32" s="75">
        <v>45797.625</v>
      </c>
      <c r="X32" s="54">
        <v>101.352</v>
      </c>
      <c r="Y32" s="125">
        <v>45799.625</v>
      </c>
      <c r="Z32" s="54">
        <v>120.57</v>
      </c>
      <c r="AA32" s="75">
        <v>45887.625</v>
      </c>
      <c r="AB32" s="54">
        <v>99.388999999999996</v>
      </c>
      <c r="AF32" s="131">
        <v>45922.625</v>
      </c>
      <c r="AG32" s="45">
        <f t="shared" si="30"/>
        <v>81.319999999999993</v>
      </c>
      <c r="AH32" s="46">
        <f t="shared" si="31"/>
        <v>151290.60145732565</v>
      </c>
      <c r="AI32" s="46">
        <f t="shared" si="32"/>
        <v>-106924.99999999999</v>
      </c>
      <c r="AJ32" s="45">
        <f t="shared" si="33"/>
        <v>99.65625</v>
      </c>
      <c r="AK32" s="46">
        <f t="shared" si="34"/>
        <v>1523.4375</v>
      </c>
      <c r="AL32" s="47">
        <f t="shared" si="35"/>
        <v>-8310.9820963541642</v>
      </c>
      <c r="AM32" s="45">
        <f t="shared" si="36"/>
        <v>111.48</v>
      </c>
      <c r="AN32" s="46">
        <f t="shared" si="37"/>
        <v>474416.06834499695</v>
      </c>
      <c r="AO32" s="47">
        <f t="shared" si="38"/>
        <v>-109979.99999999997</v>
      </c>
      <c r="AP32" s="45">
        <f t="shared" si="39"/>
        <v>99.65625</v>
      </c>
      <c r="AQ32" s="46">
        <f t="shared" si="40"/>
        <v>1328.125</v>
      </c>
      <c r="AR32" s="47">
        <f t="shared" si="41"/>
        <v>-7245.4715711805547</v>
      </c>
      <c r="AS32" s="45">
        <f t="shared" si="42"/>
        <v>100.8125</v>
      </c>
      <c r="AT32" s="46">
        <f t="shared" si="43"/>
        <v>51562.5</v>
      </c>
      <c r="AU32" s="47">
        <f t="shared" si="44"/>
        <v>79.692708333335759</v>
      </c>
      <c r="AV32" s="45">
        <f t="shared" si="45"/>
        <v>99.734375</v>
      </c>
      <c r="AW32" s="46">
        <f t="shared" si="46"/>
        <v>239531.25</v>
      </c>
      <c r="AX32" s="47">
        <f t="shared" si="47"/>
        <v>4760.3071614583314</v>
      </c>
      <c r="AY32" s="82">
        <f t="shared" si="48"/>
        <v>-23266.518992706056</v>
      </c>
      <c r="AZ32" s="82"/>
      <c r="BA32" s="82"/>
      <c r="BB32" s="82">
        <f>$AO$4*SUM($AZ$14:AZ32)-$AP$4*SUM($BA$14:BA32)</f>
        <v>39913.439100349337</v>
      </c>
      <c r="BC32" s="82">
        <f t="shared" si="19"/>
        <v>-63179.958093055393</v>
      </c>
      <c r="BE32" s="75">
        <v>45793.625</v>
      </c>
      <c r="BF32" s="54">
        <v>79.42</v>
      </c>
      <c r="BG32" s="75">
        <v>45937.625</v>
      </c>
      <c r="BH32" s="54">
        <v>99.625</v>
      </c>
      <c r="BI32" s="75">
        <v>45793.625</v>
      </c>
      <c r="BJ32" s="54">
        <v>107.1</v>
      </c>
      <c r="BK32" s="75">
        <v>45937.625</v>
      </c>
      <c r="BL32" s="54">
        <v>99.625</v>
      </c>
      <c r="BM32" s="75">
        <v>45916.625</v>
      </c>
      <c r="BN32" s="54">
        <v>101.765625</v>
      </c>
      <c r="BO32" s="75">
        <v>45917.625</v>
      </c>
      <c r="BP32" s="54">
        <v>101.375</v>
      </c>
      <c r="BR32" s="131">
        <v>45922.625</v>
      </c>
      <c r="BS32" s="45">
        <f t="shared" si="20"/>
        <v>107.9379</v>
      </c>
      <c r="BT32" s="46">
        <f t="shared" si="49"/>
        <v>11328.000000000031</v>
      </c>
      <c r="BU32" s="46">
        <f t="shared" si="50"/>
        <v>7222.2222222222226</v>
      </c>
      <c r="BV32" s="45">
        <f t="shared" si="51"/>
        <v>47.365000000000002</v>
      </c>
      <c r="BW32" s="46">
        <f t="shared" si="52"/>
        <v>12617.999999999978</v>
      </c>
      <c r="BX32" s="47">
        <f t="shared" si="53"/>
        <v>7222.2222222222217</v>
      </c>
      <c r="BY32" s="45">
        <f t="shared" si="54"/>
        <v>-1289.9999999999445</v>
      </c>
      <c r="CA32" s="129">
        <v>45797.625</v>
      </c>
      <c r="CB32" s="54">
        <v>106.3137</v>
      </c>
      <c r="CC32" s="129">
        <v>45797.625</v>
      </c>
      <c r="CD32" s="54">
        <v>55.078000000000003</v>
      </c>
      <c r="CF32" s="131">
        <v>45922.625</v>
      </c>
      <c r="CG32" s="45">
        <f t="shared" si="21"/>
        <v>247.34700000000001</v>
      </c>
      <c r="CH32" s="46">
        <f t="shared" si="55"/>
        <v>26294.399999999969</v>
      </c>
      <c r="CI32" s="46">
        <f t="shared" si="56"/>
        <v>8024.6913580246901</v>
      </c>
      <c r="CJ32" s="45">
        <f t="shared" si="57"/>
        <v>50.252000000000002</v>
      </c>
      <c r="CK32" s="46">
        <f t="shared" si="58"/>
        <v>20814.999999999993</v>
      </c>
      <c r="CL32" s="47">
        <f t="shared" si="59"/>
        <v>7222.2222222222217</v>
      </c>
      <c r="CM32" s="45">
        <f t="shared" si="60"/>
        <v>6281.8691358024416</v>
      </c>
      <c r="CO32" s="129">
        <v>45798.625</v>
      </c>
      <c r="CP32" s="54">
        <v>299.49900000000002</v>
      </c>
      <c r="CQ32" s="129">
        <v>45798.625</v>
      </c>
      <c r="CR32" s="54">
        <v>57.048999999999999</v>
      </c>
      <c r="CS32" s="54"/>
      <c r="CT32" s="54"/>
      <c r="CU32" s="54"/>
      <c r="CV32" s="54"/>
      <c r="CW32" s="54"/>
      <c r="CX32" s="54"/>
      <c r="CY32" s="54"/>
      <c r="DF32" s="142">
        <f t="shared" si="1"/>
        <v>45923.625</v>
      </c>
      <c r="DG32" s="58">
        <f t="shared" si="2"/>
        <v>71191.645264659484</v>
      </c>
      <c r="DH32" s="58">
        <f t="shared" si="3"/>
        <v>-70741.808700627298</v>
      </c>
      <c r="DI32" s="58">
        <v>-2076.0000000000691</v>
      </c>
      <c r="DJ32" s="58">
        <v>7608.3999999999578</v>
      </c>
      <c r="DK32" s="58">
        <f t="shared" si="22"/>
        <v>25724.031500891986</v>
      </c>
      <c r="DL32" s="58">
        <f t="shared" si="23"/>
        <v>-7561.8506075719051</v>
      </c>
      <c r="DM32" s="58">
        <f t="shared" si="24"/>
        <v>-786.0000000001246</v>
      </c>
      <c r="DN32" s="58">
        <f t="shared" si="25"/>
        <v>1326.5308641975162</v>
      </c>
      <c r="DO32" s="58">
        <f t="shared" si="5"/>
        <v>25724.031500891986</v>
      </c>
      <c r="DP32" s="58">
        <f t="shared" si="6"/>
        <v>-7112.3526055902266</v>
      </c>
      <c r="DQ32" s="58">
        <f t="shared" si="7"/>
        <v>-43999.122392147372</v>
      </c>
      <c r="DR32" s="58">
        <f t="shared" si="8"/>
        <v>46504.035799257043</v>
      </c>
      <c r="DS32" s="58">
        <f>SUM($DO$13:DO32)</f>
        <v>-69657.83973084559</v>
      </c>
      <c r="DT32" s="58">
        <f>SUM($DP$13:DP32)</f>
        <v>-66536.713504001571</v>
      </c>
      <c r="DU32" s="58">
        <f>SUM(DQ$13:DQ32)</f>
        <v>-116211.42250138227</v>
      </c>
      <c r="DV32" s="58">
        <f>SUM(DR$13:DR32)</f>
        <v>266726.77999777207</v>
      </c>
      <c r="DZ32" s="133">
        <v>45923.625</v>
      </c>
      <c r="EA32" s="54">
        <v>-69657.83973084559</v>
      </c>
      <c r="EB32" s="54">
        <v>-66536.713504001571</v>
      </c>
      <c r="EC32" s="54">
        <v>-116211.42250138227</v>
      </c>
      <c r="ED32" s="54">
        <v>266726.77999777207</v>
      </c>
    </row>
    <row r="33" spans="1:134" x14ac:dyDescent="0.3">
      <c r="A33" s="139">
        <v>45873.625</v>
      </c>
      <c r="B33" s="76">
        <f t="shared" si="26"/>
        <v>94.38</v>
      </c>
      <c r="C33" s="31">
        <f t="shared" si="9"/>
        <v>127795.52715654897</v>
      </c>
      <c r="D33" s="32">
        <f t="shared" si="10"/>
        <v>-79312.499999999985</v>
      </c>
      <c r="E33" s="76">
        <f t="shared" si="27"/>
        <v>101.214</v>
      </c>
      <c r="F33" s="31">
        <f t="shared" si="11"/>
        <v>-5400.0000000002046</v>
      </c>
      <c r="G33" s="32">
        <f t="shared" si="12"/>
        <v>-28237.414499999992</v>
      </c>
      <c r="H33" s="76">
        <f t="shared" si="28"/>
        <v>120.41</v>
      </c>
      <c r="I33" s="31">
        <f t="shared" si="13"/>
        <v>-525594.74979491893</v>
      </c>
      <c r="J33" s="32">
        <f t="shared" si="14"/>
        <v>-136417.49999999997</v>
      </c>
      <c r="K33" s="76">
        <f t="shared" si="29"/>
        <v>99.884</v>
      </c>
      <c r="L33" s="31">
        <f t="shared" si="15"/>
        <v>50839.999999998043</v>
      </c>
      <c r="M33" s="32">
        <f t="shared" si="16"/>
        <v>-62110.326000000015</v>
      </c>
      <c r="N33" s="82">
        <f t="shared" si="17"/>
        <v>732862.36545146606</v>
      </c>
      <c r="O33" s="82"/>
      <c r="P33" s="82"/>
      <c r="Q33" s="82">
        <f>$G$5*SUM($O$14:O33)-$H$5*SUM($P$14:P33)</f>
        <v>-685953.76080000005</v>
      </c>
      <c r="R33" s="82">
        <f t="shared" si="18"/>
        <v>46908.604651466012</v>
      </c>
      <c r="S33" s="143"/>
      <c r="U33" s="75">
        <v>45799.625</v>
      </c>
      <c r="V33" s="54">
        <v>92.82</v>
      </c>
      <c r="W33" s="75">
        <v>45798.625</v>
      </c>
      <c r="X33" s="54">
        <v>101.282</v>
      </c>
      <c r="Y33" s="125">
        <v>45800.625</v>
      </c>
      <c r="Z33" s="54">
        <v>120.79</v>
      </c>
      <c r="AA33" s="75">
        <v>45888.625</v>
      </c>
      <c r="AB33" s="54">
        <v>99.484999999999999</v>
      </c>
      <c r="AF33" s="131">
        <v>45923.625</v>
      </c>
      <c r="AG33" s="45">
        <f t="shared" si="30"/>
        <v>81.260000000000005</v>
      </c>
      <c r="AH33" s="46">
        <f t="shared" si="31"/>
        <v>125355.06977893518</v>
      </c>
      <c r="AI33" s="46">
        <f t="shared" si="32"/>
        <v>-111037.5</v>
      </c>
      <c r="AJ33" s="45">
        <f t="shared" si="33"/>
        <v>99.796875</v>
      </c>
      <c r="AK33" s="46">
        <f t="shared" si="34"/>
        <v>28945.3125</v>
      </c>
      <c r="AL33" s="47">
        <f t="shared" si="35"/>
        <v>-8630.63525390625</v>
      </c>
      <c r="AM33" s="45">
        <f t="shared" si="36"/>
        <v>111.71</v>
      </c>
      <c r="AN33" s="46">
        <f t="shared" si="37"/>
        <v>549668.27228936937</v>
      </c>
      <c r="AO33" s="47">
        <f t="shared" si="38"/>
        <v>-114210</v>
      </c>
      <c r="AP33" s="45">
        <f t="shared" si="39"/>
        <v>99.796875</v>
      </c>
      <c r="AQ33" s="46">
        <f t="shared" si="40"/>
        <v>25234.375</v>
      </c>
      <c r="AR33" s="47">
        <f t="shared" si="41"/>
        <v>-7524.1435546875</v>
      </c>
      <c r="AS33" s="45">
        <f t="shared" si="42"/>
        <v>101.140625</v>
      </c>
      <c r="AT33" s="46">
        <f t="shared" si="43"/>
        <v>76171.875</v>
      </c>
      <c r="AU33" s="47">
        <f t="shared" si="44"/>
        <v>82.7578125</v>
      </c>
      <c r="AV33" s="45">
        <f t="shared" si="45"/>
        <v>100.421875</v>
      </c>
      <c r="AW33" s="46">
        <f t="shared" si="46"/>
        <v>311718.75</v>
      </c>
      <c r="AX33" s="47">
        <f t="shared" si="47"/>
        <v>4943.3958984374985</v>
      </c>
      <c r="AY33" s="82">
        <f t="shared" si="48"/>
        <v>-30828.369600277954</v>
      </c>
      <c r="AZ33" s="82"/>
      <c r="BA33" s="82"/>
      <c r="BB33" s="82">
        <f>$AO$4*SUM($AZ$14:AZ33)-$AP$4*SUM($BA$14:BA33)</f>
        <v>39913.439100349337</v>
      </c>
      <c r="BC33" s="82">
        <f t="shared" si="19"/>
        <v>-70741.808700627298</v>
      </c>
      <c r="BE33" s="75">
        <v>45796.625</v>
      </c>
      <c r="BF33" s="54">
        <v>79.38</v>
      </c>
      <c r="BG33" s="75">
        <v>45938.625</v>
      </c>
      <c r="BH33" s="54">
        <v>99.5625</v>
      </c>
      <c r="BI33" s="75">
        <v>45796.625</v>
      </c>
      <c r="BJ33" s="54">
        <v>107.11</v>
      </c>
      <c r="BK33" s="75">
        <v>45938.625</v>
      </c>
      <c r="BL33" s="54">
        <v>99.5625</v>
      </c>
      <c r="BM33" s="75">
        <v>45917.625</v>
      </c>
      <c r="BN33" s="54">
        <v>101.5</v>
      </c>
      <c r="BO33" s="75">
        <v>45918.625</v>
      </c>
      <c r="BP33" s="54">
        <v>100.328125</v>
      </c>
      <c r="BR33" s="131">
        <v>45923.625</v>
      </c>
      <c r="BS33" s="45">
        <f t="shared" si="20"/>
        <v>107.82299999999999</v>
      </c>
      <c r="BT33" s="46">
        <f t="shared" si="49"/>
        <v>9029.9999999999163</v>
      </c>
      <c r="BU33" s="46">
        <f t="shared" si="50"/>
        <v>7500</v>
      </c>
      <c r="BV33" s="45">
        <f t="shared" si="51"/>
        <v>47.701000000000001</v>
      </c>
      <c r="BW33" s="46">
        <f t="shared" si="52"/>
        <v>11105.999999999985</v>
      </c>
      <c r="BX33" s="47">
        <f t="shared" si="53"/>
        <v>7500</v>
      </c>
      <c r="BY33" s="45">
        <f t="shared" si="54"/>
        <v>-2076.0000000000691</v>
      </c>
      <c r="CA33" s="129">
        <v>45798.625</v>
      </c>
      <c r="CB33" s="54">
        <v>105.5667</v>
      </c>
      <c r="CC33" s="129">
        <v>45798.625</v>
      </c>
      <c r="CD33" s="54">
        <v>58.378999999999998</v>
      </c>
      <c r="CF33" s="131">
        <v>45923.625</v>
      </c>
      <c r="CG33" s="45">
        <f t="shared" si="21"/>
        <v>242.93100000000001</v>
      </c>
      <c r="CH33" s="46">
        <f t="shared" si="55"/>
        <v>30612.266666666637</v>
      </c>
      <c r="CI33" s="46">
        <f t="shared" si="56"/>
        <v>8333.3333333333339</v>
      </c>
      <c r="CJ33" s="45">
        <f t="shared" si="57"/>
        <v>49.594999999999999</v>
      </c>
      <c r="CK33" s="46">
        <f t="shared" si="58"/>
        <v>23837.200000000012</v>
      </c>
      <c r="CL33" s="47">
        <f t="shared" si="59"/>
        <v>7500</v>
      </c>
      <c r="CM33" s="45">
        <f t="shared" si="60"/>
        <v>7608.3999999999578</v>
      </c>
      <c r="CO33" s="129">
        <v>45799.625</v>
      </c>
      <c r="CP33" s="54">
        <v>305.50700000000001</v>
      </c>
      <c r="CQ33" s="129">
        <v>45799.625</v>
      </c>
      <c r="CR33" s="54">
        <v>58.765999999999998</v>
      </c>
      <c r="CS33" s="54"/>
      <c r="CT33" s="54"/>
      <c r="CU33" s="54"/>
      <c r="CV33" s="54"/>
      <c r="CW33" s="54"/>
      <c r="CX33" s="54"/>
      <c r="CY33" s="54"/>
      <c r="DF33" s="142">
        <f t="shared" si="1"/>
        <v>45924.625</v>
      </c>
      <c r="DG33" s="58">
        <f t="shared" si="2"/>
        <v>37590.467665056494</v>
      </c>
      <c r="DH33" s="58">
        <f t="shared" si="3"/>
        <v>-29580.262994526238</v>
      </c>
      <c r="DI33" s="58">
        <v>-1185</v>
      </c>
      <c r="DJ33" s="58">
        <v>7754.5086419752624</v>
      </c>
      <c r="DK33" s="58">
        <f t="shared" si="22"/>
        <v>-33601.17759960299</v>
      </c>
      <c r="DL33" s="58">
        <f t="shared" si="23"/>
        <v>41161.54570610106</v>
      </c>
      <c r="DM33" s="58">
        <f t="shared" si="24"/>
        <v>891.00000000006912</v>
      </c>
      <c r="DN33" s="58">
        <f t="shared" si="25"/>
        <v>146.10864197530464</v>
      </c>
      <c r="DO33" s="58">
        <f t="shared" si="5"/>
        <v>-33601.17759960299</v>
      </c>
      <c r="DP33" s="58">
        <f t="shared" si="6"/>
        <v>38714.785843529411</v>
      </c>
      <c r="DQ33" s="58">
        <f t="shared" si="7"/>
        <v>49876.867749872945</v>
      </c>
      <c r="DR33" s="58">
        <f t="shared" si="8"/>
        <v>5122.1134014931567</v>
      </c>
      <c r="DS33" s="58">
        <f>SUM($DO$13:DO33)</f>
        <v>-103259.01733044858</v>
      </c>
      <c r="DT33" s="58">
        <f>SUM($DP$13:DP33)</f>
        <v>-27821.92766047216</v>
      </c>
      <c r="DU33" s="58">
        <f>SUM(DQ$13:DQ33)</f>
        <v>-66334.554751509335</v>
      </c>
      <c r="DV33" s="58">
        <f>SUM(DR$13:DR33)</f>
        <v>271848.89339926525</v>
      </c>
      <c r="DZ33" s="133">
        <v>45924.625</v>
      </c>
      <c r="EA33" s="54">
        <v>-103259.01733044858</v>
      </c>
      <c r="EB33" s="54">
        <v>-27821.92766047216</v>
      </c>
      <c r="EC33" s="54">
        <v>-66334.554751509335</v>
      </c>
      <c r="ED33" s="54">
        <v>271848.89339926525</v>
      </c>
    </row>
    <row r="34" spans="1:134" x14ac:dyDescent="0.3">
      <c r="A34" s="139">
        <v>45874.625</v>
      </c>
      <c r="B34" s="76">
        <f t="shared" si="26"/>
        <v>94.45</v>
      </c>
      <c r="C34" s="31">
        <f t="shared" si="9"/>
        <v>146432.37486687832</v>
      </c>
      <c r="D34" s="32">
        <f t="shared" si="10"/>
        <v>-82250</v>
      </c>
      <c r="E34" s="76">
        <f t="shared" si="27"/>
        <v>101.217</v>
      </c>
      <c r="F34" s="31">
        <f t="shared" si="11"/>
        <v>-4800.0000000001819</v>
      </c>
      <c r="G34" s="32">
        <f t="shared" si="12"/>
        <v>-29283.244666666658</v>
      </c>
      <c r="H34" s="76">
        <f t="shared" si="28"/>
        <v>120.52</v>
      </c>
      <c r="I34" s="31">
        <f t="shared" si="13"/>
        <v>-486792.45283019333</v>
      </c>
      <c r="J34" s="32">
        <f t="shared" si="14"/>
        <v>-141470</v>
      </c>
      <c r="K34" s="76">
        <f t="shared" si="29"/>
        <v>99.923000000000002</v>
      </c>
      <c r="L34" s="31">
        <f t="shared" si="15"/>
        <v>66829.999999998647</v>
      </c>
      <c r="M34" s="32">
        <f t="shared" si="16"/>
        <v>-64410.708444444448</v>
      </c>
      <c r="N34" s="82">
        <f t="shared" si="17"/>
        <v>728947.36391929258</v>
      </c>
      <c r="O34" s="82"/>
      <c r="P34" s="82"/>
      <c r="Q34" s="82">
        <f>$G$5*SUM($O$14:O34)-$H$5*SUM($P$14:P34)</f>
        <v>-685953.76080000005</v>
      </c>
      <c r="R34" s="82">
        <f t="shared" si="18"/>
        <v>42993.603119292529</v>
      </c>
      <c r="S34" s="143"/>
      <c r="U34" s="75">
        <v>45800.625</v>
      </c>
      <c r="V34" s="54">
        <v>92.47</v>
      </c>
      <c r="W34" s="75">
        <v>45799.625</v>
      </c>
      <c r="X34" s="54">
        <v>101.363</v>
      </c>
      <c r="Y34" s="125">
        <v>45804.625</v>
      </c>
      <c r="Z34" s="54">
        <v>121.1</v>
      </c>
      <c r="AA34" s="75">
        <v>45889.625</v>
      </c>
      <c r="AB34" s="54">
        <v>99.653999999999996</v>
      </c>
      <c r="AF34" s="131">
        <v>45924.625</v>
      </c>
      <c r="AG34" s="45">
        <f t="shared" si="30"/>
        <v>81.150000000000006</v>
      </c>
      <c r="AH34" s="46">
        <f t="shared" si="31"/>
        <v>77806.595035202481</v>
      </c>
      <c r="AI34" s="46">
        <f t="shared" si="32"/>
        <v>-115150</v>
      </c>
      <c r="AJ34" s="45">
        <f t="shared" si="33"/>
        <v>99.6015625</v>
      </c>
      <c r="AK34" s="46">
        <f t="shared" si="34"/>
        <v>-9140.625</v>
      </c>
      <c r="AL34" s="47">
        <f t="shared" si="35"/>
        <v>-8950.2884114583358</v>
      </c>
      <c r="AM34" s="45">
        <f t="shared" si="36"/>
        <v>111.26</v>
      </c>
      <c r="AN34" s="46">
        <f t="shared" si="37"/>
        <v>402435.69935472665</v>
      </c>
      <c r="AO34" s="47">
        <f t="shared" si="38"/>
        <v>-118439.99999999999</v>
      </c>
      <c r="AP34" s="45">
        <f t="shared" si="39"/>
        <v>99.6015625</v>
      </c>
      <c r="AQ34" s="46">
        <f t="shared" si="40"/>
        <v>-7968.75</v>
      </c>
      <c r="AR34" s="47">
        <f t="shared" si="41"/>
        <v>-7802.8155381944453</v>
      </c>
      <c r="AS34" s="45">
        <f t="shared" si="42"/>
        <v>100.859375</v>
      </c>
      <c r="AT34" s="46">
        <f t="shared" si="43"/>
        <v>55078.125</v>
      </c>
      <c r="AU34" s="47">
        <f t="shared" si="44"/>
        <v>85.822916666671517</v>
      </c>
      <c r="AV34" s="45">
        <f t="shared" si="45"/>
        <v>100.015625</v>
      </c>
      <c r="AW34" s="46">
        <f t="shared" si="46"/>
        <v>269062.5</v>
      </c>
      <c r="AX34" s="47">
        <f t="shared" si="47"/>
        <v>5126.484635416673</v>
      </c>
      <c r="AY34" s="82">
        <f t="shared" si="48"/>
        <v>10333.176105823099</v>
      </c>
      <c r="AZ34" s="82"/>
      <c r="BA34" s="82"/>
      <c r="BB34" s="82">
        <f>$AO$4*SUM($AZ$14:AZ34)-$AP$4*SUM($BA$14:BA34)</f>
        <v>39913.439100349337</v>
      </c>
      <c r="BC34" s="82">
        <f t="shared" si="19"/>
        <v>-29580.262994526238</v>
      </c>
      <c r="BE34" s="75">
        <v>45797.625</v>
      </c>
      <c r="BF34" s="54">
        <v>79.34</v>
      </c>
      <c r="BG34" s="75">
        <v>45939.625</v>
      </c>
      <c r="BH34" s="54">
        <v>99.5078125</v>
      </c>
      <c r="BI34" s="75">
        <v>45797.625</v>
      </c>
      <c r="BJ34" s="54">
        <v>106.86</v>
      </c>
      <c r="BK34" s="75">
        <v>45939.625</v>
      </c>
      <c r="BL34" s="54">
        <v>99.5078125</v>
      </c>
      <c r="BM34" s="75">
        <v>45918.625</v>
      </c>
      <c r="BN34" s="54">
        <v>101.09375</v>
      </c>
      <c r="BO34" s="75">
        <v>45919.625</v>
      </c>
      <c r="BP34" s="54">
        <v>100.125</v>
      </c>
      <c r="BR34" s="131">
        <v>45924.625</v>
      </c>
      <c r="BS34" s="45">
        <f t="shared" si="20"/>
        <v>107.7465</v>
      </c>
      <c r="BT34" s="46">
        <f t="shared" si="49"/>
        <v>7500</v>
      </c>
      <c r="BU34" s="46">
        <f t="shared" si="50"/>
        <v>7777.7777777777783</v>
      </c>
      <c r="BV34" s="45">
        <f t="shared" si="51"/>
        <v>48.238999999999997</v>
      </c>
      <c r="BW34" s="46">
        <f t="shared" si="52"/>
        <v>8685</v>
      </c>
      <c r="BX34" s="47">
        <f t="shared" si="53"/>
        <v>7777.7777777777774</v>
      </c>
      <c r="BY34" s="45">
        <f t="shared" si="54"/>
        <v>-1185</v>
      </c>
      <c r="CA34" s="129">
        <v>45799.625</v>
      </c>
      <c r="CB34" s="54">
        <v>105.6853</v>
      </c>
      <c r="CC34" s="129">
        <v>45799.625</v>
      </c>
      <c r="CD34" s="54">
        <v>57.960999999999999</v>
      </c>
      <c r="CF34" s="131">
        <v>45924.625</v>
      </c>
      <c r="CG34" s="45">
        <f t="shared" si="21"/>
        <v>243.08600000000001</v>
      </c>
      <c r="CH34" s="46">
        <f t="shared" si="55"/>
        <v>30460.711111111075</v>
      </c>
      <c r="CI34" s="46">
        <f t="shared" si="56"/>
        <v>8641.9753086419751</v>
      </c>
      <c r="CJ34" s="45">
        <f t="shared" si="57"/>
        <v>49.652999999999999</v>
      </c>
      <c r="CK34" s="46">
        <f t="shared" si="58"/>
        <v>23570.400000000012</v>
      </c>
      <c r="CL34" s="47">
        <f t="shared" si="59"/>
        <v>7777.7777777777774</v>
      </c>
      <c r="CM34" s="45">
        <f t="shared" si="60"/>
        <v>7754.5086419752624</v>
      </c>
      <c r="CO34" s="129">
        <v>45800.625</v>
      </c>
      <c r="CP34" s="54">
        <v>312.83199999999999</v>
      </c>
      <c r="CQ34" s="129">
        <v>45800.625</v>
      </c>
      <c r="CR34" s="54">
        <v>60.347000000000001</v>
      </c>
      <c r="CS34" s="54"/>
      <c r="CT34" s="54"/>
      <c r="CU34" s="54"/>
      <c r="CV34" s="54"/>
      <c r="CW34" s="54"/>
      <c r="CX34" s="54"/>
      <c r="CY34" s="54"/>
      <c r="DF34" s="142">
        <f t="shared" si="1"/>
        <v>45925.625</v>
      </c>
      <c r="DG34" s="58">
        <f t="shared" si="2"/>
        <v>38126.776980563591</v>
      </c>
      <c r="DH34" s="58">
        <f t="shared" si="3"/>
        <v>-72710.654497794283</v>
      </c>
      <c r="DI34" s="58">
        <v>-907.99999999990541</v>
      </c>
      <c r="DJ34" s="58">
        <v>8743.6172839505834</v>
      </c>
      <c r="DK34" s="58">
        <f t="shared" si="22"/>
        <v>536.30931550709647</v>
      </c>
      <c r="DL34" s="58">
        <f t="shared" si="23"/>
        <v>-43130.391503268045</v>
      </c>
      <c r="DM34" s="58">
        <f t="shared" si="24"/>
        <v>277.00000000009459</v>
      </c>
      <c r="DN34" s="58">
        <f t="shared" si="25"/>
        <v>989.10864197532101</v>
      </c>
      <c r="DO34" s="58">
        <f t="shared" si="5"/>
        <v>536.30931550709647</v>
      </c>
      <c r="DP34" s="58">
        <f t="shared" si="6"/>
        <v>-40566.597822129494</v>
      </c>
      <c r="DQ34" s="58">
        <f t="shared" si="7"/>
        <v>15506.052038965716</v>
      </c>
      <c r="DR34" s="58">
        <f t="shared" si="8"/>
        <v>34675.064815473423</v>
      </c>
      <c r="DS34" s="58">
        <f>SUM($DO$13:DO34)</f>
        <v>-102722.70801494148</v>
      </c>
      <c r="DT34" s="58">
        <f>SUM($DP$13:DP34)</f>
        <v>-68388.525482601661</v>
      </c>
      <c r="DU34" s="58">
        <f>SUM(DQ$13:DQ34)</f>
        <v>-50828.502712543617</v>
      </c>
      <c r="DV34" s="58">
        <f>SUM(DR$13:DR34)</f>
        <v>306523.95821473864</v>
      </c>
      <c r="DZ34" s="133">
        <v>45925.625</v>
      </c>
      <c r="EA34" s="54">
        <v>-102722.70801494148</v>
      </c>
      <c r="EB34" s="54">
        <v>-68388.525482601661</v>
      </c>
      <c r="EC34" s="54">
        <v>-50828.502712543617</v>
      </c>
      <c r="ED34" s="54">
        <v>306523.95821473864</v>
      </c>
    </row>
    <row r="35" spans="1:134" x14ac:dyDescent="0.3">
      <c r="A35" s="139">
        <v>45875.625</v>
      </c>
      <c r="B35" s="76">
        <f t="shared" si="26"/>
        <v>94.47</v>
      </c>
      <c r="C35" s="31">
        <f t="shared" si="9"/>
        <v>151757.1884984026</v>
      </c>
      <c r="D35" s="32">
        <f t="shared" si="10"/>
        <v>-85187.5</v>
      </c>
      <c r="E35" s="76">
        <f t="shared" si="27"/>
        <v>101.197</v>
      </c>
      <c r="F35" s="31">
        <f t="shared" si="11"/>
        <v>-8799.9999999993852</v>
      </c>
      <c r="G35" s="32">
        <f t="shared" si="12"/>
        <v>-30329.074833333332</v>
      </c>
      <c r="H35" s="76">
        <f t="shared" si="28"/>
        <v>120.41</v>
      </c>
      <c r="I35" s="31">
        <f t="shared" si="13"/>
        <v>-525594.74979491893</v>
      </c>
      <c r="J35" s="32">
        <f t="shared" si="14"/>
        <v>-146522.5</v>
      </c>
      <c r="K35" s="76">
        <f t="shared" si="29"/>
        <v>99.869</v>
      </c>
      <c r="L35" s="31">
        <f t="shared" si="15"/>
        <v>44689.999999997803</v>
      </c>
      <c r="M35" s="32">
        <f t="shared" si="16"/>
        <v>-66711.09088888891</v>
      </c>
      <c r="N35" s="82">
        <f t="shared" si="17"/>
        <v>755794.92223776306</v>
      </c>
      <c r="O35" s="82"/>
      <c r="P35" s="82"/>
      <c r="Q35" s="82">
        <f>$G$5*SUM($O$14:O35)-$H$5*SUM($P$14:P35)</f>
        <v>-685953.76080000005</v>
      </c>
      <c r="R35" s="82">
        <f t="shared" si="18"/>
        <v>69841.161437763018</v>
      </c>
      <c r="S35" s="143"/>
      <c r="U35" s="75">
        <v>45804.625</v>
      </c>
      <c r="V35" s="54">
        <v>93.11</v>
      </c>
      <c r="W35" s="75">
        <v>45800.625</v>
      </c>
      <c r="X35" s="54">
        <v>101.581</v>
      </c>
      <c r="Y35" s="125">
        <v>45805.625</v>
      </c>
      <c r="Z35" s="54">
        <v>120.98</v>
      </c>
      <c r="AA35" s="75">
        <v>45890.625</v>
      </c>
      <c r="AB35" s="54">
        <v>99.468999999999994</v>
      </c>
      <c r="AF35" s="131">
        <v>45925.625</v>
      </c>
      <c r="AG35" s="45">
        <f t="shared" si="30"/>
        <v>80.92</v>
      </c>
      <c r="AH35" s="46">
        <f t="shared" si="31"/>
        <v>-21612.943065330568</v>
      </c>
      <c r="AI35" s="46">
        <f t="shared" si="32"/>
        <v>-119262.5</v>
      </c>
      <c r="AJ35" s="45">
        <f t="shared" si="33"/>
        <v>99.390625</v>
      </c>
      <c r="AK35" s="46">
        <f t="shared" si="34"/>
        <v>-50273.4375</v>
      </c>
      <c r="AL35" s="47">
        <f t="shared" si="35"/>
        <v>-9269.9415690104142</v>
      </c>
      <c r="AM35" s="45">
        <f t="shared" si="36"/>
        <v>111.06</v>
      </c>
      <c r="AN35" s="46">
        <f t="shared" si="37"/>
        <v>336999.0002726526</v>
      </c>
      <c r="AO35" s="47">
        <f t="shared" si="38"/>
        <v>-122669.99999999999</v>
      </c>
      <c r="AP35" s="45">
        <f t="shared" si="39"/>
        <v>99.390625</v>
      </c>
      <c r="AQ35" s="46">
        <f t="shared" si="40"/>
        <v>-43828.125</v>
      </c>
      <c r="AR35" s="47">
        <f t="shared" si="41"/>
        <v>-8081.4875217013905</v>
      </c>
      <c r="AS35" s="45">
        <f t="shared" si="42"/>
        <v>100.640625</v>
      </c>
      <c r="AT35" s="46">
        <f t="shared" si="43"/>
        <v>38671.875</v>
      </c>
      <c r="AU35" s="47">
        <f t="shared" si="44"/>
        <v>88.888020833339397</v>
      </c>
      <c r="AV35" s="45">
        <f t="shared" si="45"/>
        <v>100.03125</v>
      </c>
      <c r="AW35" s="46">
        <f t="shared" si="46"/>
        <v>270703.125</v>
      </c>
      <c r="AX35" s="47">
        <f t="shared" si="47"/>
        <v>5309.5733723958328</v>
      </c>
      <c r="AY35" s="82">
        <f t="shared" si="48"/>
        <v>-32797.215397444954</v>
      </c>
      <c r="AZ35" s="82"/>
      <c r="BA35" s="82"/>
      <c r="BB35" s="82">
        <f>$AO$4*SUM($AZ$14:AZ35)-$AP$4*SUM($BA$14:BA35)</f>
        <v>39913.439100349337</v>
      </c>
      <c r="BC35" s="82">
        <f t="shared" si="19"/>
        <v>-72710.654497794283</v>
      </c>
      <c r="BE35" s="75">
        <v>45798.625</v>
      </c>
      <c r="BF35" s="54">
        <v>78.81</v>
      </c>
      <c r="BG35" s="75">
        <v>45940.625</v>
      </c>
      <c r="BH35" s="54">
        <v>99.890625</v>
      </c>
      <c r="BI35" s="75">
        <v>45798.625</v>
      </c>
      <c r="BJ35" s="54">
        <v>105.66</v>
      </c>
      <c r="BK35" s="75">
        <v>45940.625</v>
      </c>
      <c r="BL35" s="54">
        <v>99.890625</v>
      </c>
      <c r="BM35" s="75">
        <v>45919.625</v>
      </c>
      <c r="BN35" s="54">
        <v>101.015625</v>
      </c>
      <c r="BO35" s="75">
        <v>45922.625</v>
      </c>
      <c r="BP35" s="54">
        <v>99.734375</v>
      </c>
      <c r="BR35" s="131">
        <v>45925.625</v>
      </c>
      <c r="BS35" s="45">
        <f t="shared" si="20"/>
        <v>107.6015</v>
      </c>
      <c r="BT35" s="46">
        <f t="shared" si="49"/>
        <v>4600.00000000008</v>
      </c>
      <c r="BU35" s="46">
        <f t="shared" si="50"/>
        <v>8055.5555555555566</v>
      </c>
      <c r="BV35" s="45">
        <f t="shared" si="51"/>
        <v>48.945</v>
      </c>
      <c r="BW35" s="46">
        <f t="shared" si="52"/>
        <v>5507.9999999999854</v>
      </c>
      <c r="BX35" s="47">
        <f t="shared" si="53"/>
        <v>8055.5555555555566</v>
      </c>
      <c r="BY35" s="45">
        <f t="shared" si="54"/>
        <v>-907.99999999990541</v>
      </c>
      <c r="CA35" s="129">
        <v>45804.625</v>
      </c>
      <c r="CB35" s="54">
        <v>106.0853</v>
      </c>
      <c r="CC35" s="129">
        <v>45804.625</v>
      </c>
      <c r="CD35" s="54">
        <v>55.93</v>
      </c>
      <c r="CF35" s="131">
        <v>45925.625</v>
      </c>
      <c r="CG35" s="45">
        <f t="shared" si="21"/>
        <v>247.20099999999999</v>
      </c>
      <c r="CH35" s="46">
        <f t="shared" si="55"/>
        <v>26437.155555555539</v>
      </c>
      <c r="CI35" s="46">
        <f t="shared" si="56"/>
        <v>8950.6172839506162</v>
      </c>
      <c r="CJ35" s="45">
        <f t="shared" si="57"/>
        <v>50.735999999999997</v>
      </c>
      <c r="CK35" s="46">
        <f t="shared" si="58"/>
        <v>18588.600000000017</v>
      </c>
      <c r="CL35" s="47">
        <f t="shared" si="59"/>
        <v>8055.5555555555566</v>
      </c>
      <c r="CM35" s="45">
        <f t="shared" si="60"/>
        <v>8743.6172839505834</v>
      </c>
      <c r="CO35" s="129">
        <v>45804.625</v>
      </c>
      <c r="CP35" s="54">
        <v>300.76</v>
      </c>
      <c r="CQ35" s="129">
        <v>45804.625</v>
      </c>
      <c r="CR35" s="54">
        <v>57.875</v>
      </c>
      <c r="CS35" s="54"/>
      <c r="CT35" s="54"/>
      <c r="CU35" s="54"/>
      <c r="CV35" s="54"/>
      <c r="CW35" s="54"/>
      <c r="CX35" s="54"/>
      <c r="CY35" s="54"/>
      <c r="DF35" s="142">
        <f t="shared" si="1"/>
        <v>45926.625</v>
      </c>
      <c r="DG35" s="58">
        <f t="shared" si="2"/>
        <v>80819.631518541748</v>
      </c>
      <c r="DH35" s="58">
        <f t="shared" si="3"/>
        <v>-71071.188485087609</v>
      </c>
      <c r="DI35" s="58">
        <v>-500.99999999987631</v>
      </c>
      <c r="DJ35" s="58">
        <v>9419.0148148148</v>
      </c>
      <c r="DK35" s="58">
        <f t="shared" si="22"/>
        <v>42692.854537978157</v>
      </c>
      <c r="DL35" s="58">
        <f t="shared" si="23"/>
        <v>1639.4660127066745</v>
      </c>
      <c r="DM35" s="58">
        <f t="shared" si="24"/>
        <v>407.0000000000291</v>
      </c>
      <c r="DN35" s="58">
        <f t="shared" si="25"/>
        <v>675.39753086421661</v>
      </c>
      <c r="DO35" s="58">
        <f t="shared" si="5"/>
        <v>42692.854537978157</v>
      </c>
      <c r="DP35" s="58">
        <f t="shared" si="6"/>
        <v>1542.0114694642302</v>
      </c>
      <c r="DQ35" s="58">
        <f t="shared" si="7"/>
        <v>22783.260577102319</v>
      </c>
      <c r="DR35" s="58">
        <f t="shared" si="8"/>
        <v>23677.331452849397</v>
      </c>
      <c r="DS35" s="58">
        <f>SUM($DO$13:DO35)</f>
        <v>-60029.853476963326</v>
      </c>
      <c r="DT35" s="58">
        <f>SUM($DP$13:DP35)</f>
        <v>-66846.514013137436</v>
      </c>
      <c r="DU35" s="58">
        <f>SUM(DQ$13:DQ35)</f>
        <v>-28045.242135441298</v>
      </c>
      <c r="DV35" s="58">
        <f>SUM(DR$13:DR35)</f>
        <v>330201.28966758802</v>
      </c>
      <c r="DZ35" s="133">
        <v>45926.625</v>
      </c>
      <c r="EA35" s="54">
        <v>-60029.853476963326</v>
      </c>
      <c r="EB35" s="54">
        <v>-66846.514013137436</v>
      </c>
      <c r="EC35" s="54">
        <v>-28045.242135441298</v>
      </c>
      <c r="ED35" s="54">
        <v>330201.28966758802</v>
      </c>
    </row>
    <row r="36" spans="1:134" x14ac:dyDescent="0.3">
      <c r="A36" s="139">
        <v>45876.625</v>
      </c>
      <c r="B36" s="76">
        <f t="shared" si="26"/>
        <v>94.64</v>
      </c>
      <c r="C36" s="31">
        <f t="shared" si="9"/>
        <v>197018.10436634769</v>
      </c>
      <c r="D36" s="32">
        <f t="shared" si="10"/>
        <v>-88124.999999999985</v>
      </c>
      <c r="E36" s="76">
        <f t="shared" si="27"/>
        <v>101.16500000000001</v>
      </c>
      <c r="F36" s="31">
        <f t="shared" si="11"/>
        <v>-15199.999999998679</v>
      </c>
      <c r="G36" s="32">
        <f t="shared" si="12"/>
        <v>-31374.904999999984</v>
      </c>
      <c r="H36" s="76">
        <f t="shared" si="28"/>
        <v>120.52</v>
      </c>
      <c r="I36" s="31">
        <f t="shared" si="13"/>
        <v>-486792.45283019333</v>
      </c>
      <c r="J36" s="32">
        <f t="shared" si="14"/>
        <v>-151574.99999999997</v>
      </c>
      <c r="K36" s="76">
        <f t="shared" si="29"/>
        <v>99.838999999999999</v>
      </c>
      <c r="L36" s="31">
        <f t="shared" si="15"/>
        <v>32389.999999997341</v>
      </c>
      <c r="M36" s="32">
        <f t="shared" si="16"/>
        <v>-69011.473333333328</v>
      </c>
      <c r="N36" s="82">
        <f t="shared" si="17"/>
        <v>757213.98886320367</v>
      </c>
      <c r="O36" s="82"/>
      <c r="P36" s="82"/>
      <c r="Q36" s="82">
        <f>$G$5*SUM($O$14:O36)-$H$5*SUM($P$14:P36)</f>
        <v>-685953.76080000005</v>
      </c>
      <c r="R36" s="82">
        <f t="shared" si="18"/>
        <v>71260.228063203627</v>
      </c>
      <c r="S36" s="143"/>
      <c r="U36" s="75">
        <v>45805.625</v>
      </c>
      <c r="V36" s="54">
        <v>93.01</v>
      </c>
      <c r="W36" s="75">
        <v>45803.625</v>
      </c>
      <c r="X36" s="54">
        <v>101.53100000000001</v>
      </c>
      <c r="Y36" s="125">
        <v>45806.625</v>
      </c>
      <c r="Z36" s="54">
        <v>121.25</v>
      </c>
      <c r="AA36" s="75">
        <v>45891.625</v>
      </c>
      <c r="AB36" s="54">
        <v>99.596000000000004</v>
      </c>
      <c r="AF36" s="131">
        <v>45926.625</v>
      </c>
      <c r="AG36" s="45">
        <f t="shared" si="30"/>
        <v>81.08</v>
      </c>
      <c r="AH36" s="46">
        <f t="shared" si="31"/>
        <v>47548.474743732695</v>
      </c>
      <c r="AI36" s="46">
        <f t="shared" si="32"/>
        <v>-123374.99999999999</v>
      </c>
      <c r="AJ36" s="45">
        <f t="shared" si="33"/>
        <v>99.3828125</v>
      </c>
      <c r="AK36" s="46">
        <f t="shared" si="34"/>
        <v>-51796.875000000007</v>
      </c>
      <c r="AL36" s="47">
        <f t="shared" si="35"/>
        <v>-9589.5947265625073</v>
      </c>
      <c r="AM36" s="45">
        <f t="shared" si="36"/>
        <v>111.21</v>
      </c>
      <c r="AN36" s="46">
        <f t="shared" si="37"/>
        <v>386076.52458420018</v>
      </c>
      <c r="AO36" s="47">
        <f t="shared" si="38"/>
        <v>-126899.99999999999</v>
      </c>
      <c r="AP36" s="45">
        <f t="shared" si="39"/>
        <v>99.3828125</v>
      </c>
      <c r="AQ36" s="46">
        <f t="shared" si="40"/>
        <v>-45156.25</v>
      </c>
      <c r="AR36" s="47">
        <f t="shared" si="41"/>
        <v>-8360.1595052083358</v>
      </c>
      <c r="AS36" s="45">
        <f t="shared" si="42"/>
        <v>100.5625</v>
      </c>
      <c r="AT36" s="46">
        <f t="shared" si="43"/>
        <v>32812.5</v>
      </c>
      <c r="AU36" s="47">
        <f t="shared" si="44"/>
        <v>91.953125000003638</v>
      </c>
      <c r="AV36" s="45">
        <f t="shared" si="45"/>
        <v>99.90625</v>
      </c>
      <c r="AW36" s="46">
        <f t="shared" si="46"/>
        <v>257578.125</v>
      </c>
      <c r="AX36" s="47">
        <f t="shared" si="47"/>
        <v>5492.662109375</v>
      </c>
      <c r="AY36" s="82">
        <f t="shared" si="48"/>
        <v>-31157.749384738272</v>
      </c>
      <c r="AZ36" s="82"/>
      <c r="BA36" s="82"/>
      <c r="BB36" s="82">
        <f>$AO$4*SUM($AZ$14:AZ36)-$AP$4*SUM($BA$14:BA36)</f>
        <v>39913.439100349337</v>
      </c>
      <c r="BC36" s="82">
        <f t="shared" si="19"/>
        <v>-71071.188485087609</v>
      </c>
      <c r="BE36" s="75">
        <v>45799.625</v>
      </c>
      <c r="BF36" s="54">
        <v>78.97</v>
      </c>
      <c r="BG36" s="75">
        <v>45943.625</v>
      </c>
      <c r="BH36" s="54">
        <v>99.9921875</v>
      </c>
      <c r="BI36" s="75">
        <v>45799.625</v>
      </c>
      <c r="BJ36" s="54">
        <v>106.2</v>
      </c>
      <c r="BK36" s="75">
        <v>45943.625</v>
      </c>
      <c r="BL36" s="54">
        <v>99.9921875</v>
      </c>
      <c r="BM36" s="75">
        <v>45922.625</v>
      </c>
      <c r="BN36" s="54">
        <v>100.8125</v>
      </c>
      <c r="BO36" s="75">
        <v>45923.625</v>
      </c>
      <c r="BP36" s="54">
        <v>100.421875</v>
      </c>
      <c r="BR36" s="131">
        <v>45926.625</v>
      </c>
      <c r="BS36" s="45">
        <f t="shared" si="20"/>
        <v>107.7762</v>
      </c>
      <c r="BT36" s="46">
        <f t="shared" si="49"/>
        <v>8094.0000000001082</v>
      </c>
      <c r="BU36" s="46">
        <f t="shared" si="50"/>
        <v>8333.3333333333339</v>
      </c>
      <c r="BV36" s="45">
        <f t="shared" si="51"/>
        <v>48.259</v>
      </c>
      <c r="BW36" s="46">
        <f t="shared" si="52"/>
        <v>8594.9999999999854</v>
      </c>
      <c r="BX36" s="47">
        <f t="shared" si="53"/>
        <v>8333.3333333333321</v>
      </c>
      <c r="BY36" s="45">
        <f t="shared" si="54"/>
        <v>-500.99999999987631</v>
      </c>
      <c r="CA36" s="129">
        <v>45805.625</v>
      </c>
      <c r="CB36" s="54">
        <v>106.0368</v>
      </c>
      <c r="CC36" s="129">
        <v>45805.625</v>
      </c>
      <c r="CD36" s="54">
        <v>56.25</v>
      </c>
      <c r="CF36" s="131">
        <v>45926.625</v>
      </c>
      <c r="CG36" s="45">
        <f t="shared" si="21"/>
        <v>244.453</v>
      </c>
      <c r="CH36" s="46">
        <f t="shared" si="55"/>
        <v>29124.088888888866</v>
      </c>
      <c r="CI36" s="46">
        <f t="shared" si="56"/>
        <v>9259.2592592592591</v>
      </c>
      <c r="CJ36" s="45">
        <f t="shared" si="57"/>
        <v>50.292000000000002</v>
      </c>
      <c r="CK36" s="46">
        <f t="shared" si="58"/>
        <v>20630.999999999996</v>
      </c>
      <c r="CL36" s="47">
        <f t="shared" si="59"/>
        <v>8333.3333333333321</v>
      </c>
      <c r="CM36" s="45">
        <f t="shared" si="60"/>
        <v>9419.0148148148</v>
      </c>
      <c r="CO36" s="129">
        <v>45805.625</v>
      </c>
      <c r="CP36" s="54">
        <v>299.834</v>
      </c>
      <c r="CQ36" s="129">
        <v>45805.625</v>
      </c>
      <c r="CR36" s="54">
        <v>57.68</v>
      </c>
      <c r="CS36" s="54"/>
      <c r="CT36" s="54"/>
      <c r="CU36" s="54"/>
      <c r="CV36" s="54"/>
      <c r="CW36" s="54"/>
      <c r="CX36" s="54"/>
      <c r="CY36" s="54"/>
      <c r="DF36" s="142">
        <f t="shared" si="1"/>
        <v>45929.625</v>
      </c>
      <c r="DG36" s="58">
        <f t="shared" si="2"/>
        <v>4003.7110540830763</v>
      </c>
      <c r="DH36" s="58">
        <f t="shared" si="3"/>
        <v>-31125.811158416655</v>
      </c>
      <c r="DI36" s="58">
        <v>143.00000000003638</v>
      </c>
      <c r="DJ36" s="58">
        <v>9181.5185185185055</v>
      </c>
      <c r="DK36" s="58">
        <f t="shared" si="22"/>
        <v>-76815.920464458672</v>
      </c>
      <c r="DL36" s="58">
        <f t="shared" si="23"/>
        <v>39945.377326670954</v>
      </c>
      <c r="DM36" s="58">
        <f t="shared" si="24"/>
        <v>643.99999999991269</v>
      </c>
      <c r="DN36" s="58">
        <f t="shared" si="25"/>
        <v>-237.49629629629453</v>
      </c>
      <c r="DO36" s="58">
        <f t="shared" si="5"/>
        <v>-76815.920464458672</v>
      </c>
      <c r="DP36" s="58">
        <f t="shared" si="6"/>
        <v>37570.909986789418</v>
      </c>
      <c r="DQ36" s="58">
        <f t="shared" si="7"/>
        <v>36050.171527397681</v>
      </c>
      <c r="DR36" s="58">
        <f t="shared" si="8"/>
        <v>-8325.8796031370312</v>
      </c>
      <c r="DS36" s="58">
        <f>SUM($DO$13:DO36)</f>
        <v>-136845.773941422</v>
      </c>
      <c r="DT36" s="58">
        <f>SUM($DP$13:DP36)</f>
        <v>-29275.604026348017</v>
      </c>
      <c r="DU36" s="58">
        <f>SUM(DQ$13:DQ36)</f>
        <v>8004.9293919563825</v>
      </c>
      <c r="DV36" s="58">
        <f>SUM(DR$13:DR36)</f>
        <v>321875.41006445099</v>
      </c>
      <c r="DZ36" s="133">
        <v>45929.625</v>
      </c>
      <c r="EA36" s="54">
        <v>-136845.773941422</v>
      </c>
      <c r="EB36" s="54">
        <v>-29275.604026348017</v>
      </c>
      <c r="EC36" s="54">
        <v>8004.9293919563825</v>
      </c>
      <c r="ED36" s="54">
        <v>321875.41006445099</v>
      </c>
    </row>
    <row r="37" spans="1:134" x14ac:dyDescent="0.3">
      <c r="A37" s="139">
        <v>45877.625</v>
      </c>
      <c r="B37" s="76">
        <f t="shared" si="26"/>
        <v>94.67</v>
      </c>
      <c r="C37" s="31">
        <f t="shared" si="9"/>
        <v>205005.32481362854</v>
      </c>
      <c r="D37" s="32">
        <f t="shared" si="10"/>
        <v>-91062.5</v>
      </c>
      <c r="E37" s="76">
        <f t="shared" si="27"/>
        <v>101.039</v>
      </c>
      <c r="F37" s="31">
        <f t="shared" si="11"/>
        <v>-40399.999999999636</v>
      </c>
      <c r="G37" s="32">
        <f t="shared" si="12"/>
        <v>-32420.735166666658</v>
      </c>
      <c r="H37" s="76">
        <f t="shared" si="28"/>
        <v>120.29</v>
      </c>
      <c r="I37" s="31">
        <f t="shared" si="13"/>
        <v>-567924.52830188663</v>
      </c>
      <c r="J37" s="32">
        <f t="shared" si="14"/>
        <v>-156627.5</v>
      </c>
      <c r="K37" s="76">
        <f t="shared" si="29"/>
        <v>99.611000000000004</v>
      </c>
      <c r="L37" s="31">
        <f t="shared" si="15"/>
        <v>-61090.000000000371</v>
      </c>
      <c r="M37" s="32">
        <f t="shared" si="16"/>
        <v>-71311.85577777779</v>
      </c>
      <c r="N37" s="82">
        <f t="shared" si="17"/>
        <v>778913.73250440322</v>
      </c>
      <c r="O37" s="82"/>
      <c r="P37" s="82"/>
      <c r="Q37" s="82">
        <f>$G$5*SUM($O$14:O37)-$H$5*SUM($P$14:P37)</f>
        <v>-685953.76080000005</v>
      </c>
      <c r="R37" s="82">
        <f t="shared" si="18"/>
        <v>92959.971704403171</v>
      </c>
      <c r="S37" s="143"/>
      <c r="U37" s="75">
        <v>45806.625</v>
      </c>
      <c r="V37" s="54">
        <v>93.33</v>
      </c>
      <c r="W37" s="75">
        <v>45804.625</v>
      </c>
      <c r="X37" s="54">
        <v>101.529</v>
      </c>
      <c r="Y37" s="125">
        <v>45810.625</v>
      </c>
      <c r="Z37" s="54">
        <v>121.27</v>
      </c>
      <c r="AA37" s="75">
        <v>45894.625</v>
      </c>
      <c r="AB37" s="54">
        <v>99.394999999999996</v>
      </c>
      <c r="AF37" s="131">
        <v>45929.625</v>
      </c>
      <c r="AG37" s="45">
        <f t="shared" si="30"/>
        <v>81.22</v>
      </c>
      <c r="AH37" s="46">
        <f t="shared" si="31"/>
        <v>108064.7153266645</v>
      </c>
      <c r="AI37" s="46">
        <f t="shared" si="32"/>
        <v>-135712.49999999997</v>
      </c>
      <c r="AJ37" s="45">
        <f t="shared" si="33"/>
        <v>99.4921875</v>
      </c>
      <c r="AK37" s="46">
        <f t="shared" si="34"/>
        <v>-30468.75</v>
      </c>
      <c r="AL37" s="47">
        <f t="shared" si="35"/>
        <v>-10548.55419921875</v>
      </c>
      <c r="AM37" s="45">
        <f t="shared" si="36"/>
        <v>111.58</v>
      </c>
      <c r="AN37" s="46">
        <f t="shared" si="37"/>
        <v>507134.41788603395</v>
      </c>
      <c r="AO37" s="47">
        <f t="shared" si="38"/>
        <v>-139589.99999999997</v>
      </c>
      <c r="AP37" s="45">
        <f t="shared" si="39"/>
        <v>99.4921875</v>
      </c>
      <c r="AQ37" s="46">
        <f t="shared" si="40"/>
        <v>-26562.5</v>
      </c>
      <c r="AR37" s="47">
        <f t="shared" si="41"/>
        <v>-9196.175455729157</v>
      </c>
      <c r="AS37" s="45">
        <f t="shared" si="42"/>
        <v>100.875</v>
      </c>
      <c r="AT37" s="46">
        <f t="shared" si="43"/>
        <v>56250</v>
      </c>
      <c r="AU37" s="47">
        <f t="shared" si="44"/>
        <v>101.14843750000728</v>
      </c>
      <c r="AV37" s="45">
        <f t="shared" si="45"/>
        <v>100.65625</v>
      </c>
      <c r="AW37" s="46">
        <f t="shared" si="46"/>
        <v>336328.12499999994</v>
      </c>
      <c r="AX37" s="47">
        <f t="shared" si="47"/>
        <v>6041.9283203125015</v>
      </c>
      <c r="AY37" s="82">
        <f t="shared" si="48"/>
        <v>8787.627941932682</v>
      </c>
      <c r="AZ37" s="82"/>
      <c r="BA37" s="82"/>
      <c r="BB37" s="82">
        <f>$AO$4*SUM($AZ$14:AZ37)-$AP$4*SUM($BA$14:BA37)</f>
        <v>39913.439100349337</v>
      </c>
      <c r="BC37" s="82">
        <f t="shared" si="19"/>
        <v>-31125.811158416655</v>
      </c>
      <c r="BE37" s="75">
        <v>45800.625</v>
      </c>
      <c r="BF37" s="54">
        <v>78.95</v>
      </c>
      <c r="BG37" s="75">
        <v>45944.625</v>
      </c>
      <c r="BH37" s="54">
        <v>100.1328125</v>
      </c>
      <c r="BI37" s="75">
        <v>45800.625</v>
      </c>
      <c r="BJ37" s="54">
        <v>106.28</v>
      </c>
      <c r="BK37" s="75">
        <v>45944.625</v>
      </c>
      <c r="BL37" s="54">
        <v>100.1328125</v>
      </c>
      <c r="BM37" s="75">
        <v>45923.625</v>
      </c>
      <c r="BN37" s="54">
        <v>101.140625</v>
      </c>
      <c r="BO37" s="75">
        <v>45924.625</v>
      </c>
      <c r="BP37" s="54">
        <v>100.015625</v>
      </c>
      <c r="BR37" s="131">
        <v>45929.625</v>
      </c>
      <c r="BS37" s="45">
        <f t="shared" si="20"/>
        <v>107.9713</v>
      </c>
      <c r="BT37" s="46">
        <f t="shared" si="49"/>
        <v>11996.000000000038</v>
      </c>
      <c r="BU37" s="46">
        <f t="shared" si="50"/>
        <v>9166.6666666666661</v>
      </c>
      <c r="BV37" s="45">
        <f t="shared" si="51"/>
        <v>47.534999999999997</v>
      </c>
      <c r="BW37" s="46">
        <f t="shared" si="52"/>
        <v>11853.000000000002</v>
      </c>
      <c r="BX37" s="47">
        <f t="shared" si="53"/>
        <v>9166.6666666666661</v>
      </c>
      <c r="BY37" s="45">
        <f t="shared" si="54"/>
        <v>143.00000000003638</v>
      </c>
      <c r="CA37" s="129">
        <v>45806.625</v>
      </c>
      <c r="CB37" s="54">
        <v>106.0986</v>
      </c>
      <c r="CC37" s="129">
        <v>45806.625</v>
      </c>
      <c r="CD37" s="54">
        <v>56.234999999999999</v>
      </c>
      <c r="CF37" s="131">
        <v>45929.625</v>
      </c>
      <c r="CG37" s="45">
        <f t="shared" si="21"/>
        <v>241.69499999999999</v>
      </c>
      <c r="CH37" s="46">
        <f t="shared" si="55"/>
        <v>31820.799999999985</v>
      </c>
      <c r="CI37" s="46">
        <f t="shared" si="56"/>
        <v>10185.185185185184</v>
      </c>
      <c r="CJ37" s="45">
        <f t="shared" si="57"/>
        <v>49.634</v>
      </c>
      <c r="CK37" s="46">
        <f t="shared" si="58"/>
        <v>23657.8</v>
      </c>
      <c r="CL37" s="47">
        <f t="shared" si="59"/>
        <v>9166.6666666666661</v>
      </c>
      <c r="CM37" s="45">
        <f t="shared" si="60"/>
        <v>9181.5185185185055</v>
      </c>
      <c r="CO37" s="129">
        <v>45806.625</v>
      </c>
      <c r="CP37" s="54">
        <v>297.57499999999999</v>
      </c>
      <c r="CQ37" s="129">
        <v>45806.625</v>
      </c>
      <c r="CR37" s="54">
        <v>57.243000000000002</v>
      </c>
      <c r="CS37" s="54"/>
      <c r="CT37" s="54"/>
      <c r="CU37" s="54"/>
      <c r="CV37" s="54"/>
      <c r="CW37" s="54"/>
      <c r="CX37" s="54"/>
      <c r="CY37" s="54"/>
      <c r="DF37" s="142">
        <f t="shared" si="1"/>
        <v>45930.625</v>
      </c>
      <c r="DG37" s="58">
        <f t="shared" si="2"/>
        <v>911.97524452535436</v>
      </c>
      <c r="DH37" s="58">
        <f t="shared" si="3"/>
        <v>-39555.632487285744</v>
      </c>
      <c r="DI37" s="58">
        <v>237.49999999994907</v>
      </c>
      <c r="DJ37" s="58">
        <v>11356.249382716012</v>
      </c>
      <c r="DK37" s="58">
        <f t="shared" si="22"/>
        <v>-3091.735809557722</v>
      </c>
      <c r="DL37" s="58">
        <f t="shared" si="23"/>
        <v>-8429.8213288690895</v>
      </c>
      <c r="DM37" s="58">
        <f t="shared" si="24"/>
        <v>94.499999999912689</v>
      </c>
      <c r="DN37" s="58">
        <f t="shared" si="25"/>
        <v>2174.7308641975069</v>
      </c>
      <c r="DO37" s="58">
        <f t="shared" si="5"/>
        <v>-3091.735809557722</v>
      </c>
      <c r="DP37" s="58">
        <f t="shared" si="6"/>
        <v>-7928.7286676896993</v>
      </c>
      <c r="DQ37" s="58">
        <f t="shared" si="7"/>
        <v>5289.9708219509239</v>
      </c>
      <c r="DR37" s="58">
        <f t="shared" si="8"/>
        <v>76239.282998945419</v>
      </c>
      <c r="DS37" s="58">
        <f>SUM($DO$13:DO37)</f>
        <v>-139937.50975097972</v>
      </c>
      <c r="DT37" s="58">
        <f>SUM($DP$13:DP37)</f>
        <v>-37204.332694037716</v>
      </c>
      <c r="DU37" s="58">
        <f>SUM(DQ$13:DQ37)</f>
        <v>13294.900213907305</v>
      </c>
      <c r="DV37" s="58">
        <f>SUM(DR$13:DR37)</f>
        <v>398114.69306339638</v>
      </c>
      <c r="DZ37" s="133">
        <v>45930.625</v>
      </c>
      <c r="EA37" s="54">
        <v>-139937.50975097972</v>
      </c>
      <c r="EB37" s="54">
        <v>-37204.332694037716</v>
      </c>
      <c r="EC37" s="54">
        <v>13294.900213907305</v>
      </c>
      <c r="ED37" s="54">
        <v>398114.69306339638</v>
      </c>
    </row>
    <row r="38" spans="1:134" x14ac:dyDescent="0.3">
      <c r="A38" s="139">
        <v>45880.625</v>
      </c>
      <c r="B38" s="76">
        <f t="shared" si="26"/>
        <v>94.66</v>
      </c>
      <c r="C38" s="31">
        <f t="shared" si="9"/>
        <v>202342.9179978664</v>
      </c>
      <c r="D38" s="32">
        <f t="shared" si="10"/>
        <v>-99874.999999999985</v>
      </c>
      <c r="E38" s="76">
        <f t="shared" si="27"/>
        <v>101.004</v>
      </c>
      <c r="F38" s="31">
        <f t="shared" si="11"/>
        <v>-47399.999999998952</v>
      </c>
      <c r="G38" s="32">
        <f t="shared" si="12"/>
        <v>-35558.225666666644</v>
      </c>
      <c r="H38" s="76">
        <f t="shared" si="28"/>
        <v>120.27</v>
      </c>
      <c r="I38" s="31">
        <f t="shared" si="13"/>
        <v>-574979.49138638529</v>
      </c>
      <c r="J38" s="32">
        <f t="shared" si="14"/>
        <v>-171784.99999999997</v>
      </c>
      <c r="K38" s="76">
        <f t="shared" si="29"/>
        <v>99.561999999999998</v>
      </c>
      <c r="L38" s="31">
        <f t="shared" si="15"/>
        <v>-81180.00000000307</v>
      </c>
      <c r="M38" s="32">
        <f t="shared" si="16"/>
        <v>-78213.003111111073</v>
      </c>
      <c r="N38" s="82">
        <f t="shared" si="17"/>
        <v>772797.63193980313</v>
      </c>
      <c r="O38" s="82"/>
      <c r="P38" s="82"/>
      <c r="Q38" s="82">
        <f>$G$5*SUM($O$14:O38)-$H$5*SUM($P$14:P38)</f>
        <v>-685953.76080000005</v>
      </c>
      <c r="R38" s="82">
        <f t="shared" si="18"/>
        <v>86843.871139803086</v>
      </c>
      <c r="S38" s="143"/>
      <c r="U38" s="75">
        <v>45807.625</v>
      </c>
      <c r="V38" s="54">
        <v>93.44</v>
      </c>
      <c r="W38" s="75">
        <v>45805.625</v>
      </c>
      <c r="X38" s="54">
        <v>101.491</v>
      </c>
      <c r="Y38" s="125">
        <v>45811.625</v>
      </c>
      <c r="Z38" s="54">
        <v>121.47</v>
      </c>
      <c r="AA38" s="75">
        <v>45895.625</v>
      </c>
      <c r="AB38" s="54">
        <v>99.643000000000001</v>
      </c>
      <c r="AF38" s="131">
        <v>45930.625</v>
      </c>
      <c r="AG38" s="45">
        <f t="shared" si="30"/>
        <v>81.19</v>
      </c>
      <c r="AH38" s="46">
        <f t="shared" si="31"/>
        <v>95096.94948746539</v>
      </c>
      <c r="AI38" s="46">
        <f t="shared" si="32"/>
        <v>-139825</v>
      </c>
      <c r="AJ38" s="45">
        <f t="shared" si="33"/>
        <v>99.5078125</v>
      </c>
      <c r="AK38" s="46">
        <f t="shared" si="34"/>
        <v>-27421.875</v>
      </c>
      <c r="AL38" s="47">
        <f t="shared" si="35"/>
        <v>-10868.207356770828</v>
      </c>
      <c r="AM38" s="45">
        <f t="shared" si="36"/>
        <v>111.47</v>
      </c>
      <c r="AN38" s="46">
        <f t="shared" si="37"/>
        <v>471144.23339089483</v>
      </c>
      <c r="AO38" s="47">
        <f t="shared" si="38"/>
        <v>-143820</v>
      </c>
      <c r="AP38" s="45">
        <f t="shared" si="39"/>
        <v>99.5078125</v>
      </c>
      <c r="AQ38" s="46">
        <f t="shared" si="40"/>
        <v>-23906.25</v>
      </c>
      <c r="AR38" s="47">
        <f t="shared" si="41"/>
        <v>-9474.8474392361168</v>
      </c>
      <c r="AS38" s="45">
        <f t="shared" si="42"/>
        <v>100.828125</v>
      </c>
      <c r="AT38" s="46">
        <f t="shared" si="43"/>
        <v>52734.375</v>
      </c>
      <c r="AU38" s="47">
        <f t="shared" si="44"/>
        <v>104.21354166667152</v>
      </c>
      <c r="AV38" s="45">
        <f t="shared" si="45"/>
        <v>100.390625</v>
      </c>
      <c r="AW38" s="46">
        <f t="shared" si="46"/>
        <v>308437.5</v>
      </c>
      <c r="AX38" s="47">
        <f t="shared" si="47"/>
        <v>6225.0170572916759</v>
      </c>
      <c r="AY38" s="82">
        <f t="shared" si="48"/>
        <v>357.80661306359252</v>
      </c>
      <c r="AZ38" s="82"/>
      <c r="BA38" s="82"/>
      <c r="BB38" s="82">
        <f>$AO$4*SUM($AZ$14:AZ38)-$AP$4*SUM($BA$14:BA38)</f>
        <v>39913.439100349337</v>
      </c>
      <c r="BC38" s="82">
        <f t="shared" si="19"/>
        <v>-39555.632487285744</v>
      </c>
      <c r="BE38" s="75">
        <v>45804.625</v>
      </c>
      <c r="BF38" s="54">
        <v>79.430000000000007</v>
      </c>
      <c r="BG38" s="75">
        <v>45945.625</v>
      </c>
      <c r="BH38" s="54">
        <v>100.0234375</v>
      </c>
      <c r="BI38" s="75">
        <v>45804.625</v>
      </c>
      <c r="BJ38" s="54">
        <v>107.24</v>
      </c>
      <c r="BK38" s="75">
        <v>45945.625</v>
      </c>
      <c r="BL38" s="54">
        <v>100.0234375</v>
      </c>
      <c r="BM38" s="75">
        <v>45924.625</v>
      </c>
      <c r="BN38" s="54">
        <v>100.859375</v>
      </c>
      <c r="BO38" s="75">
        <v>45925.625</v>
      </c>
      <c r="BP38" s="54">
        <v>100.03125</v>
      </c>
      <c r="BR38" s="131">
        <v>45930.625</v>
      </c>
      <c r="BS38" s="45">
        <f t="shared" si="20"/>
        <v>107.99469999999999</v>
      </c>
      <c r="BT38" s="46">
        <f t="shared" si="49"/>
        <v>12463.999999999942</v>
      </c>
      <c r="BU38" s="46">
        <f t="shared" si="50"/>
        <v>9444.4444444444434</v>
      </c>
      <c r="BV38" s="45">
        <f t="shared" si="51"/>
        <v>47.451999999999998</v>
      </c>
      <c r="BW38" s="46">
        <f t="shared" si="52"/>
        <v>12226.499999999995</v>
      </c>
      <c r="BX38" s="47">
        <f t="shared" si="53"/>
        <v>9444.4444444444434</v>
      </c>
      <c r="BY38" s="45">
        <f t="shared" si="54"/>
        <v>237.49999999994907</v>
      </c>
      <c r="CA38" s="129">
        <v>45807.625</v>
      </c>
      <c r="CB38" s="54">
        <v>106.17010000000001</v>
      </c>
      <c r="CC38" s="129">
        <v>45807.625</v>
      </c>
      <c r="CD38" s="54">
        <v>55.927</v>
      </c>
      <c r="CF38" s="131">
        <v>45930.625</v>
      </c>
      <c r="CG38" s="45">
        <f t="shared" si="21"/>
        <v>240.52799999999999</v>
      </c>
      <c r="CH38" s="46">
        <f t="shared" si="55"/>
        <v>32961.866666666647</v>
      </c>
      <c r="CI38" s="46">
        <f t="shared" si="56"/>
        <v>10493.827160493827</v>
      </c>
      <c r="CJ38" s="45">
        <f t="shared" si="57"/>
        <v>49.851999999999997</v>
      </c>
      <c r="CK38" s="46">
        <f t="shared" si="58"/>
        <v>22655.000000000018</v>
      </c>
      <c r="CL38" s="47">
        <f t="shared" si="59"/>
        <v>9444.4444444444434</v>
      </c>
      <c r="CM38" s="45">
        <f t="shared" si="60"/>
        <v>11356.249382716012</v>
      </c>
      <c r="CO38" s="129">
        <v>45807.625</v>
      </c>
      <c r="CP38" s="54">
        <v>300.33600000000001</v>
      </c>
      <c r="CQ38" s="129">
        <v>45807.625</v>
      </c>
      <c r="CR38" s="54">
        <v>57.917000000000002</v>
      </c>
      <c r="CS38" s="54"/>
      <c r="CT38" s="54"/>
      <c r="CU38" s="54"/>
      <c r="CV38" s="54"/>
      <c r="CW38" s="54"/>
      <c r="CX38" s="54"/>
      <c r="CY38" s="54"/>
      <c r="DF38" s="142">
        <f t="shared" si="1"/>
        <v>45931.625</v>
      </c>
      <c r="DG38" s="58">
        <f t="shared" si="2"/>
        <v>19414.12032862613</v>
      </c>
      <c r="DH38" s="58">
        <f t="shared" si="3"/>
        <v>-144666.03170397738</v>
      </c>
      <c r="DI38" s="58">
        <v>-259.49999999986358</v>
      </c>
      <c r="DJ38" s="58">
        <v>10378.735802469102</v>
      </c>
      <c r="DK38" s="58">
        <f t="shared" si="22"/>
        <v>18502.145084100775</v>
      </c>
      <c r="DL38" s="58">
        <f t="shared" si="23"/>
        <v>-105110.39921669164</v>
      </c>
      <c r="DM38" s="58">
        <f t="shared" si="24"/>
        <v>-496.99999999981264</v>
      </c>
      <c r="DN38" s="58">
        <f t="shared" si="25"/>
        <v>-977.51358024691035</v>
      </c>
      <c r="DO38" s="58">
        <f t="shared" si="5"/>
        <v>18502.145084100775</v>
      </c>
      <c r="DP38" s="58">
        <f t="shared" si="6"/>
        <v>-98862.336819361313</v>
      </c>
      <c r="DQ38" s="58">
        <f t="shared" si="7"/>
        <v>-27821.328026571926</v>
      </c>
      <c r="DR38" s="58">
        <f t="shared" si="8"/>
        <v>-34268.5781062186</v>
      </c>
      <c r="DS38" s="58">
        <f>SUM($DO$13:DO38)</f>
        <v>-121435.36466687894</v>
      </c>
      <c r="DT38" s="58">
        <f>SUM($DP$13:DP38)</f>
        <v>-136066.66951339901</v>
      </c>
      <c r="DU38" s="58">
        <f>SUM(DQ$13:DQ38)</f>
        <v>-14526.42781266462</v>
      </c>
      <c r="DV38" s="58">
        <f>SUM(DR$13:DR38)</f>
        <v>363846.11495717778</v>
      </c>
      <c r="DZ38" s="133">
        <v>45931.625</v>
      </c>
      <c r="EA38" s="54">
        <v>-121435.36466687894</v>
      </c>
      <c r="EB38" s="54">
        <v>-136066.66951339901</v>
      </c>
      <c r="EC38" s="54">
        <v>-14526.42781266462</v>
      </c>
      <c r="ED38" s="54">
        <v>363846.11495717778</v>
      </c>
    </row>
    <row r="39" spans="1:134" x14ac:dyDescent="0.3">
      <c r="A39" s="139">
        <v>45881.625</v>
      </c>
      <c r="B39" s="76">
        <f t="shared" si="26"/>
        <v>94.75</v>
      </c>
      <c r="C39" s="31">
        <f t="shared" si="9"/>
        <v>226304.57933972005</v>
      </c>
      <c r="D39" s="32">
        <f t="shared" si="10"/>
        <v>-102812.5</v>
      </c>
      <c r="E39" s="76">
        <f t="shared" si="27"/>
        <v>100.947</v>
      </c>
      <c r="F39" s="31">
        <f t="shared" si="11"/>
        <v>-58799.999999999382</v>
      </c>
      <c r="G39" s="32">
        <f t="shared" si="12"/>
        <v>-36604.055833333332</v>
      </c>
      <c r="H39" s="76">
        <f t="shared" si="28"/>
        <v>120.15</v>
      </c>
      <c r="I39" s="31">
        <f t="shared" si="13"/>
        <v>-617309.26989335299</v>
      </c>
      <c r="J39" s="32">
        <f t="shared" si="14"/>
        <v>-176837.5</v>
      </c>
      <c r="K39" s="76">
        <f t="shared" si="29"/>
        <v>99.405000000000001</v>
      </c>
      <c r="L39" s="31">
        <f t="shared" si="15"/>
        <v>-145550.00000000163</v>
      </c>
      <c r="M39" s="32">
        <f t="shared" si="16"/>
        <v>-80513.385555555535</v>
      </c>
      <c r="N39" s="82">
        <f t="shared" si="17"/>
        <v>786979.51951084856</v>
      </c>
      <c r="O39" s="82"/>
      <c r="P39" s="82"/>
      <c r="Q39" s="82">
        <f>$G$5*SUM($O$14:O39)-$H$5*SUM($P$14:P39)</f>
        <v>-685953.76080000005</v>
      </c>
      <c r="R39" s="82">
        <f t="shared" si="18"/>
        <v>101025.75871084852</v>
      </c>
      <c r="S39" s="143"/>
      <c r="U39" s="75">
        <v>45810.625</v>
      </c>
      <c r="V39" s="54">
        <v>93.5</v>
      </c>
      <c r="W39" s="75">
        <v>45806.625</v>
      </c>
      <c r="X39" s="54">
        <v>101.58</v>
      </c>
      <c r="Y39" s="125">
        <v>45812.625</v>
      </c>
      <c r="Z39" s="54">
        <v>121.35</v>
      </c>
      <c r="AA39" s="75">
        <v>45896.625</v>
      </c>
      <c r="AB39" s="54">
        <v>99.801000000000002</v>
      </c>
      <c r="AF39" s="131">
        <v>45931.625</v>
      </c>
      <c r="AG39" s="45">
        <f t="shared" si="30"/>
        <v>80.959999999999994</v>
      </c>
      <c r="AH39" s="46">
        <f>(AG39/$AG$14-1)*$AG$5</f>
        <v>-4322.5886130676681</v>
      </c>
      <c r="AI39" s="46">
        <f>-1*(AF39-$AF$14)/360*$AG$5*$AG$7</f>
        <v>-143937.5</v>
      </c>
      <c r="AJ39" s="45">
        <f t="shared" si="33"/>
        <v>99.765625</v>
      </c>
      <c r="AK39" s="46">
        <f>(AJ39-$AJ$14)/100*$AH$5</f>
        <v>22851.5625</v>
      </c>
      <c r="AL39" s="47">
        <f>(AF39-$AF$14)/360*$AH$5*$AH$6-(AF39-$AF$14)/360*$AH$5*$AH$7*$AJ$14/100</f>
        <v>-11187.860514322907</v>
      </c>
      <c r="AM39" s="45">
        <f t="shared" si="36"/>
        <v>111.51</v>
      </c>
      <c r="AN39" s="46">
        <f>(AM39/$AM$14-1)*$AI$5</f>
        <v>484231.57320731127</v>
      </c>
      <c r="AO39" s="47">
        <f>-1*(AF39-$AF$14)/360*$AI$5*$AI$7</f>
        <v>-148050</v>
      </c>
      <c r="AP39" s="45">
        <f t="shared" si="39"/>
        <v>99.765625</v>
      </c>
      <c r="AQ39" s="46">
        <f>(AP39-$AP$14)/100*$AJ$5</f>
        <v>19921.875</v>
      </c>
      <c r="AR39" s="47">
        <f>(AF39-$AF$14)/360*$AJ$5*$AJ$6-(AF39-$AF$14)/360*$AJ$5*$AJ$7*$AP$14/100</f>
        <v>-9753.519422743062</v>
      </c>
      <c r="AS39" s="45">
        <f t="shared" si="42"/>
        <v>101.171875</v>
      </c>
      <c r="AT39" s="46">
        <f>(AS39-$AS$14)/100*$AK$5</f>
        <v>78515.625</v>
      </c>
      <c r="AU39" s="47">
        <f>(AF39-$AF$14)/360*$AK$5*$AK$6-(AF39-$AF$14)/360*$AK$5*$AK$7*$AS$14/100</f>
        <v>107.27864583333576</v>
      </c>
      <c r="AV39" s="45">
        <f t="shared" si="45"/>
        <v>100.578125</v>
      </c>
      <c r="AW39" s="46">
        <f>(AV39-$AV$14)/100*$AL$5</f>
        <v>328125</v>
      </c>
      <c r="AX39" s="47">
        <f>(AF39-$AF$14)/360*$AL$5*$AL$6-(AF39-$AF$14)/360*$AL$5*$AL$7*$AV$14/100</f>
        <v>6408.1057942708358</v>
      </c>
      <c r="AY39" s="82">
        <f>AH39+AI39-AK39-AL39-AN39-AO39+AQ39+AR39+AT39+AU39+AW39+AX39</f>
        <v>-72780.998788694997</v>
      </c>
      <c r="AZ39" s="82">
        <v>0.381299</v>
      </c>
      <c r="BA39" s="82">
        <v>0.40603600000000001</v>
      </c>
      <c r="BB39" s="82">
        <f>$AO$4*SUM($AZ$14:AZ39)-$AP$4*SUM($BA$14:BA39)</f>
        <v>71885.032915282383</v>
      </c>
      <c r="BC39" s="82">
        <f t="shared" si="19"/>
        <v>-144666.03170397738</v>
      </c>
      <c r="BE39" s="75">
        <v>45805.625</v>
      </c>
      <c r="BF39" s="54">
        <v>79.38</v>
      </c>
      <c r="BG39" s="75">
        <v>45946.625</v>
      </c>
      <c r="BH39" s="54">
        <v>100.359375</v>
      </c>
      <c r="BI39" s="75">
        <v>45805.625</v>
      </c>
      <c r="BJ39" s="54">
        <v>106.98</v>
      </c>
      <c r="BK39" s="75">
        <v>45946.625</v>
      </c>
      <c r="BL39" s="54">
        <v>100.359375</v>
      </c>
      <c r="BM39" s="75">
        <v>45925.625</v>
      </c>
      <c r="BN39" s="54">
        <v>100.640625</v>
      </c>
      <c r="BO39" s="75">
        <v>45926.625</v>
      </c>
      <c r="BP39" s="54">
        <v>99.90625</v>
      </c>
      <c r="BR39" s="131">
        <v>45931.625</v>
      </c>
      <c r="BS39" s="45">
        <f t="shared" si="20"/>
        <v>107.9406</v>
      </c>
      <c r="BT39" s="46">
        <f t="shared" si="49"/>
        <v>11382.00000000012</v>
      </c>
      <c r="BU39" s="46">
        <f t="shared" si="50"/>
        <v>9722.2222222222226</v>
      </c>
      <c r="BV39" s="45">
        <f t="shared" si="51"/>
        <v>47.582000000000001</v>
      </c>
      <c r="BW39" s="46">
        <f t="shared" si="52"/>
        <v>11641.499999999984</v>
      </c>
      <c r="BX39" s="47">
        <f t="shared" si="53"/>
        <v>9722.2222222222226</v>
      </c>
      <c r="BY39" s="45">
        <f t="shared" si="54"/>
        <v>-259.49999999986358</v>
      </c>
      <c r="CA39" s="129">
        <v>45810.625</v>
      </c>
      <c r="CB39" s="54">
        <v>106.27670000000001</v>
      </c>
      <c r="CC39" s="129">
        <v>45810.625</v>
      </c>
      <c r="CD39" s="54">
        <v>55.593000000000004</v>
      </c>
      <c r="CF39" s="131">
        <v>45931.625</v>
      </c>
      <c r="CG39" s="45">
        <f t="shared" si="21"/>
        <v>239.28700000000001</v>
      </c>
      <c r="CH39" s="46">
        <f t="shared" si="55"/>
        <v>34175.288888888856</v>
      </c>
      <c r="CI39" s="46">
        <f t="shared" si="56"/>
        <v>10802.469135802468</v>
      </c>
      <c r="CJ39" s="45">
        <f t="shared" si="57"/>
        <v>49.369</v>
      </c>
      <c r="CK39" s="46">
        <f t="shared" si="58"/>
        <v>24876.800000000003</v>
      </c>
      <c r="CL39" s="47">
        <f t="shared" si="59"/>
        <v>9722.2222222222226</v>
      </c>
      <c r="CM39" s="45">
        <f t="shared" si="60"/>
        <v>10378.735802469102</v>
      </c>
      <c r="CO39" s="129">
        <v>45810.625</v>
      </c>
      <c r="CP39" s="54">
        <v>299.81799999999998</v>
      </c>
      <c r="CQ39" s="129">
        <v>45810.625</v>
      </c>
      <c r="CR39" s="54">
        <v>57.789000000000001</v>
      </c>
      <c r="CS39" s="54"/>
      <c r="CT39" s="54"/>
      <c r="CU39" s="54"/>
      <c r="CV39" s="54"/>
      <c r="CW39" s="54"/>
      <c r="CX39" s="54"/>
      <c r="CY39" s="54"/>
      <c r="DF39" s="142">
        <f t="shared" si="1"/>
        <v>45932.625</v>
      </c>
      <c r="DG39" s="58">
        <f t="shared" si="2"/>
        <v>6559.0449654442782</v>
      </c>
      <c r="DH39" s="58">
        <f t="shared" si="3"/>
        <v>-174854.06670183537</v>
      </c>
      <c r="DI39" s="58">
        <v>-1198.0000000000109</v>
      </c>
      <c r="DJ39" s="58">
        <v>10962.133333333299</v>
      </c>
      <c r="DK39" s="58">
        <f t="shared" si="22"/>
        <v>-12855.075363181852</v>
      </c>
      <c r="DL39" s="58">
        <f t="shared" si="23"/>
        <v>-30188.034997857991</v>
      </c>
      <c r="DM39" s="58">
        <f t="shared" si="24"/>
        <v>-938.50000000014734</v>
      </c>
      <c r="DN39" s="58">
        <f t="shared" si="25"/>
        <v>583.3975308641966</v>
      </c>
      <c r="DO39" s="58">
        <f t="shared" si="5"/>
        <v>-12855.075363181852</v>
      </c>
      <c r="DP39" s="58">
        <f t="shared" si="6"/>
        <v>-28393.571959709279</v>
      </c>
      <c r="DQ39" s="58">
        <f t="shared" si="7"/>
        <v>-52535.847792659348</v>
      </c>
      <c r="DR39" s="58">
        <f t="shared" si="8"/>
        <v>20452.098321073925</v>
      </c>
      <c r="DS39" s="58">
        <f>SUM($DO$13:DO39)</f>
        <v>-134290.4400300608</v>
      </c>
      <c r="DT39" s="58">
        <f>SUM($DP$13:DP39)</f>
        <v>-164460.2414731083</v>
      </c>
      <c r="DU39" s="58">
        <f>SUM(DQ$13:DQ39)</f>
        <v>-67062.275605323972</v>
      </c>
      <c r="DV39" s="58">
        <f>SUM(DR$13:DR39)</f>
        <v>384298.2132782517</v>
      </c>
      <c r="DZ39" s="133">
        <v>45932.625</v>
      </c>
      <c r="EA39" s="54">
        <v>-134290.4400300608</v>
      </c>
      <c r="EB39" s="54">
        <v>-164460.2414731083</v>
      </c>
      <c r="EC39" s="54">
        <v>-67062.275605323972</v>
      </c>
      <c r="ED39" s="54">
        <v>384298.2132782517</v>
      </c>
    </row>
    <row r="40" spans="1:134" x14ac:dyDescent="0.3">
      <c r="A40" s="139">
        <v>45882.625</v>
      </c>
      <c r="B40" s="76">
        <f t="shared" si="26"/>
        <v>94.88</v>
      </c>
      <c r="C40" s="31">
        <f t="shared" si="9"/>
        <v>260915.86794461662</v>
      </c>
      <c r="D40" s="32">
        <f t="shared" si="10"/>
        <v>-105750</v>
      </c>
      <c r="E40" s="76">
        <f t="shared" si="27"/>
        <v>101.11799999999999</v>
      </c>
      <c r="F40" s="31">
        <f t="shared" si="11"/>
        <v>-24600.000000000931</v>
      </c>
      <c r="G40" s="32">
        <f t="shared" si="12"/>
        <v>-37649.885999999991</v>
      </c>
      <c r="H40" s="76">
        <f t="shared" si="28"/>
        <v>120.52</v>
      </c>
      <c r="I40" s="31">
        <f t="shared" si="13"/>
        <v>-486792.45283019333</v>
      </c>
      <c r="J40" s="32">
        <f t="shared" si="14"/>
        <v>-181890</v>
      </c>
      <c r="K40" s="76">
        <f t="shared" si="29"/>
        <v>99.745000000000005</v>
      </c>
      <c r="L40" s="31">
        <f t="shared" si="15"/>
        <v>-6150.0000000002328</v>
      </c>
      <c r="M40" s="32">
        <f t="shared" si="16"/>
        <v>-82813.768000000011</v>
      </c>
      <c r="N40" s="82">
        <f t="shared" si="17"/>
        <v>797134.43877481064</v>
      </c>
      <c r="O40" s="82"/>
      <c r="P40" s="82"/>
      <c r="Q40" s="82">
        <f>$G$5*SUM($O$14:O40)-$H$5*SUM($P$14:P40)</f>
        <v>-685953.76080000005</v>
      </c>
      <c r="R40" s="82">
        <f t="shared" si="18"/>
        <v>111180.67797481059</v>
      </c>
      <c r="S40" s="143"/>
      <c r="U40" s="75">
        <v>45811.625</v>
      </c>
      <c r="V40" s="54">
        <v>93.62</v>
      </c>
      <c r="W40" s="75">
        <v>45807.625</v>
      </c>
      <c r="X40" s="54">
        <v>101.56</v>
      </c>
      <c r="Y40" s="125">
        <v>45813.625</v>
      </c>
      <c r="Z40" s="54">
        <v>121.02</v>
      </c>
      <c r="AA40" s="75">
        <v>45897.625</v>
      </c>
      <c r="AB40" s="54">
        <v>99.775999999999996</v>
      </c>
      <c r="AF40" s="131">
        <v>45932.625</v>
      </c>
      <c r="AG40" s="45">
        <f t="shared" si="30"/>
        <v>80.930000000000007</v>
      </c>
      <c r="AH40" s="46">
        <f t="shared" si="31"/>
        <v>-17290.354452262902</v>
      </c>
      <c r="AI40" s="46">
        <f t="shared" ref="AI40:AI50" si="61">-1*(AF40-$AF$14)/360*$AG$5*$AG$7</f>
        <v>-148050</v>
      </c>
      <c r="AJ40" s="45">
        <f t="shared" si="33"/>
        <v>99.78125</v>
      </c>
      <c r="AK40" s="46">
        <f t="shared" si="34"/>
        <v>25898.437500000004</v>
      </c>
      <c r="AL40" s="47">
        <f t="shared" ref="AL40:AL50" si="62">(AF40-$AF$14)/360*$AH$5*$AH$6-(AF40-$AF$14)/360*$AH$5*$AH$7*$AJ$14/100</f>
        <v>-11507.513671875</v>
      </c>
      <c r="AM40" s="45">
        <f t="shared" si="36"/>
        <v>111.69</v>
      </c>
      <c r="AN40" s="46">
        <f t="shared" si="37"/>
        <v>543124.60238116514</v>
      </c>
      <c r="AO40" s="47">
        <f t="shared" ref="AO40:AO50" si="63">-1*(AF40-$AF$14)/360*$AI$5*$AI$7</f>
        <v>-152280</v>
      </c>
      <c r="AP40" s="45">
        <f t="shared" si="39"/>
        <v>99.78125</v>
      </c>
      <c r="AQ40" s="46">
        <f t="shared" si="40"/>
        <v>22578.125</v>
      </c>
      <c r="AR40" s="47">
        <f t="shared" ref="AR40:AR50" si="64">(AF40-$AF$14)/360*$AJ$5*$AJ$6-(AF40-$AF$14)/360*$AJ$5*$AJ$7*$AP$14/100</f>
        <v>-10032.191406250007</v>
      </c>
      <c r="AS40" s="45">
        <f t="shared" si="42"/>
        <v>101.3125</v>
      </c>
      <c r="AT40" s="46">
        <f t="shared" si="43"/>
        <v>89062.5</v>
      </c>
      <c r="AU40" s="47">
        <f t="shared" ref="AU40:AU50" si="65">(AF40-$AF$14)/360*$AK$5*$AK$6-(AF40-$AF$14)/360*$AK$5*$AK$7*$AS$14/100</f>
        <v>110.34375000000728</v>
      </c>
      <c r="AV40" s="45">
        <f t="shared" si="45"/>
        <v>100.875</v>
      </c>
      <c r="AW40" s="46">
        <f t="shared" si="46"/>
        <v>359296.875</v>
      </c>
      <c r="AX40" s="47">
        <f t="shared" ref="AX40:AX50" si="66">(AF40-$AF$14)/360*$AL$5*$AL$6-(AF40-$AF$14)/360*$AL$5*$AL$7*$AV$14/100</f>
        <v>6591.1945312500029</v>
      </c>
      <c r="AY40" s="82">
        <f t="shared" ref="AY40:AY50" si="67">AH40+AI40-AK40-AL40-AN40-AO40+AQ40+AR40+AT40+AU40+AW40+AX40</f>
        <v>-102969.033786553</v>
      </c>
      <c r="AZ40" s="82"/>
      <c r="BA40" s="82"/>
      <c r="BB40" s="82">
        <f>$AO$4*SUM($AZ$14:AZ40)-$AP$4*SUM($BA$14:BA40)</f>
        <v>71885.032915282383</v>
      </c>
      <c r="BC40" s="82">
        <f t="shared" si="19"/>
        <v>-174854.06670183537</v>
      </c>
      <c r="BE40" s="75">
        <v>45806.625</v>
      </c>
      <c r="BF40" s="54">
        <v>79.5</v>
      </c>
      <c r="BI40" s="75">
        <v>45806.625</v>
      </c>
      <c r="BJ40" s="54">
        <v>107.46</v>
      </c>
      <c r="BM40" s="75">
        <v>45926.625</v>
      </c>
      <c r="BN40" s="54">
        <v>100.5625</v>
      </c>
      <c r="BO40" s="75">
        <v>45929.625</v>
      </c>
      <c r="BP40" s="54">
        <v>100.65625</v>
      </c>
      <c r="BR40" s="131">
        <v>45932.625</v>
      </c>
      <c r="BS40" s="45">
        <f t="shared" si="20"/>
        <v>107.9785</v>
      </c>
      <c r="BT40" s="46">
        <f t="shared" si="49"/>
        <v>12139.999999999985</v>
      </c>
      <c r="BU40" s="46">
        <f t="shared" si="50"/>
        <v>10000</v>
      </c>
      <c r="BV40" s="45">
        <f t="shared" si="51"/>
        <v>47.204999999999998</v>
      </c>
      <c r="BW40" s="46">
        <f t="shared" si="52"/>
        <v>13337.999999999996</v>
      </c>
      <c r="BX40" s="47">
        <f t="shared" si="53"/>
        <v>10000</v>
      </c>
      <c r="BY40" s="45">
        <f t="shared" si="54"/>
        <v>-1198.0000000000109</v>
      </c>
      <c r="CA40" s="129">
        <v>45811.625</v>
      </c>
      <c r="CB40" s="54">
        <v>106.4064</v>
      </c>
      <c r="CC40" s="129">
        <v>45811.625</v>
      </c>
      <c r="CD40" s="54">
        <v>54.945999999999998</v>
      </c>
      <c r="CF40" s="131">
        <v>45932.625</v>
      </c>
      <c r="CG40" s="45">
        <f t="shared" si="21"/>
        <v>236.33199999999999</v>
      </c>
      <c r="CH40" s="46">
        <f t="shared" si="55"/>
        <v>37064.622222222206</v>
      </c>
      <c r="CI40" s="46">
        <f t="shared" si="56"/>
        <v>11111.111111111111</v>
      </c>
      <c r="CJ40" s="45">
        <f t="shared" si="57"/>
        <v>48.860999999999997</v>
      </c>
      <c r="CK40" s="46">
        <f t="shared" si="58"/>
        <v>27213.600000000017</v>
      </c>
      <c r="CL40" s="47">
        <f t="shared" si="59"/>
        <v>10000</v>
      </c>
      <c r="CM40" s="45">
        <f t="shared" si="60"/>
        <v>10962.133333333299</v>
      </c>
      <c r="CO40" s="129">
        <v>45811.625</v>
      </c>
      <c r="CP40" s="54">
        <v>296.63099999999997</v>
      </c>
      <c r="CQ40" s="129">
        <v>45811.625</v>
      </c>
      <c r="CR40" s="54">
        <v>56.976999999999997</v>
      </c>
      <c r="CS40" s="54"/>
      <c r="CT40" s="54"/>
      <c r="CU40" s="54"/>
      <c r="CV40" s="54"/>
      <c r="CW40" s="54"/>
      <c r="CX40" s="54"/>
      <c r="CY40" s="54"/>
      <c r="DF40" s="142">
        <f t="shared" si="1"/>
        <v>45933.625</v>
      </c>
      <c r="DG40" s="58">
        <f t="shared" si="2"/>
        <v>-25437.542286617885</v>
      </c>
      <c r="DH40" s="58">
        <f t="shared" si="3"/>
        <v>-210927.35234680024</v>
      </c>
      <c r="DI40" s="58">
        <v>-1753.9999999999345</v>
      </c>
      <c r="DJ40" s="58">
        <v>10615.330864197495</v>
      </c>
      <c r="DK40" s="58">
        <f t="shared" si="22"/>
        <v>-31996.587252062163</v>
      </c>
      <c r="DL40" s="58">
        <f t="shared" si="23"/>
        <v>-36073.285644964868</v>
      </c>
      <c r="DM40" s="58">
        <f t="shared" si="24"/>
        <v>-555.9999999999236</v>
      </c>
      <c r="DN40" s="58">
        <f t="shared" si="25"/>
        <v>-346.80246913580413</v>
      </c>
      <c r="DO40" s="58">
        <f t="shared" si="5"/>
        <v>-31996.587252062163</v>
      </c>
      <c r="DP40" s="58">
        <f t="shared" si="6"/>
        <v>-33928.986496011879</v>
      </c>
      <c r="DQ40" s="58">
        <f t="shared" si="7"/>
        <v>-31124.061132349492</v>
      </c>
      <c r="DR40" s="58">
        <f t="shared" si="8"/>
        <v>-12157.8131917184</v>
      </c>
      <c r="DS40" s="58">
        <f>SUM($DO$13:DO40)</f>
        <v>-166287.02728212296</v>
      </c>
      <c r="DT40" s="58">
        <f>SUM($DP$13:DP40)</f>
        <v>-198389.22796912017</v>
      </c>
      <c r="DU40" s="58">
        <f>SUM(DQ$13:DQ40)</f>
        <v>-98186.336737673468</v>
      </c>
      <c r="DV40" s="58">
        <f>SUM(DR$13:DR40)</f>
        <v>372140.40008653328</v>
      </c>
      <c r="DZ40" s="133">
        <v>45933.625</v>
      </c>
      <c r="EA40" s="54">
        <v>-166287.02728212296</v>
      </c>
      <c r="EB40" s="54">
        <v>-198389.22796912017</v>
      </c>
      <c r="EC40" s="54">
        <v>-98186.336737673468</v>
      </c>
      <c r="ED40" s="54">
        <v>372140.40008653328</v>
      </c>
    </row>
    <row r="41" spans="1:134" ht="15" thickBot="1" x14ac:dyDescent="0.35">
      <c r="A41" s="141">
        <v>45883.625</v>
      </c>
      <c r="B41" s="76">
        <f t="shared" si="26"/>
        <v>94.94</v>
      </c>
      <c r="C41" s="31">
        <f t="shared" si="9"/>
        <v>276890.30883918941</v>
      </c>
      <c r="D41" s="32">
        <f t="shared" si="10"/>
        <v>-108687.5</v>
      </c>
      <c r="E41" s="76">
        <f t="shared" si="27"/>
        <v>101.057</v>
      </c>
      <c r="F41" s="31">
        <f t="shared" si="11"/>
        <v>-36799.999999999498</v>
      </c>
      <c r="G41" s="32">
        <f t="shared" si="12"/>
        <v>-38695.716166666665</v>
      </c>
      <c r="H41" s="76">
        <f t="shared" si="28"/>
        <v>120.46</v>
      </c>
      <c r="I41" s="31">
        <f t="shared" si="13"/>
        <v>-507957.34208367957</v>
      </c>
      <c r="J41" s="32">
        <f t="shared" si="14"/>
        <v>-186942.5</v>
      </c>
      <c r="K41" s="76">
        <f t="shared" si="29"/>
        <v>99.620999999999995</v>
      </c>
      <c r="L41" s="31">
        <f t="shared" si="15"/>
        <v>-56990.000000004104</v>
      </c>
      <c r="M41" s="32">
        <f t="shared" si="16"/>
        <v>-85114.150444444458</v>
      </c>
      <c r="N41" s="82">
        <f t="shared" si="17"/>
        <v>796494.21664508653</v>
      </c>
      <c r="O41" s="82"/>
      <c r="P41" s="82"/>
      <c r="Q41" s="82">
        <f>$G$5*SUM($O$14:O41)-$H$5*SUM($P$14:P41)</f>
        <v>-685953.76080000005</v>
      </c>
      <c r="R41" s="82">
        <f t="shared" si="18"/>
        <v>110540.45584508649</v>
      </c>
      <c r="S41" s="143"/>
      <c r="U41" s="75">
        <v>45812.625</v>
      </c>
      <c r="V41" s="54">
        <v>93.7</v>
      </c>
      <c r="W41" s="75">
        <v>45810.625</v>
      </c>
      <c r="X41" s="54">
        <v>101.574</v>
      </c>
      <c r="Y41" s="125">
        <v>45814.625</v>
      </c>
      <c r="Z41" s="54">
        <v>121.27</v>
      </c>
      <c r="AA41" s="75">
        <v>45898.625</v>
      </c>
      <c r="AB41" s="54">
        <v>99.783000000000001</v>
      </c>
      <c r="AF41" s="131">
        <v>45933.625</v>
      </c>
      <c r="AG41" s="45">
        <f t="shared" si="30"/>
        <v>80.84</v>
      </c>
      <c r="AH41" s="46">
        <f t="shared" si="31"/>
        <v>-56193.651969864142</v>
      </c>
      <c r="AI41" s="46">
        <f t="shared" si="61"/>
        <v>-152162.49999999997</v>
      </c>
      <c r="AJ41" s="45">
        <f t="shared" si="33"/>
        <v>99.6015625</v>
      </c>
      <c r="AK41" s="46">
        <f t="shared" si="34"/>
        <v>-9140.625</v>
      </c>
      <c r="AL41" s="47">
        <f t="shared" si="62"/>
        <v>-11827.166829427078</v>
      </c>
      <c r="AM41" s="45">
        <f t="shared" si="36"/>
        <v>111.55</v>
      </c>
      <c r="AN41" s="46">
        <f t="shared" si="37"/>
        <v>497318.91302371968</v>
      </c>
      <c r="AO41" s="47">
        <f t="shared" si="63"/>
        <v>-156510</v>
      </c>
      <c r="AP41" s="45">
        <f t="shared" si="39"/>
        <v>99.6015625</v>
      </c>
      <c r="AQ41" s="46">
        <f t="shared" si="40"/>
        <v>-7968.75</v>
      </c>
      <c r="AR41" s="47">
        <f t="shared" si="64"/>
        <v>-10310.863389756945</v>
      </c>
      <c r="AS41" s="45">
        <f t="shared" si="42"/>
        <v>101.046875</v>
      </c>
      <c r="AT41" s="46">
        <f t="shared" si="43"/>
        <v>69140.625</v>
      </c>
      <c r="AU41" s="47">
        <f t="shared" si="65"/>
        <v>113.40885416666788</v>
      </c>
      <c r="AV41" s="45">
        <f t="shared" si="45"/>
        <v>100.609375</v>
      </c>
      <c r="AW41" s="46">
        <f t="shared" si="46"/>
        <v>331406.25</v>
      </c>
      <c r="AX41" s="47">
        <f t="shared" si="66"/>
        <v>6774.2832682291628</v>
      </c>
      <c r="AY41" s="82">
        <f t="shared" si="67"/>
        <v>-139042.31943151786</v>
      </c>
      <c r="AZ41" s="82"/>
      <c r="BA41" s="82"/>
      <c r="BB41" s="82">
        <f>$AO$4*SUM($AZ$14:AZ41)-$AP$4*SUM($BA$14:BA41)</f>
        <v>71885.032915282383</v>
      </c>
      <c r="BC41" s="82">
        <f t="shared" si="19"/>
        <v>-210927.35234680024</v>
      </c>
      <c r="BE41" s="75">
        <v>45807.625</v>
      </c>
      <c r="BF41" s="54">
        <v>79.569999999999993</v>
      </c>
      <c r="BI41" s="75">
        <v>45807.625</v>
      </c>
      <c r="BJ41" s="54">
        <v>107.77</v>
      </c>
      <c r="BM41" s="75">
        <v>45929.625</v>
      </c>
      <c r="BN41" s="54">
        <v>100.875</v>
      </c>
      <c r="BO41" s="75">
        <v>45930.625</v>
      </c>
      <c r="BP41" s="54">
        <v>100.390625</v>
      </c>
      <c r="BR41" s="131">
        <v>45933.625</v>
      </c>
      <c r="BS41" s="45">
        <f t="shared" si="20"/>
        <v>107.9615</v>
      </c>
      <c r="BT41" s="46">
        <f t="shared" si="49"/>
        <v>11800.000000000067</v>
      </c>
      <c r="BU41" s="46">
        <f t="shared" si="50"/>
        <v>10277.777777777777</v>
      </c>
      <c r="BV41" s="45">
        <f t="shared" si="51"/>
        <v>47.156999999999996</v>
      </c>
      <c r="BW41" s="46">
        <f t="shared" si="52"/>
        <v>13554.000000000004</v>
      </c>
      <c r="BX41" s="47">
        <f t="shared" si="53"/>
        <v>10277.777777777777</v>
      </c>
      <c r="BY41" s="45">
        <f t="shared" si="54"/>
        <v>-1753.9999999999345</v>
      </c>
      <c r="CA41" s="129">
        <v>45812.625</v>
      </c>
      <c r="CB41" s="54">
        <v>106.3698</v>
      </c>
      <c r="CC41" s="129">
        <v>45812.625</v>
      </c>
      <c r="CD41" s="54">
        <v>55.19</v>
      </c>
      <c r="CF41" s="131">
        <v>45933.625</v>
      </c>
      <c r="CG41" s="45">
        <f t="shared" si="21"/>
        <v>235.94200000000001</v>
      </c>
      <c r="CH41" s="46">
        <f t="shared" si="55"/>
        <v>37445.955555555527</v>
      </c>
      <c r="CI41" s="46">
        <f t="shared" si="56"/>
        <v>11419.753086419752</v>
      </c>
      <c r="CJ41" s="45">
        <f t="shared" si="57"/>
        <v>48.695999999999998</v>
      </c>
      <c r="CK41" s="46">
        <f t="shared" si="58"/>
        <v>27972.600000000009</v>
      </c>
      <c r="CL41" s="47">
        <f t="shared" si="59"/>
        <v>10277.777777777777</v>
      </c>
      <c r="CM41" s="45">
        <f t="shared" si="60"/>
        <v>10615.330864197495</v>
      </c>
      <c r="CO41" s="129">
        <v>45812.625</v>
      </c>
      <c r="CP41" s="54">
        <v>293.44900000000001</v>
      </c>
      <c r="CQ41" s="129">
        <v>45812.625</v>
      </c>
      <c r="CR41" s="54">
        <v>56.475999999999999</v>
      </c>
      <c r="CS41" s="54"/>
      <c r="CT41" s="54"/>
      <c r="CU41" s="54"/>
      <c r="CV41" s="54"/>
      <c r="CW41" s="54"/>
      <c r="CX41" s="54"/>
      <c r="CY41" s="54"/>
      <c r="DF41" s="142">
        <f t="shared" si="1"/>
        <v>45936.625</v>
      </c>
      <c r="DG41" s="58">
        <f t="shared" si="2"/>
        <v>-37985.192551076092</v>
      </c>
      <c r="DH41" s="58">
        <f t="shared" si="3"/>
        <v>-185845.02422737214</v>
      </c>
      <c r="DI41" s="58">
        <v>-1187.9999999999436</v>
      </c>
      <c r="DJ41" s="58">
        <v>11641.501234567884</v>
      </c>
      <c r="DK41" s="58">
        <f t="shared" si="22"/>
        <v>-12547.650264458207</v>
      </c>
      <c r="DL41" s="58">
        <f t="shared" si="23"/>
        <v>25082.328119428101</v>
      </c>
      <c r="DM41" s="58">
        <f t="shared" si="24"/>
        <v>565.99999999999091</v>
      </c>
      <c r="DN41" s="58">
        <f t="shared" si="25"/>
        <v>1026.1703703703897</v>
      </c>
      <c r="DO41" s="58">
        <f t="shared" si="5"/>
        <v>-12547.650264458207</v>
      </c>
      <c r="DP41" s="58">
        <f t="shared" si="6"/>
        <v>23591.362883558144</v>
      </c>
      <c r="DQ41" s="58">
        <f t="shared" si="7"/>
        <v>31683.846404517895</v>
      </c>
      <c r="DR41" s="58">
        <f t="shared" si="8"/>
        <v>35974.333449610524</v>
      </c>
      <c r="DS41" s="58">
        <f>SUM($DO$13:DO41)</f>
        <v>-178834.67754658117</v>
      </c>
      <c r="DT41" s="58">
        <f>SUM($DP$13:DP41)</f>
        <v>-174797.86508556202</v>
      </c>
      <c r="DU41" s="58">
        <f>SUM(DQ$13:DQ41)</f>
        <v>-66502.490333155569</v>
      </c>
      <c r="DV41" s="58">
        <f>SUM(DR$13:DR41)</f>
        <v>408114.73353614379</v>
      </c>
      <c r="DZ41" s="133">
        <v>45936.625</v>
      </c>
      <c r="EA41" s="54">
        <v>-178834.67754658117</v>
      </c>
      <c r="EB41" s="54">
        <v>-174797.86508556202</v>
      </c>
      <c r="EC41" s="54">
        <v>-66502.490333155569</v>
      </c>
      <c r="ED41" s="54">
        <v>408114.73353614379</v>
      </c>
    </row>
    <row r="42" spans="1:134" x14ac:dyDescent="0.3">
      <c r="A42" s="142">
        <v>45884.625</v>
      </c>
      <c r="B42" s="76">
        <f t="shared" si="26"/>
        <v>94.87</v>
      </c>
      <c r="C42" s="31">
        <f t="shared" si="9"/>
        <v>258253.46112886004</v>
      </c>
      <c r="D42" s="32">
        <f t="shared" si="10"/>
        <v>-111624.99999999999</v>
      </c>
      <c r="E42" s="76">
        <f t="shared" si="27"/>
        <v>100.946</v>
      </c>
      <c r="F42" s="31">
        <f t="shared" si="11"/>
        <v>-59000.000000000335</v>
      </c>
      <c r="G42" s="32">
        <f t="shared" si="12"/>
        <v>-39741.546333333325</v>
      </c>
      <c r="H42" s="76">
        <f t="shared" si="28"/>
        <v>120.46</v>
      </c>
      <c r="I42" s="31">
        <f t="shared" si="13"/>
        <v>-507957.34208367957</v>
      </c>
      <c r="J42" s="32">
        <f t="shared" si="14"/>
        <v>-191994.99999999997</v>
      </c>
      <c r="K42" s="76">
        <f t="shared" si="29"/>
        <v>99.375</v>
      </c>
      <c r="L42" s="31">
        <f t="shared" si="15"/>
        <v>-157850.0000000021</v>
      </c>
      <c r="M42" s="32">
        <f t="shared" si="16"/>
        <v>-87414.532888888862</v>
      </c>
      <c r="N42" s="82">
        <f t="shared" si="17"/>
        <v>700057.81665698241</v>
      </c>
      <c r="O42" s="82"/>
      <c r="P42" s="82"/>
      <c r="Q42" s="82">
        <f>$G$5*SUM($O$14:O42)-$H$5*SUM($P$14:P42)</f>
        <v>-685953.76080000005</v>
      </c>
      <c r="R42" s="82">
        <f t="shared" si="18"/>
        <v>14104.055856982362</v>
      </c>
      <c r="S42" s="143"/>
      <c r="U42" s="75">
        <v>45813.625</v>
      </c>
      <c r="V42" s="54">
        <v>93.55</v>
      </c>
      <c r="W42" s="75">
        <v>45811.625</v>
      </c>
      <c r="X42" s="54">
        <v>101.60599999999999</v>
      </c>
      <c r="Y42" s="125">
        <v>45817.625</v>
      </c>
      <c r="Z42" s="54">
        <v>121.32</v>
      </c>
      <c r="AA42" s="75">
        <v>45901.625</v>
      </c>
      <c r="AB42" s="54">
        <v>99.632000000000005</v>
      </c>
      <c r="AF42" s="131">
        <v>45936.625</v>
      </c>
      <c r="AG42" s="45">
        <f t="shared" si="30"/>
        <v>80.86</v>
      </c>
      <c r="AH42" s="46">
        <f t="shared" si="31"/>
        <v>-47548.474743732695</v>
      </c>
      <c r="AI42" s="46">
        <f t="shared" si="61"/>
        <v>-164499.99999999997</v>
      </c>
      <c r="AJ42" s="45">
        <f t="shared" si="33"/>
        <v>99.46875</v>
      </c>
      <c r="AK42" s="46">
        <f t="shared" si="34"/>
        <v>-35039.0625</v>
      </c>
      <c r="AL42" s="47">
        <f t="shared" si="62"/>
        <v>-12786.126302083328</v>
      </c>
      <c r="AM42" s="45">
        <f t="shared" si="36"/>
        <v>111.19</v>
      </c>
      <c r="AN42" s="46">
        <f t="shared" si="37"/>
        <v>379532.85467599594</v>
      </c>
      <c r="AO42" s="47">
        <f t="shared" si="63"/>
        <v>-169200</v>
      </c>
      <c r="AP42" s="45">
        <f t="shared" si="39"/>
        <v>99.46875</v>
      </c>
      <c r="AQ42" s="46">
        <f t="shared" si="40"/>
        <v>-30546.875</v>
      </c>
      <c r="AR42" s="47">
        <f t="shared" si="64"/>
        <v>-11146.879340277766</v>
      </c>
      <c r="AS42" s="45">
        <f t="shared" si="42"/>
        <v>100.6875</v>
      </c>
      <c r="AT42" s="46">
        <f t="shared" si="43"/>
        <v>42187.5</v>
      </c>
      <c r="AU42" s="47">
        <f t="shared" si="65"/>
        <v>122.60416666667152</v>
      </c>
      <c r="AV42" s="45">
        <f t="shared" si="45"/>
        <v>99.859375</v>
      </c>
      <c r="AW42" s="46">
        <f t="shared" si="46"/>
        <v>252656.25</v>
      </c>
      <c r="AX42" s="47">
        <f t="shared" si="66"/>
        <v>7323.5494791666642</v>
      </c>
      <c r="AY42" s="82">
        <f t="shared" si="67"/>
        <v>-113959.99131208975</v>
      </c>
      <c r="AZ42" s="82"/>
      <c r="BA42" s="82"/>
      <c r="BB42" s="82">
        <f>$AO$4*SUM($AZ$14:AZ42)-$AP$4*SUM($BA$14:BA42)</f>
        <v>71885.032915282383</v>
      </c>
      <c r="BC42" s="82">
        <f t="shared" si="19"/>
        <v>-185845.02422737214</v>
      </c>
      <c r="BE42" s="75">
        <v>45810.625</v>
      </c>
      <c r="BF42" s="54">
        <v>79.180000000000007</v>
      </c>
      <c r="BI42" s="75">
        <v>45810.625</v>
      </c>
      <c r="BJ42" s="54">
        <v>107.07</v>
      </c>
      <c r="BM42" s="75">
        <v>45930.625</v>
      </c>
      <c r="BN42" s="54">
        <v>100.828125</v>
      </c>
      <c r="BO42" s="75">
        <v>45931.625</v>
      </c>
      <c r="BP42" s="54">
        <v>100.578125</v>
      </c>
      <c r="BR42" s="131">
        <v>45936.625</v>
      </c>
      <c r="BS42" s="45">
        <f t="shared" si="20"/>
        <v>108.1194</v>
      </c>
      <c r="BT42" s="46">
        <f t="shared" si="49"/>
        <v>14958.000000000027</v>
      </c>
      <c r="BU42" s="46">
        <f t="shared" si="50"/>
        <v>11111.111111111111</v>
      </c>
      <c r="BV42" s="45">
        <f t="shared" si="51"/>
        <v>46.581000000000003</v>
      </c>
      <c r="BW42" s="46">
        <f t="shared" si="52"/>
        <v>16145.999999999973</v>
      </c>
      <c r="BX42" s="47">
        <f t="shared" si="53"/>
        <v>11111.111111111109</v>
      </c>
      <c r="BY42" s="45">
        <f t="shared" si="54"/>
        <v>-1187.9999999999436</v>
      </c>
      <c r="CA42" s="129">
        <v>45813.625</v>
      </c>
      <c r="CB42" s="54">
        <v>106.2727</v>
      </c>
      <c r="CC42" s="129">
        <v>45813.625</v>
      </c>
      <c r="CD42" s="54">
        <v>55.59</v>
      </c>
      <c r="CF42" s="131">
        <v>45936.625</v>
      </c>
      <c r="CG42" s="45">
        <f t="shared" si="21"/>
        <v>239.226</v>
      </c>
      <c r="CH42" s="46">
        <f t="shared" si="55"/>
        <v>34234.933333333312</v>
      </c>
      <c r="CI42" s="46">
        <f t="shared" si="56"/>
        <v>12345.679012345678</v>
      </c>
      <c r="CJ42" s="45">
        <f t="shared" si="57"/>
        <v>49.597000000000001</v>
      </c>
      <c r="CK42" s="46">
        <f t="shared" si="58"/>
        <v>23828</v>
      </c>
      <c r="CL42" s="47">
        <f t="shared" si="59"/>
        <v>11111.111111111109</v>
      </c>
      <c r="CM42" s="45">
        <f t="shared" si="60"/>
        <v>11641.501234567884</v>
      </c>
      <c r="CO42" s="129">
        <v>45813.625</v>
      </c>
      <c r="CP42" s="54">
        <v>293.76400000000001</v>
      </c>
      <c r="CQ42" s="129">
        <v>45813.625</v>
      </c>
      <c r="CR42" s="54">
        <v>56.481999999999999</v>
      </c>
      <c r="CS42" s="54"/>
      <c r="CT42" s="54"/>
      <c r="CU42" s="54"/>
      <c r="CV42" s="54"/>
      <c r="CW42" s="54"/>
      <c r="CX42" s="54"/>
      <c r="CY42" s="54"/>
      <c r="DF42" s="142">
        <f t="shared" si="1"/>
        <v>45937.625</v>
      </c>
      <c r="DG42" s="58">
        <f t="shared" si="2"/>
        <v>-124144.50467495741</v>
      </c>
      <c r="DH42" s="58">
        <f t="shared" si="3"/>
        <v>-220143.47076595848</v>
      </c>
      <c r="DI42" s="58">
        <v>-795.99999999996544</v>
      </c>
      <c r="DJ42" s="58">
        <v>10793.454320987634</v>
      </c>
      <c r="DK42" s="58">
        <f t="shared" si="22"/>
        <v>-86159.312123881318</v>
      </c>
      <c r="DL42" s="58">
        <f t="shared" si="23"/>
        <v>-34298.446538586344</v>
      </c>
      <c r="DM42" s="58">
        <f t="shared" si="24"/>
        <v>391.99999999997817</v>
      </c>
      <c r="DN42" s="58">
        <f t="shared" si="25"/>
        <v>-848.04691358025048</v>
      </c>
      <c r="DO42" s="58">
        <f t="shared" si="5"/>
        <v>-86159.312123881318</v>
      </c>
      <c r="DP42" s="58">
        <f t="shared" si="6"/>
        <v>-32259.648896282699</v>
      </c>
      <c r="DQ42" s="58">
        <f t="shared" si="7"/>
        <v>21943.582668852512</v>
      </c>
      <c r="DR42" s="58">
        <f t="shared" si="8"/>
        <v>-29729.880467156079</v>
      </c>
      <c r="DS42" s="58">
        <f>SUM($DO$13:DO42)</f>
        <v>-264993.9896704625</v>
      </c>
      <c r="DT42" s="58">
        <f>SUM($DP$13:DP42)</f>
        <v>-207057.51398184471</v>
      </c>
      <c r="DU42" s="58">
        <f>SUM(DQ$13:DQ42)</f>
        <v>-44558.907664303057</v>
      </c>
      <c r="DV42" s="58">
        <f>SUM(DR$13:DR42)</f>
        <v>378384.85306898772</v>
      </c>
      <c r="DZ42" s="133">
        <v>45937.625</v>
      </c>
      <c r="EA42" s="54">
        <v>-264993.9896704625</v>
      </c>
      <c r="EB42" s="54">
        <v>-207057.51398184471</v>
      </c>
      <c r="EC42" s="54">
        <v>-44558.907664303057</v>
      </c>
      <c r="ED42" s="54">
        <v>378384.85306898772</v>
      </c>
    </row>
    <row r="43" spans="1:134" x14ac:dyDescent="0.3">
      <c r="A43" s="142">
        <v>45887.625</v>
      </c>
      <c r="B43" s="76">
        <f t="shared" si="26"/>
        <v>94.83</v>
      </c>
      <c r="C43" s="31">
        <f t="shared" si="9"/>
        <v>247603.83386581152</v>
      </c>
      <c r="D43" s="32">
        <f t="shared" si="10"/>
        <v>-120437.5</v>
      </c>
      <c r="E43" s="76">
        <f t="shared" si="27"/>
        <v>100.953</v>
      </c>
      <c r="F43" s="31">
        <f t="shared" si="11"/>
        <v>-57599.999999999345</v>
      </c>
      <c r="G43" s="32">
        <f t="shared" si="12"/>
        <v>-42879.036833333339</v>
      </c>
      <c r="H43" s="76">
        <f t="shared" si="28"/>
        <v>120.14</v>
      </c>
      <c r="I43" s="31">
        <f t="shared" si="13"/>
        <v>-620836.75143560464</v>
      </c>
      <c r="J43" s="32">
        <f t="shared" si="14"/>
        <v>-207152.5</v>
      </c>
      <c r="K43" s="76">
        <f t="shared" si="29"/>
        <v>99.388999999999996</v>
      </c>
      <c r="L43" s="31">
        <f t="shared" si="15"/>
        <v>-152110.00000000384</v>
      </c>
      <c r="M43" s="32">
        <f t="shared" si="16"/>
        <v>-94315.680222222232</v>
      </c>
      <c r="N43" s="82">
        <f t="shared" si="17"/>
        <v>809208.94191252277</v>
      </c>
      <c r="O43" s="82"/>
      <c r="P43" s="82"/>
      <c r="Q43" s="82">
        <f>$G$5*SUM($O$14:O43)-$H$5*SUM($P$14:P43)</f>
        <v>-685953.76080000005</v>
      </c>
      <c r="R43" s="82">
        <f t="shared" si="18"/>
        <v>123255.18111252273</v>
      </c>
      <c r="S43" s="143"/>
      <c r="U43" s="75">
        <v>45814.625</v>
      </c>
      <c r="V43" s="54">
        <v>93.7</v>
      </c>
      <c r="W43" s="75">
        <v>45812.625</v>
      </c>
      <c r="X43" s="54">
        <v>101.54</v>
      </c>
      <c r="Y43" s="125">
        <v>45818.625</v>
      </c>
      <c r="Z43" s="54">
        <v>121.52</v>
      </c>
      <c r="AA43" s="75">
        <v>45902.625</v>
      </c>
      <c r="AB43" s="54">
        <v>99.481999999999999</v>
      </c>
      <c r="AF43" s="131">
        <v>45937.625</v>
      </c>
      <c r="AG43" s="45">
        <f t="shared" si="30"/>
        <v>80.77</v>
      </c>
      <c r="AH43" s="46">
        <f t="shared" si="31"/>
        <v>-86451.772261333943</v>
      </c>
      <c r="AI43" s="46">
        <f t="shared" si="61"/>
        <v>-168612.49999999997</v>
      </c>
      <c r="AJ43" s="45">
        <f t="shared" si="33"/>
        <v>99.625</v>
      </c>
      <c r="AK43" s="46">
        <f t="shared" si="34"/>
        <v>-4570.3125</v>
      </c>
      <c r="AL43" s="47">
        <f t="shared" si="62"/>
        <v>-13105.779459635422</v>
      </c>
      <c r="AM43" s="45">
        <f t="shared" si="36"/>
        <v>111.4</v>
      </c>
      <c r="AN43" s="46">
        <f t="shared" si="37"/>
        <v>448241.38871217211</v>
      </c>
      <c r="AO43" s="47">
        <f t="shared" si="63"/>
        <v>-173430</v>
      </c>
      <c r="AP43" s="45">
        <f t="shared" si="39"/>
        <v>99.625</v>
      </c>
      <c r="AQ43" s="46">
        <f t="shared" si="40"/>
        <v>-3984.375</v>
      </c>
      <c r="AR43" s="47">
        <f t="shared" si="64"/>
        <v>-11425.551323784719</v>
      </c>
      <c r="AS43" s="45">
        <f t="shared" si="42"/>
        <v>100.96875</v>
      </c>
      <c r="AT43" s="46">
        <f t="shared" si="43"/>
        <v>63281.250000000007</v>
      </c>
      <c r="AU43" s="47">
        <f t="shared" si="65"/>
        <v>125.66927083334303</v>
      </c>
      <c r="AV43" s="45">
        <f t="shared" si="45"/>
        <v>100.390625</v>
      </c>
      <c r="AW43" s="46">
        <f t="shared" si="46"/>
        <v>308437.5</v>
      </c>
      <c r="AX43" s="47">
        <f t="shared" si="66"/>
        <v>7506.6382161458387</v>
      </c>
      <c r="AY43" s="82">
        <f t="shared" si="67"/>
        <v>-148258.4378506761</v>
      </c>
      <c r="AZ43" s="82"/>
      <c r="BA43" s="82"/>
      <c r="BB43" s="82">
        <f>$AO$4*SUM($AZ$14:AZ43)-$AP$4*SUM($BA$14:BA43)</f>
        <v>71885.032915282383</v>
      </c>
      <c r="BC43" s="82">
        <f t="shared" si="19"/>
        <v>-220143.47076595848</v>
      </c>
      <c r="BE43" s="75">
        <v>45811.625</v>
      </c>
      <c r="BF43" s="54">
        <v>79.33</v>
      </c>
      <c r="BI43" s="75">
        <v>45811.625</v>
      </c>
      <c r="BJ43" s="54">
        <v>107.12</v>
      </c>
      <c r="BM43" s="75">
        <v>45931.625</v>
      </c>
      <c r="BN43" s="54">
        <v>101.171875</v>
      </c>
      <c r="BO43" s="75">
        <v>45932.625</v>
      </c>
      <c r="BP43" s="54">
        <v>100.875</v>
      </c>
      <c r="BR43" s="131">
        <v>45937.625</v>
      </c>
      <c r="BS43" s="45">
        <f t="shared" si="20"/>
        <v>108.0094</v>
      </c>
      <c r="BT43" s="46">
        <f t="shared" si="49"/>
        <v>12758.000000000038</v>
      </c>
      <c r="BU43" s="46">
        <f t="shared" si="50"/>
        <v>11388.888888888891</v>
      </c>
      <c r="BV43" s="45">
        <f t="shared" si="51"/>
        <v>47.156999999999996</v>
      </c>
      <c r="BW43" s="46">
        <f t="shared" si="52"/>
        <v>13554.000000000004</v>
      </c>
      <c r="BX43" s="47">
        <f t="shared" si="53"/>
        <v>11388.888888888889</v>
      </c>
      <c r="BY43" s="45">
        <f t="shared" si="54"/>
        <v>-795.99999999996544</v>
      </c>
      <c r="CA43" s="129">
        <v>45814.625</v>
      </c>
      <c r="CB43" s="54">
        <v>106.61709999999999</v>
      </c>
      <c r="CC43" s="129">
        <v>45814.625</v>
      </c>
      <c r="CD43" s="54">
        <v>54.094999999999999</v>
      </c>
      <c r="CF43" s="131">
        <v>45937.625</v>
      </c>
      <c r="CG43" s="45">
        <f t="shared" si="21"/>
        <v>242.00200000000001</v>
      </c>
      <c r="CH43" s="46">
        <f t="shared" si="55"/>
        <v>31520.622222222195</v>
      </c>
      <c r="CI43" s="46">
        <f t="shared" si="56"/>
        <v>12654.320987654321</v>
      </c>
      <c r="CJ43" s="45">
        <f t="shared" si="57"/>
        <v>49.996000000000002</v>
      </c>
      <c r="CK43" s="46">
        <f t="shared" si="58"/>
        <v>21992.599999999995</v>
      </c>
      <c r="CL43" s="47">
        <f t="shared" si="59"/>
        <v>11388.888888888889</v>
      </c>
      <c r="CM43" s="45">
        <f t="shared" si="60"/>
        <v>10793.454320987634</v>
      </c>
      <c r="CO43" s="129">
        <v>45814.625</v>
      </c>
      <c r="CP43" s="54">
        <v>289.697</v>
      </c>
      <c r="CQ43" s="129">
        <v>45814.625</v>
      </c>
      <c r="CR43" s="54">
        <v>55.588999999999999</v>
      </c>
      <c r="CS43" s="54"/>
      <c r="CT43" s="54"/>
      <c r="CU43" s="54"/>
      <c r="CV43" s="54"/>
      <c r="CW43" s="54"/>
      <c r="CX43" s="54"/>
      <c r="CY43" s="54"/>
      <c r="DF43" s="142">
        <f t="shared" si="1"/>
        <v>45938.625</v>
      </c>
      <c r="DG43" s="58">
        <f t="shared" si="2"/>
        <v>-148043.05396576703</v>
      </c>
      <c r="DH43" s="58">
        <f t="shared" si="3"/>
        <v>-220551.70975011477</v>
      </c>
      <c r="DI43" s="58">
        <v>-915.00000000004184</v>
      </c>
      <c r="DJ43" s="58">
        <v>8996.1185185184841</v>
      </c>
      <c r="DK43" s="58">
        <f t="shared" si="22"/>
        <v>-23898.54929080962</v>
      </c>
      <c r="DL43" s="58">
        <f t="shared" si="23"/>
        <v>-408.23898415628355</v>
      </c>
      <c r="DM43" s="58">
        <f t="shared" si="24"/>
        <v>-119.0000000000764</v>
      </c>
      <c r="DN43" s="58">
        <f t="shared" si="25"/>
        <v>-1797.3358024691497</v>
      </c>
      <c r="DO43" s="58">
        <f t="shared" si="5"/>
        <v>-23898.54929080962</v>
      </c>
      <c r="DP43" s="58">
        <f t="shared" si="6"/>
        <v>-383.97209272556245</v>
      </c>
      <c r="DQ43" s="58">
        <f t="shared" si="7"/>
        <v>-6661.4447387634464</v>
      </c>
      <c r="DR43" s="58">
        <f t="shared" si="8"/>
        <v>-63008.988902701043</v>
      </c>
      <c r="DS43" s="58">
        <f>SUM($DO$13:DO43)</f>
        <v>-288892.5389612721</v>
      </c>
      <c r="DT43" s="58">
        <f>SUM($DP$13:DP43)</f>
        <v>-207441.48607457028</v>
      </c>
      <c r="DU43" s="58">
        <f>SUM(DQ$13:DQ43)</f>
        <v>-51220.352403066499</v>
      </c>
      <c r="DV43" s="58">
        <f>SUM(DR$13:DR43)</f>
        <v>315375.86416628666</v>
      </c>
      <c r="DZ43" s="133">
        <v>45938.625</v>
      </c>
      <c r="EA43" s="54">
        <v>-288892.5389612721</v>
      </c>
      <c r="EB43" s="54">
        <v>-207441.48607457028</v>
      </c>
      <c r="EC43" s="54">
        <v>-51220.352403066499</v>
      </c>
      <c r="ED43" s="54">
        <v>315375.86416628666</v>
      </c>
    </row>
    <row r="44" spans="1:134" x14ac:dyDescent="0.3">
      <c r="A44" s="142">
        <v>45888.625</v>
      </c>
      <c r="B44" s="76">
        <f t="shared" si="26"/>
        <v>94.8</v>
      </c>
      <c r="C44" s="31">
        <f t="shared" si="9"/>
        <v>239616.6134185307</v>
      </c>
      <c r="D44" s="32">
        <f t="shared" si="10"/>
        <v>-123375</v>
      </c>
      <c r="E44" s="76">
        <f t="shared" si="27"/>
        <v>100.99</v>
      </c>
      <c r="F44" s="31">
        <f t="shared" si="11"/>
        <v>-50200.000000000953</v>
      </c>
      <c r="G44" s="32">
        <f t="shared" si="12"/>
        <v>-43924.866999999998</v>
      </c>
      <c r="H44" s="76">
        <f t="shared" si="28"/>
        <v>120.27</v>
      </c>
      <c r="I44" s="31">
        <f t="shared" si="13"/>
        <v>-574979.49138638529</v>
      </c>
      <c r="J44" s="32">
        <f t="shared" si="14"/>
        <v>-212205</v>
      </c>
      <c r="K44" s="76">
        <f t="shared" si="29"/>
        <v>99.484999999999999</v>
      </c>
      <c r="L44" s="31">
        <f t="shared" si="15"/>
        <v>-112750.00000000233</v>
      </c>
      <c r="M44" s="32">
        <f t="shared" si="16"/>
        <v>-96616.062666666665</v>
      </c>
      <c r="N44" s="82">
        <f t="shared" si="17"/>
        <v>788184.90913824795</v>
      </c>
      <c r="O44" s="82"/>
      <c r="P44" s="82"/>
      <c r="Q44" s="82">
        <f>$G$5*SUM($O$14:O44)-$H$5*SUM($P$14:P44)</f>
        <v>-685953.76080000005</v>
      </c>
      <c r="R44" s="82">
        <f t="shared" si="18"/>
        <v>102231.14833824791</v>
      </c>
      <c r="S44" s="143"/>
      <c r="U44" s="75">
        <v>45817.625</v>
      </c>
      <c r="V44" s="54">
        <v>93.62</v>
      </c>
      <c r="W44" s="75">
        <v>45813.625</v>
      </c>
      <c r="X44" s="54">
        <v>101.26</v>
      </c>
      <c r="Y44" s="125">
        <v>45819.625</v>
      </c>
      <c r="Z44" s="54">
        <v>121.56</v>
      </c>
      <c r="AA44" s="75">
        <v>45903.625</v>
      </c>
      <c r="AB44" s="54">
        <v>99.596000000000004</v>
      </c>
      <c r="AF44" s="131">
        <v>45938.625</v>
      </c>
      <c r="AG44" s="45">
        <f t="shared" si="30"/>
        <v>80.650000000000006</v>
      </c>
      <c r="AH44" s="46">
        <f t="shared" si="31"/>
        <v>-138322.83561812653</v>
      </c>
      <c r="AI44" s="46">
        <f t="shared" si="61"/>
        <v>-172725</v>
      </c>
      <c r="AJ44" s="45">
        <f t="shared" si="33"/>
        <v>99.5625</v>
      </c>
      <c r="AK44" s="46">
        <f t="shared" si="34"/>
        <v>-16757.8125</v>
      </c>
      <c r="AL44" s="47">
        <f t="shared" si="62"/>
        <v>-13425.4326171875</v>
      </c>
      <c r="AM44" s="45">
        <f t="shared" si="36"/>
        <v>111.26</v>
      </c>
      <c r="AN44" s="46">
        <f t="shared" si="37"/>
        <v>402435.69935472665</v>
      </c>
      <c r="AO44" s="47">
        <f t="shared" si="63"/>
        <v>-177660</v>
      </c>
      <c r="AP44" s="45">
        <f t="shared" si="39"/>
        <v>99.5625</v>
      </c>
      <c r="AQ44" s="46">
        <f t="shared" si="40"/>
        <v>-14609.375</v>
      </c>
      <c r="AR44" s="47">
        <f t="shared" si="64"/>
        <v>-11704.223307291657</v>
      </c>
      <c r="AS44" s="45">
        <f t="shared" si="42"/>
        <v>100.953125</v>
      </c>
      <c r="AT44" s="46">
        <f t="shared" si="43"/>
        <v>62109.375</v>
      </c>
      <c r="AU44" s="47">
        <f t="shared" si="65"/>
        <v>128.734375</v>
      </c>
      <c r="AV44" s="45">
        <f t="shared" si="45"/>
        <v>100.4375</v>
      </c>
      <c r="AW44" s="46">
        <f t="shared" si="46"/>
        <v>313359.375</v>
      </c>
      <c r="AX44" s="47">
        <f t="shared" si="66"/>
        <v>7689.7269531249985</v>
      </c>
      <c r="AY44" s="82">
        <f t="shared" si="67"/>
        <v>-148666.67683483238</v>
      </c>
      <c r="AZ44" s="82"/>
      <c r="BA44" s="82"/>
      <c r="BB44" s="82">
        <f>$AO$4*SUM($AZ$14:AZ44)-$AP$4*SUM($BA$14:BA44)</f>
        <v>71885.032915282383</v>
      </c>
      <c r="BC44" s="82">
        <f t="shared" si="19"/>
        <v>-220551.70975011477</v>
      </c>
      <c r="BE44" s="75">
        <v>45812.625</v>
      </c>
      <c r="BF44" s="54">
        <v>79.48</v>
      </c>
      <c r="BI44" s="75">
        <v>45812.625</v>
      </c>
      <c r="BJ44" s="54">
        <v>107.9</v>
      </c>
      <c r="BM44" s="75">
        <v>45932.625</v>
      </c>
      <c r="BN44" s="54">
        <v>101.3125</v>
      </c>
      <c r="BO44" s="75">
        <v>45933.625</v>
      </c>
      <c r="BP44" s="54">
        <v>100.609375</v>
      </c>
      <c r="BR44" s="131">
        <v>45938.625</v>
      </c>
      <c r="BS44" s="45">
        <f t="shared" si="20"/>
        <v>107.92919999999999</v>
      </c>
      <c r="BT44" s="46">
        <f t="shared" si="49"/>
        <v>11153.99999999994</v>
      </c>
      <c r="BU44" s="46">
        <f t="shared" si="50"/>
        <v>11666.666666666668</v>
      </c>
      <c r="BV44" s="45">
        <f t="shared" si="51"/>
        <v>47.487000000000002</v>
      </c>
      <c r="BW44" s="46">
        <f t="shared" si="52"/>
        <v>12068.99999999998</v>
      </c>
      <c r="BX44" s="47">
        <f t="shared" si="53"/>
        <v>11666.666666666668</v>
      </c>
      <c r="BY44" s="45">
        <f t="shared" si="54"/>
        <v>-915.00000000004184</v>
      </c>
      <c r="CA44" s="129">
        <v>45817.625</v>
      </c>
      <c r="CB44" s="54">
        <v>106.6589</v>
      </c>
      <c r="CC44" s="129">
        <v>45817.625</v>
      </c>
      <c r="CD44" s="54">
        <v>53.728999999999999</v>
      </c>
      <c r="CF44" s="131">
        <v>45938.625</v>
      </c>
      <c r="CG44" s="45">
        <f t="shared" si="21"/>
        <v>244.23400000000001</v>
      </c>
      <c r="CH44" s="46">
        <f t="shared" si="55"/>
        <v>29338.222222222194</v>
      </c>
      <c r="CI44" s="46">
        <f t="shared" si="56"/>
        <v>12962.962962962964</v>
      </c>
      <c r="CJ44" s="45">
        <f t="shared" si="57"/>
        <v>50.073</v>
      </c>
      <c r="CK44" s="46">
        <f t="shared" si="58"/>
        <v>21638.400000000001</v>
      </c>
      <c r="CL44" s="47">
        <f t="shared" si="59"/>
        <v>11666.666666666668</v>
      </c>
      <c r="CM44" s="45">
        <f t="shared" si="60"/>
        <v>8996.1185185184841</v>
      </c>
      <c r="CO44" s="129">
        <v>45817.625</v>
      </c>
      <c r="CP44" s="54">
        <v>288.13</v>
      </c>
      <c r="CQ44" s="129">
        <v>45817.625</v>
      </c>
      <c r="CR44" s="54">
        <v>55.499000000000002</v>
      </c>
      <c r="CS44" s="54"/>
      <c r="CT44" s="54"/>
      <c r="CU44" s="54"/>
      <c r="CV44" s="54"/>
      <c r="CW44" s="54"/>
      <c r="CX44" s="54"/>
      <c r="CY44" s="54"/>
      <c r="DF44" s="142">
        <f t="shared" si="1"/>
        <v>45939.625</v>
      </c>
      <c r="DG44" s="58">
        <f t="shared" si="2"/>
        <v>-170674.22798346303</v>
      </c>
      <c r="DH44" s="58">
        <f t="shared" si="3"/>
        <v>-257060.30634517863</v>
      </c>
      <c r="DI44" s="58">
        <v>-2434.0000000000309</v>
      </c>
      <c r="DJ44" s="58">
        <v>7048.3160493826945</v>
      </c>
      <c r="DK44" s="58">
        <f t="shared" si="22"/>
        <v>-22631.174017696001</v>
      </c>
      <c r="DL44" s="58">
        <f t="shared" si="23"/>
        <v>-36508.596595063864</v>
      </c>
      <c r="DM44" s="58">
        <f t="shared" si="24"/>
        <v>-1518.9999999999891</v>
      </c>
      <c r="DN44" s="58">
        <f t="shared" si="25"/>
        <v>-1947.8024691357896</v>
      </c>
      <c r="DO44" s="58">
        <f t="shared" si="5"/>
        <v>-22631.174017696001</v>
      </c>
      <c r="DP44" s="58">
        <f t="shared" si="6"/>
        <v>-34338.421319688285</v>
      </c>
      <c r="DQ44" s="58">
        <f t="shared" si="7"/>
        <v>-85031.382841807615</v>
      </c>
      <c r="DR44" s="58">
        <f t="shared" si="8"/>
        <v>-68283.881060972315</v>
      </c>
      <c r="DS44" s="58">
        <f>SUM($DO$13:DO44)</f>
        <v>-311523.71297896811</v>
      </c>
      <c r="DT44" s="58">
        <f>SUM($DP$13:DP44)</f>
        <v>-241779.90739425857</v>
      </c>
      <c r="DU44" s="58">
        <f>SUM(DQ$13:DQ44)</f>
        <v>-136251.73524487411</v>
      </c>
      <c r="DV44" s="58">
        <f>SUM(DR$13:DR44)</f>
        <v>247091.98310531434</v>
      </c>
      <c r="DZ44" s="133">
        <v>45939.625</v>
      </c>
      <c r="EA44" s="54">
        <v>-311523.71297896811</v>
      </c>
      <c r="EB44" s="54">
        <v>-241779.90739425857</v>
      </c>
      <c r="EC44" s="54">
        <v>-136251.73524487411</v>
      </c>
      <c r="ED44" s="54">
        <v>247091.98310531434</v>
      </c>
    </row>
    <row r="45" spans="1:134" x14ac:dyDescent="0.3">
      <c r="A45" s="142">
        <v>45889.625</v>
      </c>
      <c r="B45" s="76">
        <f t="shared" si="26"/>
        <v>94.64</v>
      </c>
      <c r="C45" s="31">
        <f t="shared" si="9"/>
        <v>197018.10436634769</v>
      </c>
      <c r="D45" s="32">
        <f t="shared" si="10"/>
        <v>-126312.49999999999</v>
      </c>
      <c r="E45" s="76">
        <f t="shared" si="27"/>
        <v>101.083</v>
      </c>
      <c r="F45" s="31">
        <f t="shared" si="11"/>
        <v>-31600.000000000251</v>
      </c>
      <c r="G45" s="32">
        <f t="shared" si="12"/>
        <v>-44970.697166666672</v>
      </c>
      <c r="H45" s="76">
        <f t="shared" si="28"/>
        <v>120.39</v>
      </c>
      <c r="I45" s="31">
        <f t="shared" si="13"/>
        <v>-532649.71287941281</v>
      </c>
      <c r="J45" s="32">
        <f t="shared" si="14"/>
        <v>-217257.5</v>
      </c>
      <c r="K45" s="76">
        <f t="shared" si="29"/>
        <v>99.653999999999996</v>
      </c>
      <c r="L45" s="31">
        <f t="shared" si="15"/>
        <v>-43460.000000003587</v>
      </c>
      <c r="M45" s="32">
        <f t="shared" si="16"/>
        <v>-98916.445111111141</v>
      </c>
      <c r="N45" s="82">
        <f t="shared" si="17"/>
        <v>754807.06930131267</v>
      </c>
      <c r="O45" s="82"/>
      <c r="P45" s="82"/>
      <c r="Q45" s="82">
        <f>$G$5*SUM($O$14:O45)-$H$5*SUM($P$14:P45)</f>
        <v>-685953.76080000005</v>
      </c>
      <c r="R45" s="82">
        <f t="shared" si="18"/>
        <v>68853.308501312626</v>
      </c>
      <c r="S45" s="143"/>
      <c r="U45" s="75">
        <v>45818.625</v>
      </c>
      <c r="V45" s="54">
        <v>93.67</v>
      </c>
      <c r="W45" s="75">
        <v>45814.625</v>
      </c>
      <c r="X45" s="54">
        <v>101.29900000000001</v>
      </c>
      <c r="Y45" s="125">
        <v>45820.625</v>
      </c>
      <c r="Z45" s="54">
        <v>121.7</v>
      </c>
      <c r="AA45" s="75">
        <v>45904.625</v>
      </c>
      <c r="AB45" s="54">
        <v>99.653999999999996</v>
      </c>
      <c r="AF45" s="131">
        <v>45939.625</v>
      </c>
      <c r="AG45" s="45">
        <f t="shared" si="30"/>
        <v>80.42</v>
      </c>
      <c r="AH45" s="46">
        <f t="shared" si="31"/>
        <v>-237742.3737186596</v>
      </c>
      <c r="AI45" s="46">
        <f t="shared" si="61"/>
        <v>-176837.5</v>
      </c>
      <c r="AJ45" s="45">
        <f t="shared" si="33"/>
        <v>99.5078125</v>
      </c>
      <c r="AK45" s="46">
        <f t="shared" si="34"/>
        <v>-27421.875</v>
      </c>
      <c r="AL45" s="47">
        <f t="shared" si="62"/>
        <v>-13745.085774739578</v>
      </c>
      <c r="AM45" s="45">
        <f t="shared" si="36"/>
        <v>111.04</v>
      </c>
      <c r="AN45" s="46">
        <f t="shared" si="37"/>
        <v>330455.33036444843</v>
      </c>
      <c r="AO45" s="47">
        <f t="shared" si="63"/>
        <v>-181890</v>
      </c>
      <c r="AP45" s="45">
        <f t="shared" si="39"/>
        <v>99.5078125</v>
      </c>
      <c r="AQ45" s="46">
        <f t="shared" si="40"/>
        <v>-23906.25</v>
      </c>
      <c r="AR45" s="47">
        <f t="shared" si="64"/>
        <v>-11982.895290798609</v>
      </c>
      <c r="AS45" s="45">
        <f t="shared" si="42"/>
        <v>100.875</v>
      </c>
      <c r="AT45" s="46">
        <f t="shared" si="43"/>
        <v>56250</v>
      </c>
      <c r="AU45" s="47">
        <f t="shared" si="65"/>
        <v>131.79947916667152</v>
      </c>
      <c r="AV45" s="45">
        <f t="shared" si="45"/>
        <v>100.390625</v>
      </c>
      <c r="AW45" s="46">
        <f t="shared" si="46"/>
        <v>308437.5</v>
      </c>
      <c r="AX45" s="47">
        <f t="shared" si="66"/>
        <v>7872.815690104173</v>
      </c>
      <c r="AY45" s="82">
        <f t="shared" si="67"/>
        <v>-185175.27342989625</v>
      </c>
      <c r="AZ45" s="82"/>
      <c r="BA45" s="82"/>
      <c r="BB45" s="82">
        <f>$AO$4*SUM($AZ$14:AZ45)-$AP$4*SUM($BA$14:BA45)</f>
        <v>71885.032915282383</v>
      </c>
      <c r="BC45" s="82">
        <f t="shared" si="19"/>
        <v>-257060.30634517863</v>
      </c>
      <c r="BE45" s="75">
        <v>45813.625</v>
      </c>
      <c r="BF45" s="54">
        <v>79.31</v>
      </c>
      <c r="BI45" s="75">
        <v>45813.625</v>
      </c>
      <c r="BJ45" s="54">
        <v>107.57</v>
      </c>
      <c r="BM45" s="75">
        <v>45933.625</v>
      </c>
      <c r="BN45" s="54">
        <v>101.046875</v>
      </c>
      <c r="BO45" s="75">
        <v>45936.625</v>
      </c>
      <c r="BP45" s="54">
        <v>99.859375</v>
      </c>
      <c r="BR45" s="131">
        <v>45939.625</v>
      </c>
      <c r="BS45" s="45">
        <f t="shared" si="20"/>
        <v>107.73399999999999</v>
      </c>
      <c r="BT45" s="46">
        <f t="shared" si="49"/>
        <v>7249.9999999999427</v>
      </c>
      <c r="BU45" s="46">
        <f t="shared" si="50"/>
        <v>11944.444444444445</v>
      </c>
      <c r="BV45" s="45">
        <f t="shared" si="51"/>
        <v>48.017000000000003</v>
      </c>
      <c r="BW45" s="46">
        <f t="shared" si="52"/>
        <v>9683.9999999999727</v>
      </c>
      <c r="BX45" s="47">
        <f t="shared" si="53"/>
        <v>11944.444444444445</v>
      </c>
      <c r="BY45" s="45">
        <f t="shared" si="54"/>
        <v>-2434.0000000000309</v>
      </c>
      <c r="CA45" s="129">
        <v>45818.625</v>
      </c>
      <c r="CB45" s="54">
        <v>106.8021</v>
      </c>
      <c r="CC45" s="129">
        <v>45818.625</v>
      </c>
      <c r="CD45" s="54">
        <v>53.005000000000003</v>
      </c>
      <c r="CF45" s="131">
        <v>45939.625</v>
      </c>
      <c r="CG45" s="45">
        <f t="shared" si="21"/>
        <v>249.739</v>
      </c>
      <c r="CH45" s="46">
        <f t="shared" si="55"/>
        <v>23955.555555555529</v>
      </c>
      <c r="CI45" s="46">
        <f t="shared" si="56"/>
        <v>13271.604938271605</v>
      </c>
      <c r="CJ45" s="45">
        <f t="shared" si="57"/>
        <v>50.813000000000002</v>
      </c>
      <c r="CK45" s="46">
        <f t="shared" si="58"/>
        <v>18234.399999999994</v>
      </c>
      <c r="CL45" s="47">
        <f t="shared" si="59"/>
        <v>11944.444444444445</v>
      </c>
      <c r="CM45" s="45">
        <f t="shared" si="60"/>
        <v>7048.3160493826945</v>
      </c>
      <c r="CO45" s="129">
        <v>45818.625</v>
      </c>
      <c r="CP45" s="54">
        <v>288.601</v>
      </c>
      <c r="CQ45" s="129">
        <v>45818.625</v>
      </c>
      <c r="CR45" s="54">
        <v>55.426000000000002</v>
      </c>
      <c r="CS45" s="54"/>
      <c r="CT45" s="54"/>
      <c r="CU45" s="54"/>
      <c r="CV45" s="54"/>
      <c r="CW45" s="54"/>
      <c r="CX45" s="54"/>
      <c r="CY45" s="54"/>
      <c r="DF45" s="142">
        <f t="shared" si="1"/>
        <v>45940.625</v>
      </c>
      <c r="DG45" s="58">
        <f t="shared" si="2"/>
        <v>-166104.21175023937</v>
      </c>
      <c r="DH45" s="58">
        <f t="shared" si="3"/>
        <v>-350423.55702969374</v>
      </c>
      <c r="DI45" s="58">
        <v>-3338.4999999997908</v>
      </c>
      <c r="DJ45" s="58">
        <v>6761.0913580246961</v>
      </c>
      <c r="DK45" s="58">
        <f t="shared" si="22"/>
        <v>4570.016233223665</v>
      </c>
      <c r="DL45" s="58">
        <f t="shared" si="23"/>
        <v>-93363.250684515107</v>
      </c>
      <c r="DM45" s="58">
        <f t="shared" si="24"/>
        <v>-904.49999999975989</v>
      </c>
      <c r="DN45" s="58">
        <f t="shared" si="25"/>
        <v>-287.22469135799838</v>
      </c>
      <c r="DO45" s="58">
        <f t="shared" si="5"/>
        <v>4570.016233223665</v>
      </c>
      <c r="DP45" s="58">
        <f t="shared" si="6"/>
        <v>-87813.472353906225</v>
      </c>
      <c r="DQ45" s="58">
        <f t="shared" si="7"/>
        <v>-50632.577867277898</v>
      </c>
      <c r="DR45" s="58">
        <f t="shared" si="8"/>
        <v>-10069.202074256511</v>
      </c>
      <c r="DS45" s="58">
        <f>SUM($DO$13:DO45)</f>
        <v>-306953.69674574444</v>
      </c>
      <c r="DT45" s="58">
        <f>SUM($DP$13:DP45)</f>
        <v>-329593.37974816479</v>
      </c>
      <c r="DU45" s="58">
        <f>SUM(DQ$13:DQ45)</f>
        <v>-186884.31311215201</v>
      </c>
      <c r="DV45" s="58">
        <f>SUM(DR$13:DR45)</f>
        <v>237022.78103105782</v>
      </c>
      <c r="DZ45" s="133">
        <v>45940.625</v>
      </c>
      <c r="EA45" s="54">
        <v>-306953.69674574444</v>
      </c>
      <c r="EB45" s="54">
        <v>-329593.37974816479</v>
      </c>
      <c r="EC45" s="54">
        <v>-186884.31311215201</v>
      </c>
      <c r="ED45" s="54">
        <v>237022.78103105782</v>
      </c>
    </row>
    <row r="46" spans="1:134" x14ac:dyDescent="0.3">
      <c r="A46" s="142">
        <v>45890.625</v>
      </c>
      <c r="B46" s="76">
        <f t="shared" si="26"/>
        <v>94.47</v>
      </c>
      <c r="C46" s="31">
        <f t="shared" si="9"/>
        <v>151757.1884984026</v>
      </c>
      <c r="D46" s="32">
        <f t="shared" si="10"/>
        <v>-129249.99999999999</v>
      </c>
      <c r="E46" s="76">
        <f t="shared" si="27"/>
        <v>100.955</v>
      </c>
      <c r="F46" s="31">
        <f t="shared" si="11"/>
        <v>-57200.000000000269</v>
      </c>
      <c r="G46" s="32">
        <f t="shared" si="12"/>
        <v>-46016.527333333324</v>
      </c>
      <c r="H46" s="76">
        <f t="shared" si="28"/>
        <v>120.12</v>
      </c>
      <c r="I46" s="31">
        <f t="shared" si="13"/>
        <v>-627891.71452009853</v>
      </c>
      <c r="J46" s="32">
        <f t="shared" si="14"/>
        <v>-222309.99999999997</v>
      </c>
      <c r="K46" s="76">
        <f t="shared" si="29"/>
        <v>99.468999999999994</v>
      </c>
      <c r="L46" s="31">
        <f t="shared" si="15"/>
        <v>-119310.00000000453</v>
      </c>
      <c r="M46" s="32">
        <f t="shared" si="16"/>
        <v>-101216.82755555556</v>
      </c>
      <c r="N46" s="82">
        <f t="shared" si="17"/>
        <v>755398.6027962747</v>
      </c>
      <c r="O46" s="82"/>
      <c r="P46" s="82"/>
      <c r="Q46" s="82">
        <f>$G$5*SUM($O$14:O46)-$H$5*SUM($P$14:P46)</f>
        <v>-685953.76080000005</v>
      </c>
      <c r="R46" s="82">
        <f t="shared" si="18"/>
        <v>69444.841996274656</v>
      </c>
      <c r="S46" s="143"/>
      <c r="U46" s="75">
        <v>45819.625</v>
      </c>
      <c r="V46" s="54">
        <v>93.76</v>
      </c>
      <c r="W46" s="75">
        <v>45817.625</v>
      </c>
      <c r="X46" s="54">
        <v>101.297</v>
      </c>
      <c r="Y46" s="125">
        <v>45821.625</v>
      </c>
      <c r="Z46" s="54">
        <v>121.38</v>
      </c>
      <c r="AA46" s="75">
        <v>45905.625</v>
      </c>
      <c r="AB46" s="54">
        <v>99.900999999999996</v>
      </c>
      <c r="AF46" s="131">
        <v>45940.625</v>
      </c>
      <c r="AG46" s="45">
        <f t="shared" si="30"/>
        <v>79.984999999999999</v>
      </c>
      <c r="AH46" s="46">
        <f t="shared" si="31"/>
        <v>-425774.97838705848</v>
      </c>
      <c r="AI46" s="46">
        <f t="shared" si="61"/>
        <v>-180950</v>
      </c>
      <c r="AJ46" s="45">
        <f t="shared" si="33"/>
        <v>99.890625</v>
      </c>
      <c r="AK46" s="46">
        <f t="shared" si="34"/>
        <v>47226.5625</v>
      </c>
      <c r="AL46" s="47">
        <f t="shared" si="62"/>
        <v>-14064.738932291672</v>
      </c>
      <c r="AM46" s="45">
        <f t="shared" si="36"/>
        <v>111.36</v>
      </c>
      <c r="AN46" s="46">
        <f t="shared" si="37"/>
        <v>435154.04889575572</v>
      </c>
      <c r="AO46" s="47">
        <f t="shared" si="63"/>
        <v>-186120</v>
      </c>
      <c r="AP46" s="45">
        <f t="shared" si="39"/>
        <v>99.890625</v>
      </c>
      <c r="AQ46" s="46">
        <f t="shared" si="40"/>
        <v>41171.875</v>
      </c>
      <c r="AR46" s="47">
        <f t="shared" si="64"/>
        <v>-12261.567274305562</v>
      </c>
      <c r="AS46" s="45">
        <f t="shared" si="42"/>
        <v>101.578125</v>
      </c>
      <c r="AT46" s="46">
        <f t="shared" si="43"/>
        <v>108984.375</v>
      </c>
      <c r="AU46" s="47">
        <f t="shared" si="65"/>
        <v>134.86458333334303</v>
      </c>
      <c r="AV46" s="45">
        <f t="shared" si="45"/>
        <v>101.875</v>
      </c>
      <c r="AW46" s="46">
        <f t="shared" si="46"/>
        <v>464296.875</v>
      </c>
      <c r="AX46" s="47">
        <f t="shared" si="66"/>
        <v>8055.9044270833401</v>
      </c>
      <c r="AY46" s="82">
        <f t="shared" si="67"/>
        <v>-278538.52411441132</v>
      </c>
      <c r="AZ46" s="82"/>
      <c r="BA46" s="82"/>
      <c r="BB46" s="82">
        <f>$AO$4*SUM($AZ$14:AZ46)-$AP$4*SUM($BA$14:BA46)</f>
        <v>71885.032915282383</v>
      </c>
      <c r="BC46" s="82">
        <f t="shared" si="19"/>
        <v>-350423.55702969374</v>
      </c>
      <c r="BE46" s="75">
        <v>45814.625</v>
      </c>
      <c r="BF46" s="54">
        <v>79.3</v>
      </c>
      <c r="BI46" s="75">
        <v>45814.625</v>
      </c>
      <c r="BJ46" s="54">
        <v>106.92</v>
      </c>
      <c r="BM46" s="75">
        <v>45936.625</v>
      </c>
      <c r="BN46" s="54">
        <v>100.6875</v>
      </c>
      <c r="BO46" s="75">
        <v>45937.625</v>
      </c>
      <c r="BP46" s="54">
        <v>100.390625</v>
      </c>
      <c r="BR46" s="131">
        <v>45940.625</v>
      </c>
      <c r="BS46" s="45">
        <f t="shared" si="20"/>
        <v>107.01220000000001</v>
      </c>
      <c r="BT46" s="46">
        <f t="shared" si="49"/>
        <v>-7185.9999999998081</v>
      </c>
      <c r="BU46" s="46">
        <f t="shared" si="50"/>
        <v>12222.222222222223</v>
      </c>
      <c r="BV46" s="45">
        <f t="shared" si="51"/>
        <v>51.024000000000001</v>
      </c>
      <c r="BW46" s="46">
        <f t="shared" si="52"/>
        <v>-3847.5000000000177</v>
      </c>
      <c r="BX46" s="47">
        <f t="shared" si="53"/>
        <v>12222.222222222223</v>
      </c>
      <c r="BY46" s="45">
        <f t="shared" si="54"/>
        <v>-3338.4999999997908</v>
      </c>
      <c r="CA46" s="129">
        <v>45819.625</v>
      </c>
      <c r="CB46" s="54">
        <v>106.7745</v>
      </c>
      <c r="CC46" s="129">
        <v>45819.625</v>
      </c>
      <c r="CD46" s="54">
        <v>53.15</v>
      </c>
      <c r="CF46" s="131">
        <v>45940.625</v>
      </c>
      <c r="CG46" s="45">
        <f t="shared" si="21"/>
        <v>260.29199999999997</v>
      </c>
      <c r="CH46" s="46">
        <f t="shared" si="55"/>
        <v>13637.066666666669</v>
      </c>
      <c r="CI46" s="46">
        <f t="shared" si="56"/>
        <v>13580.246913580246</v>
      </c>
      <c r="CJ46" s="45">
        <f t="shared" si="57"/>
        <v>52.987000000000002</v>
      </c>
      <c r="CK46" s="46">
        <f t="shared" si="58"/>
        <v>8233.9999999999964</v>
      </c>
      <c r="CL46" s="47">
        <f t="shared" si="59"/>
        <v>12222.222222222223</v>
      </c>
      <c r="CM46" s="45">
        <f t="shared" si="60"/>
        <v>6761.0913580246961</v>
      </c>
      <c r="CO46" s="129">
        <v>45819.625</v>
      </c>
      <c r="CP46" s="54">
        <v>284.75799999999998</v>
      </c>
      <c r="CQ46" s="129">
        <v>45819.625</v>
      </c>
      <c r="CR46" s="54">
        <v>54.582999999999998</v>
      </c>
      <c r="CS46" s="54"/>
      <c r="CT46" s="54"/>
      <c r="CU46" s="54"/>
      <c r="CV46" s="54"/>
      <c r="CW46" s="54"/>
      <c r="CX46" s="54"/>
      <c r="CY46" s="54"/>
      <c r="DF46" s="142">
        <f t="shared" si="1"/>
        <v>45943.625</v>
      </c>
      <c r="DG46" s="58">
        <f t="shared" si="2"/>
        <v>-147845.27719028643</v>
      </c>
      <c r="DH46" s="58">
        <f t="shared" si="3"/>
        <v>-234486.23727834862</v>
      </c>
      <c r="DI46" s="58">
        <v>-3338.4999999997926</v>
      </c>
      <c r="DJ46" s="58">
        <v>7337.0395061728086</v>
      </c>
      <c r="DK46" s="58">
        <f t="shared" si="22"/>
        <v>18258.934559952933</v>
      </c>
      <c r="DL46" s="58">
        <f t="shared" si="23"/>
        <v>115937.31975134512</v>
      </c>
      <c r="DM46" s="58">
        <f t="shared" si="24"/>
        <v>0</v>
      </c>
      <c r="DN46" s="58">
        <f t="shared" si="25"/>
        <v>575.94814814811252</v>
      </c>
      <c r="DO46" s="58">
        <f t="shared" si="5"/>
        <v>18258.934559952933</v>
      </c>
      <c r="DP46" s="58">
        <f t="shared" si="6"/>
        <v>109045.67426827279</v>
      </c>
      <c r="DQ46" s="58">
        <f t="shared" si="7"/>
        <v>0</v>
      </c>
      <c r="DR46" s="58">
        <f t="shared" si="8"/>
        <v>20190.946191213221</v>
      </c>
      <c r="DS46" s="58">
        <f>SUM($DO$13:DO46)</f>
        <v>-288694.76218579151</v>
      </c>
      <c r="DT46" s="58">
        <f>SUM($DP$13:DP46)</f>
        <v>-220547.705479892</v>
      </c>
      <c r="DU46" s="58">
        <f>SUM(DQ$13:DQ46)</f>
        <v>-186884.31311215201</v>
      </c>
      <c r="DV46" s="58">
        <f>SUM(DR$13:DR46)</f>
        <v>257213.72722227103</v>
      </c>
      <c r="DZ46" s="133">
        <v>45943.625</v>
      </c>
      <c r="EA46" s="54">
        <v>-288694.76218579151</v>
      </c>
      <c r="EB46" s="54">
        <v>-220547.705479892</v>
      </c>
      <c r="EC46" s="54">
        <v>-186884.31311215201</v>
      </c>
      <c r="ED46" s="54">
        <v>257213.72722227103</v>
      </c>
    </row>
    <row r="47" spans="1:134" x14ac:dyDescent="0.3">
      <c r="A47" s="142">
        <v>45891.625</v>
      </c>
      <c r="B47" s="76">
        <f t="shared" si="26"/>
        <v>94.76</v>
      </c>
      <c r="C47" s="31">
        <f t="shared" si="9"/>
        <v>228966.98615548215</v>
      </c>
      <c r="D47" s="32">
        <f t="shared" si="10"/>
        <v>-132187.5</v>
      </c>
      <c r="E47" s="76">
        <f t="shared" si="27"/>
        <v>101.027</v>
      </c>
      <c r="F47" s="31">
        <f t="shared" si="11"/>
        <v>-42799.999999999731</v>
      </c>
      <c r="G47" s="32">
        <f t="shared" si="12"/>
        <v>-47062.357499999998</v>
      </c>
      <c r="H47" s="76">
        <f t="shared" si="28"/>
        <v>120.28</v>
      </c>
      <c r="I47" s="31">
        <f t="shared" si="13"/>
        <v>-571452.0098441384</v>
      </c>
      <c r="J47" s="32">
        <f t="shared" si="14"/>
        <v>-227362.5</v>
      </c>
      <c r="K47" s="76">
        <f t="shared" si="29"/>
        <v>99.596000000000004</v>
      </c>
      <c r="L47" s="31">
        <f t="shared" si="15"/>
        <v>-67240.000000000597</v>
      </c>
      <c r="M47" s="32">
        <f t="shared" si="16"/>
        <v>-103517.20999999999</v>
      </c>
      <c r="N47" s="82">
        <f t="shared" si="17"/>
        <v>814699.14349961968</v>
      </c>
      <c r="O47" s="82"/>
      <c r="P47" s="82"/>
      <c r="Q47" s="82">
        <f>$G$5*SUM($O$14:O47)-$H$5*SUM($P$14:P47)</f>
        <v>-685953.76080000005</v>
      </c>
      <c r="R47" s="82">
        <f t="shared" si="18"/>
        <v>128745.38269961963</v>
      </c>
      <c r="S47" s="143"/>
      <c r="U47" s="75">
        <v>45820.625</v>
      </c>
      <c r="V47" s="54">
        <v>93.76</v>
      </c>
      <c r="W47" s="75">
        <v>45818.625</v>
      </c>
      <c r="X47" s="54">
        <v>101.38500000000001</v>
      </c>
      <c r="Y47" s="125">
        <v>45825.625</v>
      </c>
      <c r="Z47" s="54">
        <v>121.5</v>
      </c>
      <c r="AA47" s="75">
        <v>45908.625</v>
      </c>
      <c r="AB47" s="54">
        <v>99.972999999999999</v>
      </c>
      <c r="AF47" s="131">
        <v>45943.625</v>
      </c>
      <c r="AG47" s="45">
        <f t="shared" si="30"/>
        <v>80.45</v>
      </c>
      <c r="AH47" s="46">
        <f t="shared" si="31"/>
        <v>-224774.60787946047</v>
      </c>
      <c r="AI47" s="46">
        <f t="shared" si="61"/>
        <v>-193287.5</v>
      </c>
      <c r="AJ47" s="45">
        <f t="shared" si="33"/>
        <v>99.9921875</v>
      </c>
      <c r="AK47" s="46">
        <f t="shared" si="34"/>
        <v>67031.25</v>
      </c>
      <c r="AL47" s="47">
        <f t="shared" si="62"/>
        <v>-15023.698404947922</v>
      </c>
      <c r="AM47" s="45">
        <f t="shared" si="36"/>
        <v>111.73</v>
      </c>
      <c r="AN47" s="46">
        <f t="shared" si="37"/>
        <v>556211.94219758152</v>
      </c>
      <c r="AO47" s="47">
        <f t="shared" si="63"/>
        <v>-198810</v>
      </c>
      <c r="AP47" s="45">
        <f t="shared" si="39"/>
        <v>99.9921875</v>
      </c>
      <c r="AQ47" s="46">
        <f t="shared" si="40"/>
        <v>58437.5</v>
      </c>
      <c r="AR47" s="47">
        <f t="shared" si="64"/>
        <v>-13097.583224826391</v>
      </c>
      <c r="AS47" s="45">
        <f t="shared" si="42"/>
        <v>101.75</v>
      </c>
      <c r="AT47" s="46">
        <f t="shared" si="43"/>
        <v>121875</v>
      </c>
      <c r="AU47" s="47">
        <f t="shared" si="65"/>
        <v>144.05989583334303</v>
      </c>
      <c r="AV47" s="45">
        <f t="shared" si="45"/>
        <v>102.109375</v>
      </c>
      <c r="AW47" s="46">
        <f t="shared" si="46"/>
        <v>488906.25</v>
      </c>
      <c r="AX47" s="47">
        <f t="shared" si="66"/>
        <v>8605.1706380208416</v>
      </c>
      <c r="AY47" s="82">
        <f t="shared" si="67"/>
        <v>-162601.20436306624</v>
      </c>
      <c r="AZ47" s="82"/>
      <c r="BA47" s="82"/>
      <c r="BB47" s="82">
        <f>$AO$4*SUM($AZ$14:AZ47)-$AP$4*SUM($BA$14:BA47)</f>
        <v>71885.032915282383</v>
      </c>
      <c r="BC47" s="82">
        <f t="shared" si="19"/>
        <v>-234486.23727834862</v>
      </c>
      <c r="BE47" s="75">
        <v>45817.625</v>
      </c>
      <c r="BF47" s="54">
        <v>79.34</v>
      </c>
      <c r="BI47" s="75">
        <v>45817.625</v>
      </c>
      <c r="BJ47" s="54">
        <v>107.24</v>
      </c>
      <c r="BM47" s="75">
        <v>45937.625</v>
      </c>
      <c r="BN47" s="54">
        <v>100.96875</v>
      </c>
      <c r="BO47" s="75">
        <v>45938.625</v>
      </c>
      <c r="BP47" s="54">
        <v>100.4375</v>
      </c>
      <c r="BR47" s="131">
        <v>45943.625</v>
      </c>
      <c r="BS47" s="45">
        <f t="shared" si="20"/>
        <v>107.01220000000001</v>
      </c>
      <c r="BT47" s="46">
        <f t="shared" si="49"/>
        <v>-7185.9999999998081</v>
      </c>
      <c r="BU47" s="46">
        <f t="shared" si="50"/>
        <v>13055.555555555557</v>
      </c>
      <c r="BV47" s="45">
        <f t="shared" si="51"/>
        <v>51.024000000000001</v>
      </c>
      <c r="BW47" s="46">
        <f t="shared" si="52"/>
        <v>-3847.5000000000177</v>
      </c>
      <c r="BX47" s="47">
        <f t="shared" si="53"/>
        <v>13055.555555555558</v>
      </c>
      <c r="BY47" s="45">
        <f t="shared" si="54"/>
        <v>-3338.4999999997926</v>
      </c>
      <c r="CA47" s="129">
        <v>45820.625</v>
      </c>
      <c r="CB47" s="54">
        <v>106.71720000000001</v>
      </c>
      <c r="CC47" s="129">
        <v>45820.625</v>
      </c>
      <c r="CD47" s="54">
        <v>53.576999999999998</v>
      </c>
      <c r="CF47" s="131">
        <v>45943.625</v>
      </c>
      <c r="CG47" s="45">
        <f t="shared" si="21"/>
        <v>260.25400000000002</v>
      </c>
      <c r="CH47" s="46">
        <f t="shared" si="55"/>
        <v>13674.222222222181</v>
      </c>
      <c r="CI47" s="46">
        <f t="shared" si="56"/>
        <v>14506.172839506173</v>
      </c>
      <c r="CJ47" s="45">
        <f t="shared" si="57"/>
        <v>53.084000000000003</v>
      </c>
      <c r="CK47" s="46">
        <f t="shared" si="58"/>
        <v>7787.7999999999902</v>
      </c>
      <c r="CL47" s="47">
        <f t="shared" si="59"/>
        <v>13055.555555555558</v>
      </c>
      <c r="CM47" s="45">
        <f t="shared" si="60"/>
        <v>7337.0395061728086</v>
      </c>
      <c r="CO47" s="129">
        <v>45820.625</v>
      </c>
      <c r="CP47" s="54">
        <v>289.94499999999999</v>
      </c>
      <c r="CQ47" s="129">
        <v>45820.625</v>
      </c>
      <c r="CR47" s="54">
        <v>55.628</v>
      </c>
      <c r="CS47" s="54"/>
      <c r="CT47" s="54"/>
      <c r="CU47" s="54"/>
      <c r="CV47" s="54"/>
      <c r="CW47" s="54"/>
      <c r="CX47" s="54"/>
      <c r="CY47" s="54"/>
      <c r="DF47" s="142">
        <f t="shared" si="1"/>
        <v>45944.625</v>
      </c>
      <c r="DG47" s="58">
        <f t="shared" si="2"/>
        <v>-146935.20399598725</v>
      </c>
      <c r="DH47" s="58">
        <f t="shared" si="3"/>
        <v>-308327.44804738241</v>
      </c>
      <c r="DI47" s="58">
        <v>-3885.9999999999745</v>
      </c>
      <c r="DJ47" s="58">
        <v>5910.5037037036855</v>
      </c>
      <c r="DK47" s="58">
        <f t="shared" si="22"/>
        <v>910.07319429918425</v>
      </c>
      <c r="DL47" s="58">
        <f t="shared" si="23"/>
        <v>-73841.210769033787</v>
      </c>
      <c r="DM47" s="58">
        <f t="shared" si="24"/>
        <v>-547.5000000001819</v>
      </c>
      <c r="DN47" s="58">
        <f t="shared" si="25"/>
        <v>-1426.5358024691232</v>
      </c>
      <c r="DO47" s="58">
        <f t="shared" si="5"/>
        <v>910.07319429918425</v>
      </c>
      <c r="DP47" s="58">
        <f t="shared" si="6"/>
        <v>-69451.878259429184</v>
      </c>
      <c r="DQ47" s="58">
        <f t="shared" si="7"/>
        <v>-30648.243651024011</v>
      </c>
      <c r="DR47" s="58">
        <f t="shared" si="8"/>
        <v>-50009.897106373101</v>
      </c>
      <c r="DS47" s="58">
        <f>SUM($DO$13:DO47)</f>
        <v>-287784.68899149232</v>
      </c>
      <c r="DT47" s="58">
        <f>SUM($DP$13:DP47)</f>
        <v>-289999.58373932121</v>
      </c>
      <c r="DU47" s="58">
        <f>SUM(DQ$13:DQ47)</f>
        <v>-217532.55676317602</v>
      </c>
      <c r="DV47" s="58">
        <f>SUM(DR$13:DR47)</f>
        <v>207203.83011589793</v>
      </c>
      <c r="DZ47" s="133">
        <v>45944.625</v>
      </c>
      <c r="EA47" s="54">
        <v>-287784.68899149232</v>
      </c>
      <c r="EB47" s="54">
        <v>-289999.58373932121</v>
      </c>
      <c r="EC47" s="54">
        <v>-217532.55676317602</v>
      </c>
      <c r="ED47" s="54">
        <v>207203.83011589793</v>
      </c>
    </row>
    <row r="48" spans="1:134" x14ac:dyDescent="0.3">
      <c r="A48" s="142">
        <v>45894.625</v>
      </c>
      <c r="B48" s="76">
        <f t="shared" si="26"/>
        <v>94.76</v>
      </c>
      <c r="C48" s="31">
        <f t="shared" si="9"/>
        <v>228966.98615548215</v>
      </c>
      <c r="D48" s="32">
        <f t="shared" si="10"/>
        <v>-140999.99999999997</v>
      </c>
      <c r="E48" s="76">
        <f t="shared" si="27"/>
        <v>100.916</v>
      </c>
      <c r="F48" s="31">
        <f t="shared" si="11"/>
        <v>-65000.000000000568</v>
      </c>
      <c r="G48" s="32">
        <f t="shared" si="12"/>
        <v>-50199.847999999984</v>
      </c>
      <c r="H48" s="76">
        <f t="shared" si="28"/>
        <v>120.28</v>
      </c>
      <c r="I48" s="31">
        <f t="shared" si="13"/>
        <v>-571452.0098441384</v>
      </c>
      <c r="J48" s="32">
        <f t="shared" si="14"/>
        <v>-242519.99999999997</v>
      </c>
      <c r="K48" s="76">
        <f t="shared" si="29"/>
        <v>99.394999999999996</v>
      </c>
      <c r="L48" s="31">
        <f t="shared" si="15"/>
        <v>-149650.00000000373</v>
      </c>
      <c r="M48" s="32">
        <f t="shared" si="16"/>
        <v>-110418.35733333332</v>
      </c>
      <c r="N48" s="82">
        <f t="shared" si="17"/>
        <v>757070.48666628415</v>
      </c>
      <c r="O48" s="82"/>
      <c r="P48" s="82"/>
      <c r="Q48" s="82">
        <f>$G$5*SUM($O$14:O48)-$H$5*SUM($P$14:P48)</f>
        <v>-685953.76080000005</v>
      </c>
      <c r="R48" s="82">
        <f t="shared" si="18"/>
        <v>71116.725866284105</v>
      </c>
      <c r="S48" s="143"/>
      <c r="U48" s="75">
        <v>45821.625</v>
      </c>
      <c r="V48" s="54">
        <v>93.42</v>
      </c>
      <c r="W48" s="75">
        <v>45819.625</v>
      </c>
      <c r="X48" s="54">
        <v>101.398</v>
      </c>
      <c r="Y48" s="125">
        <v>45826.625</v>
      </c>
      <c r="Z48" s="54">
        <v>121.52</v>
      </c>
      <c r="AA48" s="75">
        <v>45909.625</v>
      </c>
      <c r="AB48" s="54">
        <v>99.885999999999996</v>
      </c>
      <c r="AF48" s="131">
        <v>45944.625</v>
      </c>
      <c r="AG48" s="45">
        <f t="shared" si="30"/>
        <v>80.540000000000006</v>
      </c>
      <c r="AH48" s="46">
        <f t="shared" si="31"/>
        <v>-185871.31036185921</v>
      </c>
      <c r="AI48" s="46">
        <f t="shared" si="61"/>
        <v>-197400</v>
      </c>
      <c r="AJ48" s="45">
        <f t="shared" si="33"/>
        <v>100.1328125</v>
      </c>
      <c r="AK48" s="46">
        <f t="shared" si="34"/>
        <v>94453.125</v>
      </c>
      <c r="AL48" s="47">
        <f t="shared" si="62"/>
        <v>-15343.3515625</v>
      </c>
      <c r="AM48" s="45">
        <f t="shared" si="36"/>
        <v>112.1</v>
      </c>
      <c r="AN48" s="46">
        <f t="shared" si="37"/>
        <v>677269.83549940737</v>
      </c>
      <c r="AO48" s="47">
        <f t="shared" si="63"/>
        <v>-203040</v>
      </c>
      <c r="AP48" s="45">
        <f t="shared" si="39"/>
        <v>100.1328125</v>
      </c>
      <c r="AQ48" s="46">
        <f t="shared" si="40"/>
        <v>82343.75</v>
      </c>
      <c r="AR48" s="47">
        <f t="shared" si="64"/>
        <v>-13376.255208333328</v>
      </c>
      <c r="AS48" s="45">
        <f t="shared" si="42"/>
        <v>101.859375</v>
      </c>
      <c r="AT48" s="46">
        <f t="shared" si="43"/>
        <v>130078.12500000001</v>
      </c>
      <c r="AU48" s="47">
        <f t="shared" si="65"/>
        <v>147.125</v>
      </c>
      <c r="AV48" s="45">
        <f t="shared" si="45"/>
        <v>102.140625</v>
      </c>
      <c r="AW48" s="46">
        <f t="shared" si="46"/>
        <v>492187.5</v>
      </c>
      <c r="AX48" s="47">
        <f t="shared" si="66"/>
        <v>8788.2593750000087</v>
      </c>
      <c r="AY48" s="82">
        <f t="shared" si="67"/>
        <v>-236442.4151321</v>
      </c>
      <c r="AZ48" s="82"/>
      <c r="BA48" s="82"/>
      <c r="BB48" s="82">
        <f>$AO$4*SUM($AZ$14:AZ48)-$AP$4*SUM($BA$14:BA48)</f>
        <v>71885.032915282383</v>
      </c>
      <c r="BC48" s="82">
        <f t="shared" si="19"/>
        <v>-308327.44804738241</v>
      </c>
      <c r="BE48" s="75">
        <v>45818.625</v>
      </c>
      <c r="BF48" s="54">
        <v>79.53</v>
      </c>
      <c r="BI48" s="75">
        <v>45818.625</v>
      </c>
      <c r="BJ48" s="54">
        <v>107.5</v>
      </c>
      <c r="BM48" s="75">
        <v>45938.625</v>
      </c>
      <c r="BN48" s="54">
        <v>100.953125</v>
      </c>
      <c r="BO48" s="75">
        <v>45939.625</v>
      </c>
      <c r="BP48" s="54">
        <v>100.390625</v>
      </c>
      <c r="BR48" s="131">
        <v>45944.625</v>
      </c>
      <c r="BS48" s="45">
        <f t="shared" si="20"/>
        <v>107.4841</v>
      </c>
      <c r="BT48" s="46">
        <f t="shared" si="49"/>
        <v>2252.0000000000095</v>
      </c>
      <c r="BU48" s="46">
        <f t="shared" si="50"/>
        <v>13333.333333333336</v>
      </c>
      <c r="BV48" s="45">
        <f t="shared" si="51"/>
        <v>48.805</v>
      </c>
      <c r="BW48" s="46">
        <f t="shared" si="52"/>
        <v>6137.9999999999873</v>
      </c>
      <c r="BX48" s="47">
        <f t="shared" si="53"/>
        <v>13333.333333333332</v>
      </c>
      <c r="BY48" s="45">
        <f t="shared" si="54"/>
        <v>-3885.9999999999745</v>
      </c>
      <c r="CA48" s="129">
        <v>45821.625</v>
      </c>
      <c r="CB48" s="54">
        <v>106.2491</v>
      </c>
      <c r="CC48" s="129">
        <v>45821.625</v>
      </c>
      <c r="CD48" s="54">
        <v>56.162999999999997</v>
      </c>
      <c r="CF48" s="131">
        <v>45944.625</v>
      </c>
      <c r="CG48" s="45">
        <f t="shared" si="21"/>
        <v>257.16699999999997</v>
      </c>
      <c r="CH48" s="46">
        <f t="shared" si="55"/>
        <v>16692.622222222224</v>
      </c>
      <c r="CI48" s="46">
        <f t="shared" si="56"/>
        <v>14814.814814814816</v>
      </c>
      <c r="CJ48" s="45">
        <f t="shared" si="57"/>
        <v>52.110999999999997</v>
      </c>
      <c r="CK48" s="46">
        <f t="shared" si="58"/>
        <v>12263.600000000019</v>
      </c>
      <c r="CL48" s="47">
        <f t="shared" si="59"/>
        <v>13333.333333333332</v>
      </c>
      <c r="CM48" s="45">
        <f t="shared" si="60"/>
        <v>5910.5037037036855</v>
      </c>
      <c r="CO48" s="129">
        <v>45821.625</v>
      </c>
      <c r="CP48" s="54">
        <v>299.64600000000002</v>
      </c>
      <c r="CQ48" s="129">
        <v>45821.625</v>
      </c>
      <c r="CR48" s="54">
        <v>57.968000000000004</v>
      </c>
      <c r="CS48" s="54"/>
      <c r="CT48" s="54"/>
      <c r="CU48" s="54"/>
      <c r="CV48" s="54"/>
      <c r="CW48" s="54"/>
      <c r="CX48" s="54"/>
      <c r="CY48" s="54"/>
      <c r="DF48" s="142">
        <f t="shared" si="1"/>
        <v>45945.625</v>
      </c>
      <c r="DG48" s="58">
        <f t="shared" si="2"/>
        <v>-86411.419812810724</v>
      </c>
      <c r="DH48" s="58">
        <f t="shared" si="3"/>
        <v>-225204.88409246295</v>
      </c>
      <c r="DI48" s="58">
        <v>-2358.9999999997999</v>
      </c>
      <c r="DJ48" s="58">
        <v>7125.3012345678944</v>
      </c>
      <c r="DK48" s="58">
        <f t="shared" si="22"/>
        <v>60523.784183176525</v>
      </c>
      <c r="DL48" s="58">
        <f t="shared" si="23"/>
        <v>83122.56395491946</v>
      </c>
      <c r="DM48" s="58">
        <f t="shared" si="24"/>
        <v>1527.0000000001746</v>
      </c>
      <c r="DN48" s="58">
        <f t="shared" si="25"/>
        <v>1214.797530864209</v>
      </c>
      <c r="DO48" s="58">
        <f t="shared" si="5"/>
        <v>60523.784183176525</v>
      </c>
      <c r="DP48" s="58">
        <f t="shared" si="6"/>
        <v>78181.521297991334</v>
      </c>
      <c r="DQ48" s="58">
        <f t="shared" si="7"/>
        <v>85479.211059549707</v>
      </c>
      <c r="DR48" s="58">
        <f t="shared" si="8"/>
        <v>42587.013531972079</v>
      </c>
      <c r="DS48" s="58">
        <f>SUM($DO$13:DO48)</f>
        <v>-227260.9048083158</v>
      </c>
      <c r="DT48" s="58">
        <f>SUM($DP$13:DP48)</f>
        <v>-211818.06244132988</v>
      </c>
      <c r="DU48" s="58">
        <f>SUM(DQ$13:DQ48)</f>
        <v>-132053.34570362631</v>
      </c>
      <c r="DV48" s="58">
        <f>SUM(DR$13:DR48)</f>
        <v>249790.84364787</v>
      </c>
      <c r="DZ48" s="133">
        <v>45945.625</v>
      </c>
      <c r="EA48" s="54">
        <v>-227260.9048083158</v>
      </c>
      <c r="EB48" s="54">
        <v>-211818.06244132988</v>
      </c>
      <c r="EC48" s="54">
        <v>-132053.34570362631</v>
      </c>
      <c r="ED48" s="54">
        <v>249790.84364787</v>
      </c>
    </row>
    <row r="49" spans="1:134" x14ac:dyDescent="0.3">
      <c r="A49" s="142">
        <v>45895.625</v>
      </c>
      <c r="B49" s="76">
        <f t="shared" si="26"/>
        <v>94.59</v>
      </c>
      <c r="C49" s="31">
        <f t="shared" si="9"/>
        <v>183706.07028753706</v>
      </c>
      <c r="D49" s="32">
        <f t="shared" si="10"/>
        <v>-143937.49999999997</v>
      </c>
      <c r="E49" s="76">
        <f t="shared" si="27"/>
        <v>101.051</v>
      </c>
      <c r="F49" s="31">
        <f t="shared" si="11"/>
        <v>-37999.999999999542</v>
      </c>
      <c r="G49" s="32">
        <f t="shared" si="12"/>
        <v>-51245.678166666636</v>
      </c>
      <c r="H49" s="76">
        <f t="shared" si="28"/>
        <v>120.28</v>
      </c>
      <c r="I49" s="31">
        <f t="shared" si="13"/>
        <v>-571452.0098441384</v>
      </c>
      <c r="J49" s="32">
        <f t="shared" si="14"/>
        <v>-247572.49999999994</v>
      </c>
      <c r="K49" s="76">
        <f t="shared" si="29"/>
        <v>99.643000000000001</v>
      </c>
      <c r="L49" s="31">
        <f t="shared" si="15"/>
        <v>-47970.000000001812</v>
      </c>
      <c r="M49" s="32">
        <f t="shared" si="16"/>
        <v>-112718.73977777774</v>
      </c>
      <c r="N49" s="82">
        <f t="shared" si="17"/>
        <v>787350.01852056209</v>
      </c>
      <c r="O49" s="82"/>
      <c r="P49" s="82"/>
      <c r="Q49" s="82">
        <f>$G$5*SUM($O$14:O49)-$H$5*SUM($P$14:P49)</f>
        <v>-685953.76080000005</v>
      </c>
      <c r="R49" s="82">
        <f t="shared" si="18"/>
        <v>101396.25772056205</v>
      </c>
      <c r="S49" s="143"/>
      <c r="U49" s="75">
        <v>45824.625</v>
      </c>
      <c r="V49" s="54">
        <v>93.76</v>
      </c>
      <c r="W49" s="75">
        <v>45820.625</v>
      </c>
      <c r="X49" s="54">
        <v>101.509</v>
      </c>
      <c r="Y49" s="125">
        <v>45827.625</v>
      </c>
      <c r="Z49" s="54">
        <v>121.37</v>
      </c>
      <c r="AA49" s="75">
        <v>45910.625</v>
      </c>
      <c r="AB49" s="54">
        <v>99.86</v>
      </c>
      <c r="AF49" s="131">
        <v>45945.625</v>
      </c>
      <c r="AG49" s="45">
        <f t="shared" si="30"/>
        <v>80.8</v>
      </c>
      <c r="AH49" s="46">
        <f t="shared" si="31"/>
        <v>-73484.006422130929</v>
      </c>
      <c r="AI49" s="46">
        <f t="shared" si="61"/>
        <v>-201512.49999999994</v>
      </c>
      <c r="AJ49" s="45">
        <f t="shared" si="33"/>
        <v>100.0234375</v>
      </c>
      <c r="AK49" s="46">
        <f t="shared" si="34"/>
        <v>73125</v>
      </c>
      <c r="AL49" s="47">
        <f t="shared" si="62"/>
        <v>-15663.004720052078</v>
      </c>
      <c r="AM49" s="45">
        <f t="shared" si="36"/>
        <v>112.1</v>
      </c>
      <c r="AN49" s="46">
        <f t="shared" si="37"/>
        <v>677269.83549940737</v>
      </c>
      <c r="AO49" s="47">
        <f t="shared" si="63"/>
        <v>-207270</v>
      </c>
      <c r="AP49" s="45">
        <f t="shared" si="39"/>
        <v>100.0234375</v>
      </c>
      <c r="AQ49" s="46">
        <f t="shared" si="40"/>
        <v>63750</v>
      </c>
      <c r="AR49" s="47">
        <f t="shared" si="64"/>
        <v>-13654.927191840281</v>
      </c>
      <c r="AS49" s="45">
        <f t="shared" si="42"/>
        <v>101.734375</v>
      </c>
      <c r="AT49" s="46">
        <f t="shared" si="43"/>
        <v>120703.125</v>
      </c>
      <c r="AU49" s="47">
        <f t="shared" si="65"/>
        <v>150.19010416667152</v>
      </c>
      <c r="AV49" s="45">
        <f t="shared" si="45"/>
        <v>101.921875</v>
      </c>
      <c r="AW49" s="46">
        <f t="shared" si="46"/>
        <v>469218.75</v>
      </c>
      <c r="AX49" s="47">
        <f t="shared" si="66"/>
        <v>8971.3481119791686</v>
      </c>
      <c r="AY49" s="82">
        <f t="shared" si="67"/>
        <v>-153319.85117718056</v>
      </c>
      <c r="AZ49" s="82"/>
      <c r="BA49" s="82"/>
      <c r="BB49" s="82">
        <f>$AO$4*SUM($AZ$14:AZ49)-$AP$4*SUM($BA$14:BA49)</f>
        <v>71885.032915282383</v>
      </c>
      <c r="BC49" s="82">
        <f t="shared" si="19"/>
        <v>-225204.88409246295</v>
      </c>
      <c r="BE49" s="75">
        <v>45819.625</v>
      </c>
      <c r="BF49" s="54">
        <v>79.510000000000005</v>
      </c>
      <c r="BI49" s="75">
        <v>45819.625</v>
      </c>
      <c r="BJ49" s="54">
        <v>107.84</v>
      </c>
      <c r="BM49" s="75">
        <v>45939.625</v>
      </c>
      <c r="BN49" s="54">
        <v>100.875</v>
      </c>
      <c r="BO49" s="75">
        <v>45940.625</v>
      </c>
      <c r="BP49" s="54">
        <v>101.875</v>
      </c>
      <c r="BR49" s="131">
        <v>45945.625</v>
      </c>
      <c r="BS49" s="45">
        <f t="shared" si="20"/>
        <v>107.62390000000001</v>
      </c>
      <c r="BT49" s="46">
        <f t="shared" si="49"/>
        <v>5048.0000000001719</v>
      </c>
      <c r="BU49" s="46">
        <f t="shared" si="50"/>
        <v>13611.111111111109</v>
      </c>
      <c r="BV49" s="45">
        <f t="shared" si="51"/>
        <v>48.523000000000003</v>
      </c>
      <c r="BW49" s="46">
        <f t="shared" si="52"/>
        <v>7406.9999999999709</v>
      </c>
      <c r="BX49" s="47">
        <f t="shared" si="53"/>
        <v>13611.111111111109</v>
      </c>
      <c r="BY49" s="45">
        <f t="shared" si="54"/>
        <v>-2358.9999999997999</v>
      </c>
      <c r="CA49" s="129">
        <v>45824.625</v>
      </c>
      <c r="CB49" s="54">
        <v>106.6006</v>
      </c>
      <c r="CC49" s="129">
        <v>45824.625</v>
      </c>
      <c r="CD49" s="54">
        <v>54.46</v>
      </c>
      <c r="CF49" s="131">
        <v>45945.625</v>
      </c>
      <c r="CG49" s="45">
        <f t="shared" si="21"/>
        <v>245.131</v>
      </c>
      <c r="CH49" s="46">
        <f t="shared" si="55"/>
        <v>28461.155555555535</v>
      </c>
      <c r="CI49" s="46">
        <f t="shared" si="56"/>
        <v>15123.456790123455</v>
      </c>
      <c r="CJ49" s="45">
        <f t="shared" si="57"/>
        <v>49.81</v>
      </c>
      <c r="CK49" s="46">
        <f t="shared" si="58"/>
        <v>22848.19999999999</v>
      </c>
      <c r="CL49" s="47">
        <f t="shared" si="59"/>
        <v>13611.111111111109</v>
      </c>
      <c r="CM49" s="45">
        <f t="shared" si="60"/>
        <v>7125.3012345678944</v>
      </c>
      <c r="CO49" s="129">
        <v>45824.625</v>
      </c>
      <c r="CP49" s="54">
        <v>290.31200000000001</v>
      </c>
      <c r="CQ49" s="129">
        <v>45824.625</v>
      </c>
      <c r="CR49" s="54">
        <v>55.962000000000003</v>
      </c>
      <c r="CS49" s="54"/>
      <c r="CT49" s="54"/>
      <c r="CU49" s="54"/>
      <c r="CV49" s="54"/>
      <c r="CW49" s="54"/>
      <c r="CX49" s="54"/>
      <c r="CY49" s="54"/>
      <c r="DF49" s="142">
        <f t="shared" si="1"/>
        <v>45946.625</v>
      </c>
      <c r="DG49" s="58">
        <f t="shared" si="2"/>
        <v>-132452.11124250438</v>
      </c>
      <c r="DH49" s="58">
        <f t="shared" si="3"/>
        <v>-347062.47488751484</v>
      </c>
      <c r="DI49" s="58">
        <v>-3430.4999999999472</v>
      </c>
      <c r="DJ49" s="58">
        <v>5217.7876543209713</v>
      </c>
      <c r="DK49" s="58">
        <f t="shared" si="22"/>
        <v>-46040.691429693659</v>
      </c>
      <c r="DL49" s="58">
        <f t="shared" si="23"/>
        <v>-121857.59079505189</v>
      </c>
      <c r="DM49" s="58">
        <f t="shared" si="24"/>
        <v>-1071.5000000001473</v>
      </c>
      <c r="DN49" s="58">
        <f t="shared" si="25"/>
        <v>-1907.5135802469231</v>
      </c>
      <c r="DO49" s="58">
        <f t="shared" si="5"/>
        <v>-46040.691429693659</v>
      </c>
      <c r="DP49" s="58">
        <f t="shared" si="6"/>
        <v>-114614.02748875895</v>
      </c>
      <c r="DQ49" s="58">
        <f t="shared" si="7"/>
        <v>-59980.991912449004</v>
      </c>
      <c r="DR49" s="58">
        <f t="shared" si="8"/>
        <v>-66871.478242637924</v>
      </c>
      <c r="DS49" s="58">
        <f>SUM($DO$13:DO49)</f>
        <v>-273301.59623800946</v>
      </c>
      <c r="DT49" s="58">
        <f>SUM($DP$13:DP49)</f>
        <v>-326432.08993008884</v>
      </c>
      <c r="DU49" s="58">
        <f>SUM(DQ$13:DQ49)</f>
        <v>-192034.33761607533</v>
      </c>
      <c r="DV49" s="58">
        <f>SUM(DR$13:DR49)</f>
        <v>182919.36540523206</v>
      </c>
      <c r="DZ49" s="133">
        <v>45946.625</v>
      </c>
      <c r="EA49" s="54">
        <v>-273301.59623800946</v>
      </c>
      <c r="EB49" s="54">
        <v>-326432.08993008884</v>
      </c>
      <c r="EC49" s="54">
        <v>-192034.33761607533</v>
      </c>
      <c r="ED49" s="54">
        <v>182919.36540523206</v>
      </c>
    </row>
    <row r="50" spans="1:134" x14ac:dyDescent="0.3">
      <c r="A50" s="142">
        <v>45896.625</v>
      </c>
      <c r="B50" s="76">
        <f t="shared" si="26"/>
        <v>94.56</v>
      </c>
      <c r="C50" s="31">
        <f t="shared" si="9"/>
        <v>175718.84984025621</v>
      </c>
      <c r="D50" s="32">
        <f t="shared" si="10"/>
        <v>-146875</v>
      </c>
      <c r="E50" s="76">
        <f t="shared" si="27"/>
        <v>101.142</v>
      </c>
      <c r="F50" s="31">
        <f t="shared" si="11"/>
        <v>-19800.000000000749</v>
      </c>
      <c r="G50" s="32">
        <f t="shared" si="12"/>
        <v>-52291.508333333331</v>
      </c>
      <c r="H50" s="76">
        <f t="shared" si="28"/>
        <v>120.28</v>
      </c>
      <c r="I50" s="31">
        <f t="shared" si="13"/>
        <v>-571452.0098441384</v>
      </c>
      <c r="J50" s="32">
        <f t="shared" si="14"/>
        <v>-252625</v>
      </c>
      <c r="K50" s="76">
        <f t="shared" si="29"/>
        <v>99.801000000000002</v>
      </c>
      <c r="L50" s="31">
        <f t="shared" si="15"/>
        <v>16809.999999998694</v>
      </c>
      <c r="M50" s="32">
        <f t="shared" si="16"/>
        <v>-115019.12222222221</v>
      </c>
      <c r="N50" s="82">
        <f t="shared" si="17"/>
        <v>826803.24579550512</v>
      </c>
      <c r="O50" s="82"/>
      <c r="P50" s="82"/>
      <c r="Q50" s="82">
        <f>$G$5*SUM($O$14:O50)-$H$5*SUM($P$14:P50)</f>
        <v>-685953.76080000005</v>
      </c>
      <c r="R50" s="82">
        <f t="shared" si="18"/>
        <v>140849.48499550507</v>
      </c>
      <c r="S50" s="143"/>
      <c r="U50" s="75">
        <v>45825.625</v>
      </c>
      <c r="V50" s="54">
        <v>93.56</v>
      </c>
      <c r="W50" s="75">
        <v>45821.625</v>
      </c>
      <c r="X50" s="54">
        <v>101.375</v>
      </c>
      <c r="Y50" s="125">
        <v>45828.625</v>
      </c>
      <c r="Z50" s="54">
        <v>121.48</v>
      </c>
      <c r="AA50" s="75">
        <v>45911.625</v>
      </c>
      <c r="AB50" s="54">
        <v>99.715000000000003</v>
      </c>
      <c r="AF50" s="131">
        <v>45946.625</v>
      </c>
      <c r="AG50" s="45">
        <f t="shared" si="30"/>
        <v>80.510000000000005</v>
      </c>
      <c r="AH50" s="46">
        <f t="shared" si="31"/>
        <v>-198839.07620105834</v>
      </c>
      <c r="AI50" s="46">
        <f t="shared" si="61"/>
        <v>-205624.99999999997</v>
      </c>
      <c r="AJ50" s="45">
        <f t="shared" si="33"/>
        <v>100.359375</v>
      </c>
      <c r="AK50" s="46">
        <f t="shared" si="34"/>
        <v>138632.8125</v>
      </c>
      <c r="AL50" s="47">
        <f t="shared" si="62"/>
        <v>-15982.657877604172</v>
      </c>
      <c r="AM50" s="45">
        <f t="shared" si="36"/>
        <v>112.42</v>
      </c>
      <c r="AN50" s="46">
        <f t="shared" si="37"/>
        <v>781968.55403072259</v>
      </c>
      <c r="AO50" s="47">
        <f t="shared" si="63"/>
        <v>-211500</v>
      </c>
      <c r="AP50" s="45">
        <f t="shared" si="39"/>
        <v>100.359375</v>
      </c>
      <c r="AQ50" s="46">
        <f t="shared" si="40"/>
        <v>120859.375</v>
      </c>
      <c r="AR50" s="47">
        <f t="shared" si="64"/>
        <v>-13933.599175347219</v>
      </c>
      <c r="AS50" s="45">
        <f t="shared" si="42"/>
        <v>102.234375</v>
      </c>
      <c r="AT50" s="46">
        <f t="shared" si="43"/>
        <v>158203.125</v>
      </c>
      <c r="AU50" s="47">
        <f t="shared" si="65"/>
        <v>153.25520833334303</v>
      </c>
      <c r="AV50" s="45">
        <f t="shared" si="45"/>
        <v>102.671875</v>
      </c>
      <c r="AW50" s="46">
        <f t="shared" si="46"/>
        <v>547968.75</v>
      </c>
      <c r="AX50" s="47">
        <f t="shared" si="66"/>
        <v>9154.436848958343</v>
      </c>
      <c r="AY50" s="82">
        <f t="shared" si="67"/>
        <v>-275177.44197223242</v>
      </c>
      <c r="AZ50" s="82"/>
      <c r="BA50" s="82"/>
      <c r="BB50" s="82">
        <f>$AO$4*SUM($AZ$14:AZ50)-$AP$4*SUM($BA$14:BA50)</f>
        <v>71885.032915282383</v>
      </c>
      <c r="BC50" s="82">
        <f t="shared" si="19"/>
        <v>-347062.47488751484</v>
      </c>
      <c r="BE50" s="75">
        <v>45820.625</v>
      </c>
      <c r="BF50" s="54">
        <v>79.599999999999994</v>
      </c>
      <c r="BI50" s="75">
        <v>45820.625</v>
      </c>
      <c r="BJ50" s="54">
        <v>108.44</v>
      </c>
      <c r="BM50" s="75">
        <v>45940.625</v>
      </c>
      <c r="BN50" s="54">
        <v>101.578125</v>
      </c>
      <c r="BO50" s="75">
        <v>45943.625</v>
      </c>
      <c r="BP50" s="54">
        <v>102.109375</v>
      </c>
      <c r="BR50" s="131">
        <v>45946.625</v>
      </c>
      <c r="BS50" s="45">
        <f t="shared" si="20"/>
        <v>107.2029</v>
      </c>
      <c r="BT50" s="46">
        <f t="shared" si="49"/>
        <v>-3371.9999999999573</v>
      </c>
      <c r="BU50" s="46">
        <f t="shared" si="50"/>
        <v>13888.888888888891</v>
      </c>
      <c r="BV50" s="45">
        <f t="shared" si="51"/>
        <v>50.155999999999999</v>
      </c>
      <c r="BW50" s="46">
        <f t="shared" si="52"/>
        <v>58.499999999991566</v>
      </c>
      <c r="BX50" s="47">
        <f t="shared" si="53"/>
        <v>13888.888888888891</v>
      </c>
      <c r="BY50" s="45">
        <f t="shared" si="54"/>
        <v>-3430.4999999999472</v>
      </c>
      <c r="CA50" s="129">
        <v>45825.625</v>
      </c>
      <c r="CB50" s="54">
        <v>106.1914</v>
      </c>
      <c r="CC50" s="129">
        <v>45825.625</v>
      </c>
      <c r="CD50" s="54">
        <v>56.384</v>
      </c>
      <c r="CF50" s="131">
        <v>45946.625</v>
      </c>
      <c r="CG50" s="45">
        <f t="shared" si="21"/>
        <v>250.49600000000001</v>
      </c>
      <c r="CH50" s="46">
        <f t="shared" si="55"/>
        <v>23215.377777777747</v>
      </c>
      <c r="CI50" s="46">
        <f t="shared" si="56"/>
        <v>15432.0987654321</v>
      </c>
      <c r="CJ50" s="45">
        <f t="shared" si="57"/>
        <v>50.529000000000003</v>
      </c>
      <c r="CK50" s="46">
        <f t="shared" si="58"/>
        <v>19540.799999999988</v>
      </c>
      <c r="CL50" s="47">
        <f t="shared" si="59"/>
        <v>13888.888888888891</v>
      </c>
      <c r="CM50" s="45">
        <f t="shared" si="60"/>
        <v>5217.7876543209713</v>
      </c>
      <c r="CO50" s="129">
        <v>45825.625</v>
      </c>
      <c r="CP50" s="54">
        <v>296.12900000000002</v>
      </c>
      <c r="CQ50" s="129">
        <v>45825.625</v>
      </c>
      <c r="CR50" s="54">
        <v>57.487000000000002</v>
      </c>
      <c r="CS50" s="54"/>
      <c r="CT50" s="54"/>
      <c r="CU50" s="54"/>
      <c r="CV50" s="54"/>
      <c r="CW50" s="54"/>
      <c r="CX50" s="54"/>
      <c r="CY50" s="54"/>
      <c r="DF50" s="142"/>
      <c r="DG50" s="58"/>
      <c r="DH50" s="58"/>
      <c r="DI50" s="58"/>
      <c r="DJ50" s="58"/>
      <c r="DK50" s="58"/>
      <c r="DL50" s="58"/>
      <c r="DM50" s="58"/>
      <c r="DN50" s="58"/>
      <c r="DO50" s="58"/>
      <c r="DP50" s="58"/>
      <c r="DZ50" s="133"/>
    </row>
    <row r="51" spans="1:134" x14ac:dyDescent="0.3">
      <c r="A51" s="142">
        <v>45897.625</v>
      </c>
      <c r="B51" s="76">
        <f t="shared" si="26"/>
        <v>94.44</v>
      </c>
      <c r="C51" s="31">
        <f t="shared" si="9"/>
        <v>143769.96805111619</v>
      </c>
      <c r="D51" s="32">
        <f t="shared" si="10"/>
        <v>-149812.5</v>
      </c>
      <c r="E51" s="76">
        <f t="shared" si="27"/>
        <v>101.092</v>
      </c>
      <c r="F51" s="31">
        <f t="shared" si="11"/>
        <v>-29800.000000000182</v>
      </c>
      <c r="G51" s="32">
        <f t="shared" si="12"/>
        <v>-53337.338499999983</v>
      </c>
      <c r="H51" s="76">
        <f t="shared" si="28"/>
        <v>120.28</v>
      </c>
      <c r="I51" s="31">
        <f t="shared" si="13"/>
        <v>-571452.0098441384</v>
      </c>
      <c r="J51" s="32">
        <f t="shared" si="14"/>
        <v>-257677.49999999997</v>
      </c>
      <c r="K51" s="76">
        <f t="shared" si="29"/>
        <v>99.775999999999996</v>
      </c>
      <c r="L51" s="31">
        <f t="shared" si="15"/>
        <v>6559.9999999963647</v>
      </c>
      <c r="M51" s="32">
        <f t="shared" si="16"/>
        <v>-117319.50466666663</v>
      </c>
      <c r="N51" s="82">
        <f t="shared" si="17"/>
        <v>795464.81172858458</v>
      </c>
      <c r="O51" s="82"/>
      <c r="P51" s="82"/>
      <c r="Q51" s="82">
        <f>$G$5*SUM($O$14:O51)-$H$5*SUM($P$14:P51)</f>
        <v>-685953.76080000005</v>
      </c>
      <c r="R51" s="82">
        <f t="shared" si="18"/>
        <v>109511.05092858453</v>
      </c>
      <c r="S51" s="143"/>
      <c r="U51" s="75">
        <v>45826.625</v>
      </c>
      <c r="V51" s="54">
        <v>93.37</v>
      </c>
      <c r="W51" s="75">
        <v>45824.625</v>
      </c>
      <c r="X51" s="54">
        <v>101.402</v>
      </c>
      <c r="Y51" s="125">
        <v>45831.625</v>
      </c>
      <c r="Z51" s="54">
        <v>121.56</v>
      </c>
      <c r="AA51" s="75">
        <v>45912.625</v>
      </c>
      <c r="AB51" s="54">
        <v>99.519000000000005</v>
      </c>
      <c r="AF51" s="131"/>
      <c r="AG51" s="45"/>
      <c r="AH51" s="31"/>
      <c r="AI51" s="31"/>
      <c r="AJ51" s="4"/>
      <c r="AK51" s="31"/>
      <c r="AL51" s="32"/>
      <c r="AM51" s="4"/>
      <c r="AN51" s="31"/>
      <c r="AO51" s="32"/>
      <c r="AP51" s="4"/>
      <c r="AQ51" s="31"/>
      <c r="AR51" s="32"/>
      <c r="AS51" s="4"/>
      <c r="AT51" s="31"/>
      <c r="AU51" s="32"/>
      <c r="AV51" s="4"/>
      <c r="AW51" s="31"/>
      <c r="AX51" s="32"/>
      <c r="AY51" s="38"/>
      <c r="AZ51" s="38"/>
      <c r="BA51" s="38"/>
      <c r="BB51" s="38"/>
      <c r="BC51" s="38"/>
      <c r="BE51" s="75">
        <v>45821.625</v>
      </c>
      <c r="BF51" s="54">
        <v>79.36</v>
      </c>
      <c r="BI51" s="75">
        <v>45821.625</v>
      </c>
      <c r="BJ51" s="54">
        <v>107.79</v>
      </c>
      <c r="BM51" s="75">
        <v>45943.625</v>
      </c>
      <c r="BN51" s="54">
        <v>101.75</v>
      </c>
      <c r="BO51" s="75">
        <v>45944.625</v>
      </c>
      <c r="BP51" s="54">
        <v>102.140625</v>
      </c>
      <c r="BR51" s="131"/>
      <c r="BS51" s="45"/>
      <c r="BT51" s="31"/>
      <c r="BU51" s="31"/>
      <c r="BV51" s="4"/>
      <c r="BW51" s="31"/>
      <c r="BX51" s="32"/>
      <c r="BY51" s="4"/>
      <c r="CA51" s="129">
        <v>45826.625</v>
      </c>
      <c r="CB51" s="54">
        <v>106.2077</v>
      </c>
      <c r="CC51" s="129">
        <v>45826.625</v>
      </c>
      <c r="CD51" s="54">
        <v>56.225000000000001</v>
      </c>
      <c r="CO51" s="129">
        <v>45826.625</v>
      </c>
      <c r="CP51" s="54">
        <v>299.76400000000001</v>
      </c>
      <c r="CQ51" s="129">
        <v>45826.625</v>
      </c>
      <c r="CR51" s="54">
        <v>58.424999999999997</v>
      </c>
    </row>
    <row r="52" spans="1:134" x14ac:dyDescent="0.3">
      <c r="A52" s="142">
        <v>45898.625</v>
      </c>
      <c r="B52" s="76">
        <f t="shared" si="26"/>
        <v>94.44</v>
      </c>
      <c r="C52" s="31">
        <f t="shared" si="9"/>
        <v>143769.96805111619</v>
      </c>
      <c r="D52" s="32">
        <f t="shared" si="10"/>
        <v>-152749.99999999997</v>
      </c>
      <c r="E52" s="76">
        <f t="shared" si="27"/>
        <v>101.096</v>
      </c>
      <c r="F52" s="31">
        <f t="shared" si="11"/>
        <v>-28999.999999999203</v>
      </c>
      <c r="G52" s="32">
        <f t="shared" si="12"/>
        <v>-54383.168666666665</v>
      </c>
      <c r="H52" s="76">
        <f t="shared" si="28"/>
        <v>120.25</v>
      </c>
      <c r="I52" s="31">
        <f t="shared" si="13"/>
        <v>-582034.45447087905</v>
      </c>
      <c r="J52" s="32">
        <f t="shared" si="14"/>
        <v>-262729.99999999994</v>
      </c>
      <c r="K52" s="76">
        <f t="shared" si="29"/>
        <v>99.783000000000001</v>
      </c>
      <c r="L52" s="31">
        <f t="shared" si="15"/>
        <v>9429.9999999984157</v>
      </c>
      <c r="M52" s="32">
        <f t="shared" si="16"/>
        <v>-119619.88711111112</v>
      </c>
      <c r="N52" s="82">
        <f t="shared" si="17"/>
        <v>808977.70407754835</v>
      </c>
      <c r="O52" s="82"/>
      <c r="P52" s="82"/>
      <c r="Q52" s="82">
        <f>$G$5*SUM($O$14:O52)-$H$5*SUM($P$14:P52)</f>
        <v>-685953.76080000005</v>
      </c>
      <c r="R52" s="82">
        <f t="shared" si="18"/>
        <v>123023.9432775483</v>
      </c>
      <c r="S52" s="143"/>
      <c r="U52" s="75">
        <v>45827.625</v>
      </c>
      <c r="V52" s="54">
        <v>93.19</v>
      </c>
      <c r="W52" s="75">
        <v>45825.625</v>
      </c>
      <c r="X52" s="54">
        <v>101.369</v>
      </c>
      <c r="Y52" s="125">
        <v>45832.625</v>
      </c>
      <c r="Z52" s="54">
        <v>121.66</v>
      </c>
      <c r="AA52" s="75">
        <v>45915.625</v>
      </c>
      <c r="AB52" s="54">
        <v>99.558000000000007</v>
      </c>
      <c r="AF52" s="131"/>
      <c r="AG52" s="45"/>
      <c r="AH52" s="31"/>
      <c r="AI52" s="31"/>
      <c r="AJ52" s="4"/>
      <c r="AK52" s="31"/>
      <c r="AL52" s="32"/>
      <c r="AM52" s="4"/>
      <c r="AN52" s="31"/>
      <c r="AO52" s="32"/>
      <c r="AP52" s="4"/>
      <c r="AQ52" s="31"/>
      <c r="AR52" s="32"/>
      <c r="AS52" s="4"/>
      <c r="AT52" s="31"/>
      <c r="AU52" s="32"/>
      <c r="AV52" s="4"/>
      <c r="AW52" s="31"/>
      <c r="AX52" s="32"/>
      <c r="AY52" s="38"/>
      <c r="AZ52" s="38"/>
      <c r="BA52" s="38"/>
      <c r="BB52" s="38"/>
      <c r="BC52" s="38"/>
      <c r="BE52" s="75">
        <v>45824.625</v>
      </c>
      <c r="BF52" s="54">
        <v>79.52</v>
      </c>
      <c r="BI52" s="75">
        <v>45824.625</v>
      </c>
      <c r="BJ52" s="54">
        <v>107.6</v>
      </c>
      <c r="BM52" s="75">
        <v>45944.625</v>
      </c>
      <c r="BN52" s="54">
        <v>101.859375</v>
      </c>
      <c r="BO52" s="75">
        <v>45945.625</v>
      </c>
      <c r="BP52" s="54">
        <v>101.921875</v>
      </c>
      <c r="BR52" s="131"/>
      <c r="BS52" s="45"/>
      <c r="BT52" s="31"/>
      <c r="BU52" s="31"/>
      <c r="BV52" s="4"/>
      <c r="BW52" s="31"/>
      <c r="BX52" s="32"/>
      <c r="BY52" s="4"/>
      <c r="CA52" s="129">
        <v>45828.625</v>
      </c>
      <c r="CB52" s="54">
        <v>106.2469</v>
      </c>
      <c r="CC52" s="129">
        <v>45828.625</v>
      </c>
      <c r="CD52" s="54">
        <v>56.116999999999997</v>
      </c>
      <c r="CO52" s="129">
        <v>45827.625</v>
      </c>
      <c r="CP52" s="54">
        <v>309.26900000000001</v>
      </c>
      <c r="CQ52" s="129">
        <v>45827.625</v>
      </c>
      <c r="CR52" s="54">
        <v>60.579000000000001</v>
      </c>
    </row>
    <row r="53" spans="1:134" x14ac:dyDescent="0.3">
      <c r="A53" s="142">
        <v>45901.625</v>
      </c>
      <c r="B53" s="76">
        <f t="shared" si="26"/>
        <v>94.4</v>
      </c>
      <c r="C53" s="31">
        <f t="shared" si="9"/>
        <v>133120.34078807323</v>
      </c>
      <c r="D53" s="32">
        <f t="shared" si="10"/>
        <v>-161562.5</v>
      </c>
      <c r="E53" s="76">
        <f t="shared" si="27"/>
        <v>101.01900000000001</v>
      </c>
      <c r="F53" s="31">
        <f t="shared" si="11"/>
        <v>-44399.999999998843</v>
      </c>
      <c r="G53" s="32">
        <f t="shared" si="12"/>
        <v>-57520.65916666665</v>
      </c>
      <c r="H53" s="76">
        <f t="shared" si="28"/>
        <v>120.1</v>
      </c>
      <c r="I53" s="31">
        <f t="shared" si="13"/>
        <v>-634946.67760459706</v>
      </c>
      <c r="J53" s="32">
        <f t="shared" si="14"/>
        <v>-277887.5</v>
      </c>
      <c r="K53" s="76">
        <f t="shared" si="29"/>
        <v>99.632000000000005</v>
      </c>
      <c r="L53" s="31">
        <f t="shared" si="15"/>
        <v>-52480.000000000051</v>
      </c>
      <c r="M53" s="32">
        <f t="shared" si="16"/>
        <v>-126521.03444444446</v>
      </c>
      <c r="N53" s="82">
        <f t="shared" si="17"/>
        <v>807311.64311489125</v>
      </c>
      <c r="O53" s="82"/>
      <c r="P53" s="82"/>
      <c r="Q53" s="82">
        <f>$G$5*SUM($O$14:O53)-$H$5*SUM($P$14:P53)</f>
        <v>-685953.76080000005</v>
      </c>
      <c r="R53" s="82">
        <f t="shared" si="18"/>
        <v>121357.88231489121</v>
      </c>
      <c r="S53" s="143"/>
      <c r="U53" s="75">
        <v>45828.625</v>
      </c>
      <c r="V53" s="54">
        <v>93.4</v>
      </c>
      <c r="W53" s="75">
        <v>45826.625</v>
      </c>
      <c r="X53" s="54">
        <v>101.449</v>
      </c>
      <c r="Y53" s="125">
        <v>45833.625</v>
      </c>
      <c r="Z53" s="54">
        <v>121.62</v>
      </c>
      <c r="AA53" s="75">
        <v>45916.625</v>
      </c>
      <c r="AB53" s="54">
        <v>99.569000000000003</v>
      </c>
      <c r="AF53" s="131"/>
      <c r="AG53" s="45"/>
      <c r="AH53" s="31"/>
      <c r="AI53" s="31"/>
      <c r="AJ53" s="4"/>
      <c r="AK53" s="31"/>
      <c r="AL53" s="32"/>
      <c r="AM53" s="4"/>
      <c r="AN53" s="31"/>
      <c r="AO53" s="32"/>
      <c r="AP53" s="4"/>
      <c r="AQ53" s="31"/>
      <c r="AR53" s="32"/>
      <c r="AS53" s="4"/>
      <c r="AT53" s="31"/>
      <c r="AU53" s="32"/>
      <c r="AV53" s="4"/>
      <c r="AW53" s="31"/>
      <c r="AX53" s="32"/>
      <c r="AY53" s="38"/>
      <c r="AZ53" s="38"/>
      <c r="BA53" s="38"/>
      <c r="BB53" s="38"/>
      <c r="BC53" s="38"/>
      <c r="BE53" s="75">
        <v>45825.625</v>
      </c>
      <c r="BF53" s="54">
        <v>79.430000000000007</v>
      </c>
      <c r="BI53" s="75">
        <v>45825.625</v>
      </c>
      <c r="BJ53" s="54">
        <v>107.97</v>
      </c>
      <c r="BM53" s="75">
        <v>45945.625</v>
      </c>
      <c r="BN53" s="54">
        <v>101.734375</v>
      </c>
      <c r="BO53" s="75">
        <v>45946.625</v>
      </c>
      <c r="BP53" s="54">
        <v>102.671875</v>
      </c>
      <c r="BR53" s="131"/>
      <c r="BS53" s="45"/>
      <c r="BT53" s="31"/>
      <c r="BU53" s="31"/>
      <c r="BV53" s="4"/>
      <c r="BW53" s="31"/>
      <c r="BX53" s="32"/>
      <c r="BY53" s="4"/>
      <c r="CA53" s="129">
        <v>45831.625</v>
      </c>
      <c r="CB53" s="54">
        <v>106.4867</v>
      </c>
      <c r="CC53" s="129">
        <v>45831.625</v>
      </c>
      <c r="CD53" s="54">
        <v>54.783000000000001</v>
      </c>
      <c r="CO53" s="129">
        <v>45828.625</v>
      </c>
      <c r="CP53" s="54">
        <v>304.85700000000003</v>
      </c>
      <c r="CQ53" s="129">
        <v>45828.625</v>
      </c>
      <c r="CR53" s="54">
        <v>59.311</v>
      </c>
    </row>
    <row r="54" spans="1:134" x14ac:dyDescent="0.3">
      <c r="A54" s="142">
        <v>45902.625</v>
      </c>
      <c r="B54" s="76">
        <f t="shared" si="26"/>
        <v>94.24</v>
      </c>
      <c r="C54" s="31">
        <f t="shared" si="9"/>
        <v>90521.831735884683</v>
      </c>
      <c r="D54" s="32">
        <f t="shared" si="10"/>
        <v>-164500</v>
      </c>
      <c r="E54" s="76">
        <f t="shared" si="27"/>
        <v>100.976</v>
      </c>
      <c r="F54" s="31">
        <f t="shared" si="11"/>
        <v>-53000.000000000116</v>
      </c>
      <c r="G54" s="32">
        <f t="shared" si="12"/>
        <v>-58566.489333333317</v>
      </c>
      <c r="H54" s="76">
        <f t="shared" si="28"/>
        <v>119.81</v>
      </c>
      <c r="I54" s="31">
        <f t="shared" si="13"/>
        <v>-737243.64232978143</v>
      </c>
      <c r="J54" s="32">
        <f t="shared" si="14"/>
        <v>-282940</v>
      </c>
      <c r="K54" s="76">
        <f t="shared" si="29"/>
        <v>99.481999999999999</v>
      </c>
      <c r="L54" s="31">
        <f t="shared" si="15"/>
        <v>-113980.00000000239</v>
      </c>
      <c r="M54" s="32">
        <f t="shared" si="16"/>
        <v>-128821.4168888889</v>
      </c>
      <c r="N54" s="82">
        <f t="shared" si="17"/>
        <v>814970.54651010828</v>
      </c>
      <c r="O54" s="82"/>
      <c r="P54" s="82"/>
      <c r="Q54" s="82">
        <f>$G$5*SUM($O$14:O54)-$H$5*SUM($P$14:P54)</f>
        <v>-685953.76080000005</v>
      </c>
      <c r="R54" s="82">
        <f t="shared" si="18"/>
        <v>129016.78571010823</v>
      </c>
      <c r="S54" s="143"/>
      <c r="U54" s="75">
        <v>45831.625</v>
      </c>
      <c r="V54" s="54">
        <v>93.3</v>
      </c>
      <c r="W54" s="75">
        <v>45827.625</v>
      </c>
      <c r="X54" s="54">
        <v>101.432</v>
      </c>
      <c r="Y54" s="125">
        <v>45834.625</v>
      </c>
      <c r="Z54" s="54">
        <v>121.66</v>
      </c>
      <c r="AA54" s="75">
        <v>45917.625</v>
      </c>
      <c r="AB54" s="54">
        <v>99.600999999999999</v>
      </c>
      <c r="AF54" s="131"/>
      <c r="AG54" s="45"/>
      <c r="AH54" s="31"/>
      <c r="AI54" s="31"/>
      <c r="AJ54" s="4"/>
      <c r="AK54" s="31"/>
      <c r="AL54" s="32"/>
      <c r="AM54" s="4"/>
      <c r="AN54" s="31"/>
      <c r="AO54" s="32"/>
      <c r="AP54" s="4"/>
      <c r="AQ54" s="31"/>
      <c r="AR54" s="32"/>
      <c r="AS54" s="4"/>
      <c r="AT54" s="31"/>
      <c r="AU54" s="32"/>
      <c r="AV54" s="4"/>
      <c r="AW54" s="31"/>
      <c r="AX54" s="32"/>
      <c r="AY54" s="38"/>
      <c r="AZ54" s="38"/>
      <c r="BA54" s="38"/>
      <c r="BB54" s="38"/>
      <c r="BC54" s="38"/>
      <c r="BE54" s="75">
        <v>45826.625</v>
      </c>
      <c r="BF54" s="54">
        <v>79.55</v>
      </c>
      <c r="BI54" s="75">
        <v>45826.625</v>
      </c>
      <c r="BJ54" s="54">
        <v>108.05</v>
      </c>
      <c r="BM54" s="75">
        <v>45946.625</v>
      </c>
      <c r="BN54" s="54">
        <v>102.234375</v>
      </c>
      <c r="BR54" s="131"/>
      <c r="BS54" s="45"/>
      <c r="BT54" s="31"/>
      <c r="BU54" s="31"/>
      <c r="BV54" s="4"/>
      <c r="BW54" s="31"/>
      <c r="BX54" s="32"/>
      <c r="BY54" s="4"/>
      <c r="CA54" s="129">
        <v>45832.625</v>
      </c>
      <c r="CB54" s="54">
        <v>106.926</v>
      </c>
      <c r="CC54" s="129">
        <v>45832.625</v>
      </c>
      <c r="CD54" s="54">
        <v>52.908999999999999</v>
      </c>
      <c r="CO54" s="129">
        <v>45831.625</v>
      </c>
      <c r="CP54" s="54">
        <v>305.47399999999999</v>
      </c>
      <c r="CQ54" s="129">
        <v>45831.625</v>
      </c>
      <c r="CR54" s="54">
        <v>59.47</v>
      </c>
    </row>
    <row r="55" spans="1:134" x14ac:dyDescent="0.3">
      <c r="A55" s="142">
        <v>45903.625</v>
      </c>
      <c r="B55" s="76">
        <f t="shared" si="26"/>
        <v>94.38</v>
      </c>
      <c r="C55" s="31">
        <f t="shared" si="9"/>
        <v>127795.52715654897</v>
      </c>
      <c r="D55" s="32">
        <f t="shared" si="10"/>
        <v>-167437.5</v>
      </c>
      <c r="E55" s="76">
        <f t="shared" si="27"/>
        <v>101.038</v>
      </c>
      <c r="F55" s="31">
        <f t="shared" si="11"/>
        <v>-40600.000000000589</v>
      </c>
      <c r="G55" s="32">
        <f t="shared" si="12"/>
        <v>-59612.319499999983</v>
      </c>
      <c r="H55" s="76">
        <f t="shared" si="28"/>
        <v>120.08</v>
      </c>
      <c r="I55" s="31">
        <f t="shared" si="13"/>
        <v>-642001.64068909094</v>
      </c>
      <c r="J55" s="32">
        <f t="shared" si="14"/>
        <v>-287992.5</v>
      </c>
      <c r="K55" s="76">
        <f t="shared" si="29"/>
        <v>99.596000000000004</v>
      </c>
      <c r="L55" s="31">
        <f t="shared" si="15"/>
        <v>-67240.000000000597</v>
      </c>
      <c r="M55" s="32">
        <f t="shared" si="16"/>
        <v>-131121.79933333336</v>
      </c>
      <c r="N55" s="82">
        <f t="shared" si="17"/>
        <v>792202.68801230646</v>
      </c>
      <c r="O55" s="82"/>
      <c r="P55" s="82"/>
      <c r="Q55" s="82">
        <f>$G$5*SUM($O$14:O55)-$H$5*SUM($P$14:P55)</f>
        <v>-685953.76080000005</v>
      </c>
      <c r="R55" s="82">
        <f t="shared" si="18"/>
        <v>106248.92721230641</v>
      </c>
      <c r="S55" s="143"/>
      <c r="U55" s="75">
        <v>45832.625</v>
      </c>
      <c r="V55" s="54">
        <v>93.63</v>
      </c>
      <c r="W55" s="75">
        <v>45828.625</v>
      </c>
      <c r="X55" s="54">
        <v>101.38200000000001</v>
      </c>
      <c r="Y55" s="125">
        <v>45835.625</v>
      </c>
      <c r="Z55" s="54">
        <v>121.55</v>
      </c>
      <c r="AA55" s="75">
        <v>45918.625</v>
      </c>
      <c r="AB55" s="54">
        <v>99.516000000000005</v>
      </c>
      <c r="AF55" s="131"/>
      <c r="AG55" s="45"/>
      <c r="AH55" s="31"/>
      <c r="AI55" s="31"/>
      <c r="AJ55" s="4"/>
      <c r="AK55" s="31"/>
      <c r="AL55" s="32"/>
      <c r="AM55" s="4"/>
      <c r="AN55" s="31"/>
      <c r="AO55" s="32"/>
      <c r="AP55" s="4"/>
      <c r="AQ55" s="31"/>
      <c r="AR55" s="32"/>
      <c r="AS55" s="4"/>
      <c r="AT55" s="31"/>
      <c r="AU55" s="32"/>
      <c r="AV55" s="4"/>
      <c r="AW55" s="31"/>
      <c r="AX55" s="32"/>
      <c r="AY55" s="38"/>
      <c r="AZ55" s="38"/>
      <c r="BA55" s="38"/>
      <c r="BB55" s="38"/>
      <c r="BC55" s="38"/>
      <c r="BE55" s="75">
        <v>45828.625</v>
      </c>
      <c r="BF55" s="54">
        <v>79.790000000000006</v>
      </c>
      <c r="BI55" s="75">
        <v>45828.625</v>
      </c>
      <c r="BJ55" s="54">
        <v>108.15</v>
      </c>
      <c r="BR55" s="131"/>
      <c r="BS55" s="45"/>
      <c r="BT55" s="31"/>
      <c r="BU55" s="31"/>
      <c r="BV55" s="4"/>
      <c r="BW55" s="31"/>
      <c r="BX55" s="32"/>
      <c r="BY55" s="4"/>
      <c r="CA55" s="129">
        <v>45833.625</v>
      </c>
      <c r="CB55" s="54">
        <v>106.8379</v>
      </c>
      <c r="CC55" s="129">
        <v>45833.625</v>
      </c>
      <c r="CD55" s="54">
        <v>53.393000000000001</v>
      </c>
      <c r="CO55" s="129">
        <v>45832.625</v>
      </c>
      <c r="CP55" s="54">
        <v>292.42599999999999</v>
      </c>
      <c r="CQ55" s="129">
        <v>45832.625</v>
      </c>
      <c r="CR55" s="54">
        <v>56.341999999999999</v>
      </c>
    </row>
    <row r="56" spans="1:134" x14ac:dyDescent="0.3">
      <c r="A56" s="142">
        <v>45904.625</v>
      </c>
      <c r="B56" s="76">
        <f t="shared" si="26"/>
        <v>94.54</v>
      </c>
      <c r="C56" s="31">
        <f t="shared" si="9"/>
        <v>170394.03620873194</v>
      </c>
      <c r="D56" s="32">
        <f t="shared" si="10"/>
        <v>-170375</v>
      </c>
      <c r="E56" s="76">
        <f t="shared" si="27"/>
        <v>101.06399999999999</v>
      </c>
      <c r="F56" s="31">
        <f t="shared" si="11"/>
        <v>-35400.000000001339</v>
      </c>
      <c r="G56" s="32">
        <f t="shared" si="12"/>
        <v>-60658.149666666664</v>
      </c>
      <c r="H56" s="76">
        <f t="shared" si="28"/>
        <v>120.3</v>
      </c>
      <c r="I56" s="31">
        <f t="shared" si="13"/>
        <v>-564397.04675963975</v>
      </c>
      <c r="J56" s="32">
        <f t="shared" si="14"/>
        <v>-293045</v>
      </c>
      <c r="K56" s="76">
        <f t="shared" si="29"/>
        <v>99.653999999999996</v>
      </c>
      <c r="L56" s="31">
        <f t="shared" si="15"/>
        <v>-43460.000000003587</v>
      </c>
      <c r="M56" s="32">
        <f t="shared" si="16"/>
        <v>-133422.18177777782</v>
      </c>
      <c r="N56" s="82">
        <f t="shared" si="17"/>
        <v>776637.05085725826</v>
      </c>
      <c r="O56" s="82"/>
      <c r="P56" s="82"/>
      <c r="Q56" s="82">
        <f>$G$5*SUM($O$14:O56)-$H$5*SUM($P$14:P56)</f>
        <v>-685953.76080000005</v>
      </c>
      <c r="R56" s="82">
        <f t="shared" si="18"/>
        <v>90683.290057258215</v>
      </c>
      <c r="S56" s="143"/>
      <c r="U56" s="75">
        <v>45833.625</v>
      </c>
      <c r="V56" s="54">
        <v>93.47</v>
      </c>
      <c r="W56" s="75">
        <v>45831.625</v>
      </c>
      <c r="X56" s="54">
        <v>101.441</v>
      </c>
      <c r="Y56" s="125">
        <v>45838.625</v>
      </c>
      <c r="Z56" s="54">
        <v>121.69</v>
      </c>
      <c r="AA56" s="75">
        <v>45919.625</v>
      </c>
      <c r="AB56" s="54">
        <v>99.414000000000001</v>
      </c>
      <c r="AF56" s="131"/>
      <c r="AG56" s="45"/>
      <c r="AH56" s="31"/>
      <c r="AI56" s="31"/>
      <c r="AJ56" s="4"/>
      <c r="AK56" s="31"/>
      <c r="AL56" s="32"/>
      <c r="AM56" s="4"/>
      <c r="AN56" s="31"/>
      <c r="AO56" s="32"/>
      <c r="AP56" s="4"/>
      <c r="AQ56" s="31"/>
      <c r="AR56" s="32"/>
      <c r="AS56" s="4"/>
      <c r="AT56" s="31"/>
      <c r="AU56" s="32"/>
      <c r="AV56" s="4"/>
      <c r="AW56" s="31"/>
      <c r="AX56" s="32"/>
      <c r="AY56" s="38"/>
      <c r="AZ56" s="38"/>
      <c r="BA56" s="38"/>
      <c r="BB56" s="38"/>
      <c r="BC56" s="38"/>
      <c r="BE56" s="75">
        <v>45831.625</v>
      </c>
      <c r="BF56" s="54">
        <v>79.95</v>
      </c>
      <c r="BI56" s="75">
        <v>45831.625</v>
      </c>
      <c r="BJ56" s="54">
        <v>108.41</v>
      </c>
      <c r="BR56" s="131"/>
      <c r="BS56" s="45"/>
      <c r="BT56" s="31"/>
      <c r="BU56" s="31"/>
      <c r="BV56" s="4"/>
      <c r="BW56" s="31"/>
      <c r="BX56" s="32"/>
      <c r="BY56" s="4"/>
      <c r="CA56" s="129">
        <v>45834.625</v>
      </c>
      <c r="CB56" s="54">
        <v>107.0552</v>
      </c>
      <c r="CC56" s="129">
        <v>45834.625</v>
      </c>
      <c r="CD56" s="54">
        <v>52.463000000000001</v>
      </c>
      <c r="CO56" s="129">
        <v>45833.625</v>
      </c>
      <c r="CP56" s="54">
        <v>292.70999999999998</v>
      </c>
      <c r="CQ56" s="129">
        <v>45833.625</v>
      </c>
      <c r="CR56" s="54">
        <v>56.53</v>
      </c>
    </row>
    <row r="57" spans="1:134" x14ac:dyDescent="0.3">
      <c r="A57" s="142">
        <v>45905.625</v>
      </c>
      <c r="B57" s="76">
        <f t="shared" si="26"/>
        <v>94.64</v>
      </c>
      <c r="C57" s="31">
        <f t="shared" si="9"/>
        <v>197018.10436634769</v>
      </c>
      <c r="D57" s="32">
        <f t="shared" si="10"/>
        <v>-173312.5</v>
      </c>
      <c r="E57" s="76">
        <f t="shared" si="27"/>
        <v>101.19</v>
      </c>
      <c r="F57" s="31">
        <f t="shared" si="11"/>
        <v>-10200.000000000387</v>
      </c>
      <c r="G57" s="32">
        <f t="shared" si="12"/>
        <v>-61703.979833333331</v>
      </c>
      <c r="H57" s="76">
        <f t="shared" si="28"/>
        <v>120.64</v>
      </c>
      <c r="I57" s="31">
        <f t="shared" si="13"/>
        <v>-444462.67432321608</v>
      </c>
      <c r="J57" s="32">
        <f t="shared" si="14"/>
        <v>-298097.5</v>
      </c>
      <c r="K57" s="76">
        <f t="shared" si="29"/>
        <v>99.900999999999996</v>
      </c>
      <c r="L57" s="31">
        <f t="shared" si="15"/>
        <v>57809.999999996362</v>
      </c>
      <c r="M57" s="32">
        <f t="shared" si="16"/>
        <v>-135722.56422222222</v>
      </c>
      <c r="N57" s="82">
        <f t="shared" si="17"/>
        <v>760257.19430067169</v>
      </c>
      <c r="O57" s="82"/>
      <c r="P57" s="82"/>
      <c r="Q57" s="82">
        <f>$G$5*SUM($O$14:O57)-$H$5*SUM($P$14:P57)</f>
        <v>-685953.76080000005</v>
      </c>
      <c r="R57" s="82">
        <f t="shared" si="18"/>
        <v>74303.433500671643</v>
      </c>
      <c r="S57" s="143"/>
      <c r="U57" s="75">
        <v>45834.625</v>
      </c>
      <c r="V57" s="54">
        <v>93.5</v>
      </c>
      <c r="W57" s="75">
        <v>45832.625</v>
      </c>
      <c r="X57" s="54">
        <v>101.40600000000001</v>
      </c>
      <c r="Y57" s="125">
        <v>45839.625</v>
      </c>
      <c r="Z57" s="54">
        <v>121.84</v>
      </c>
      <c r="AA57" s="75">
        <v>45922.625</v>
      </c>
      <c r="AB57" s="54">
        <v>99.441000000000003</v>
      </c>
      <c r="AF57" s="131"/>
      <c r="AG57" s="45"/>
      <c r="AH57" s="31"/>
      <c r="AI57" s="31"/>
      <c r="AJ57" s="4"/>
      <c r="AK57" s="31"/>
      <c r="AL57" s="32"/>
      <c r="AM57" s="4"/>
      <c r="AN57" s="31"/>
      <c r="AO57" s="32"/>
      <c r="AP57" s="4"/>
      <c r="AQ57" s="31"/>
      <c r="AR57" s="32"/>
      <c r="AS57" s="4"/>
      <c r="AT57" s="31"/>
      <c r="AU57" s="32"/>
      <c r="AV57" s="4"/>
      <c r="AW57" s="31"/>
      <c r="AX57" s="32"/>
      <c r="AY57" s="38"/>
      <c r="AZ57" s="38"/>
      <c r="BA57" s="38"/>
      <c r="BB57" s="38"/>
      <c r="BC57" s="38"/>
      <c r="BE57" s="75">
        <v>45832.625</v>
      </c>
      <c r="BF57" s="54">
        <v>80.17</v>
      </c>
      <c r="BI57" s="75">
        <v>45832.625</v>
      </c>
      <c r="BJ57" s="54">
        <v>108.92</v>
      </c>
      <c r="BR57" s="131"/>
      <c r="BS57" s="45"/>
      <c r="BT57" s="31"/>
      <c r="BU57" s="31"/>
      <c r="BV57" s="4"/>
      <c r="BW57" s="31"/>
      <c r="BX57" s="32"/>
      <c r="BY57" s="4"/>
      <c r="CA57" s="129">
        <v>45835.625</v>
      </c>
      <c r="CB57" s="54">
        <v>107.2032</v>
      </c>
      <c r="CC57" s="129">
        <v>45835.625</v>
      </c>
      <c r="CD57" s="54">
        <v>52.195</v>
      </c>
      <c r="CO57" s="129">
        <v>45834.625</v>
      </c>
      <c r="CP57" s="54">
        <v>290.971</v>
      </c>
      <c r="CQ57" s="129">
        <v>45834.625</v>
      </c>
      <c r="CR57" s="54">
        <v>56.253999999999998</v>
      </c>
    </row>
    <row r="58" spans="1:134" x14ac:dyDescent="0.3">
      <c r="A58" s="142">
        <v>45908.625</v>
      </c>
      <c r="B58" s="76">
        <f t="shared" si="26"/>
        <v>94.65</v>
      </c>
      <c r="C58" s="31">
        <f t="shared" si="9"/>
        <v>199680.51118210983</v>
      </c>
      <c r="D58" s="32">
        <f t="shared" si="10"/>
        <v>-182125</v>
      </c>
      <c r="E58" s="76">
        <f t="shared" si="27"/>
        <v>101.23099999999999</v>
      </c>
      <c r="F58" s="31">
        <f t="shared" si="11"/>
        <v>-2000.0000000010234</v>
      </c>
      <c r="G58" s="32">
        <f t="shared" si="12"/>
        <v>-64841.470333333316</v>
      </c>
      <c r="H58" s="76">
        <f t="shared" si="28"/>
        <v>120.74</v>
      </c>
      <c r="I58" s="31">
        <f t="shared" si="13"/>
        <v>-409187.85890074214</v>
      </c>
      <c r="J58" s="32">
        <f t="shared" si="14"/>
        <v>-313255</v>
      </c>
      <c r="K58" s="76">
        <f t="shared" si="29"/>
        <v>99.972999999999999</v>
      </c>
      <c r="L58" s="31">
        <f t="shared" si="15"/>
        <v>87329.999999997497</v>
      </c>
      <c r="M58" s="32">
        <f t="shared" si="16"/>
        <v>-142623.71155555558</v>
      </c>
      <c r="N58" s="82">
        <f t="shared" si="17"/>
        <v>751546.12886062812</v>
      </c>
      <c r="O58" s="82"/>
      <c r="P58" s="82"/>
      <c r="Q58" s="82">
        <f>$G$5*SUM($O$14:O58)-$H$5*SUM($P$14:P58)</f>
        <v>-685953.76080000005</v>
      </c>
      <c r="R58" s="82">
        <f t="shared" si="18"/>
        <v>65592.368060628069</v>
      </c>
      <c r="S58" s="143"/>
      <c r="U58" s="75">
        <v>45835.625</v>
      </c>
      <c r="V58" s="54">
        <v>93.63</v>
      </c>
      <c r="W58" s="75">
        <v>45833.625</v>
      </c>
      <c r="X58" s="54">
        <v>101.367</v>
      </c>
      <c r="Y58" s="125">
        <v>45840.625</v>
      </c>
      <c r="Z58" s="54">
        <v>121.82</v>
      </c>
      <c r="AA58" s="75">
        <v>45923.625</v>
      </c>
      <c r="AB58" s="54">
        <v>99.381</v>
      </c>
      <c r="AF58" s="131"/>
      <c r="AG58" s="45"/>
      <c r="AH58" s="31"/>
      <c r="AI58" s="31"/>
      <c r="AJ58" s="4"/>
      <c r="AK58" s="31"/>
      <c r="AL58" s="32"/>
      <c r="AM58" s="4"/>
      <c r="AN58" s="31"/>
      <c r="AO58" s="32"/>
      <c r="AP58" s="4"/>
      <c r="AQ58" s="31"/>
      <c r="AR58" s="32"/>
      <c r="AS58" s="4"/>
      <c r="AT58" s="31"/>
      <c r="AU58" s="32"/>
      <c r="AV58" s="4"/>
      <c r="AW58" s="31"/>
      <c r="AX58" s="32"/>
      <c r="AY58" s="38"/>
      <c r="AZ58" s="38"/>
      <c r="BA58" s="38"/>
      <c r="BB58" s="38"/>
      <c r="BC58" s="38"/>
      <c r="BE58" s="75">
        <v>45833.625</v>
      </c>
      <c r="BF58" s="54">
        <v>80.150000000000006</v>
      </c>
      <c r="BI58" s="75">
        <v>45833.625</v>
      </c>
      <c r="BJ58" s="54">
        <v>108.79</v>
      </c>
      <c r="BR58" s="131"/>
      <c r="BS58" s="45"/>
      <c r="BT58" s="31"/>
      <c r="BU58" s="31"/>
      <c r="BV58" s="4"/>
      <c r="BW58" s="31"/>
      <c r="BX58" s="32"/>
      <c r="BY58" s="4"/>
      <c r="CA58" s="129">
        <v>45838.625</v>
      </c>
      <c r="CB58" s="54">
        <v>107.5166</v>
      </c>
      <c r="CC58" s="129">
        <v>45838.625</v>
      </c>
      <c r="CD58" s="54">
        <v>50.99</v>
      </c>
      <c r="CO58" s="129">
        <v>45835.625</v>
      </c>
      <c r="CP58" s="54">
        <v>285.11700000000002</v>
      </c>
      <c r="CQ58" s="129">
        <v>45835.625</v>
      </c>
      <c r="CR58" s="54">
        <v>54.988</v>
      </c>
    </row>
    <row r="59" spans="1:134" x14ac:dyDescent="0.3">
      <c r="A59" s="142">
        <v>45909.625</v>
      </c>
      <c r="B59" s="76">
        <f t="shared" si="26"/>
        <v>94.54</v>
      </c>
      <c r="C59" s="31">
        <f t="shared" si="9"/>
        <v>170394.03620873194</v>
      </c>
      <c r="D59" s="32">
        <f t="shared" si="10"/>
        <v>-185062.49999999997</v>
      </c>
      <c r="E59" s="76">
        <f t="shared" si="27"/>
        <v>101.163</v>
      </c>
      <c r="F59" s="31">
        <f t="shared" si="11"/>
        <v>-15600.000000000591</v>
      </c>
      <c r="G59" s="32">
        <f t="shared" si="12"/>
        <v>-65887.300500000012</v>
      </c>
      <c r="H59" s="76">
        <f t="shared" si="28"/>
        <v>120.66</v>
      </c>
      <c r="I59" s="31">
        <f t="shared" si="13"/>
        <v>-437407.71123872226</v>
      </c>
      <c r="J59" s="32">
        <f t="shared" si="14"/>
        <v>-318307.5</v>
      </c>
      <c r="K59" s="76">
        <f t="shared" si="29"/>
        <v>99.885999999999996</v>
      </c>
      <c r="L59" s="31">
        <f t="shared" si="15"/>
        <v>51659.999999996136</v>
      </c>
      <c r="M59" s="32">
        <f t="shared" si="16"/>
        <v>-144924.09400000004</v>
      </c>
      <c r="N59" s="82">
        <f t="shared" si="17"/>
        <v>729269.95394745097</v>
      </c>
      <c r="O59" s="82"/>
      <c r="P59" s="82"/>
      <c r="Q59" s="82">
        <f>$G$5*SUM($O$14:O59)-$H$5*SUM($P$14:P59)</f>
        <v>-685953.76080000005</v>
      </c>
      <c r="R59" s="82">
        <f t="shared" si="18"/>
        <v>43316.193147450918</v>
      </c>
      <c r="S59" s="143"/>
      <c r="U59" s="75">
        <v>45838.625</v>
      </c>
      <c r="V59" s="54">
        <v>93.64</v>
      </c>
      <c r="W59" s="75">
        <v>45834.625</v>
      </c>
      <c r="X59" s="54">
        <v>101.43</v>
      </c>
      <c r="Y59" s="125">
        <v>45841.625</v>
      </c>
      <c r="Z59" s="54">
        <v>122.16</v>
      </c>
      <c r="AA59" s="75">
        <v>45924.625</v>
      </c>
      <c r="AB59" s="54">
        <v>99.414000000000001</v>
      </c>
      <c r="AF59" s="131"/>
      <c r="AG59" s="45"/>
      <c r="AH59" s="31"/>
      <c r="AI59" s="31"/>
      <c r="AJ59" s="4"/>
      <c r="AK59" s="31"/>
      <c r="AL59" s="32"/>
      <c r="AM59" s="4"/>
      <c r="AN59" s="31"/>
      <c r="AO59" s="32"/>
      <c r="AP59" s="4"/>
      <c r="AQ59" s="31"/>
      <c r="AR59" s="32"/>
      <c r="AS59" s="4"/>
      <c r="AT59" s="31"/>
      <c r="AU59" s="32"/>
      <c r="AV59" s="4"/>
      <c r="AW59" s="31"/>
      <c r="AX59" s="32"/>
      <c r="AY59" s="38"/>
      <c r="AZ59" s="38"/>
      <c r="BA59" s="38"/>
      <c r="BB59" s="38"/>
      <c r="BC59" s="38"/>
      <c r="BE59" s="75">
        <v>45834.625</v>
      </c>
      <c r="BF59" s="54">
        <v>80.38</v>
      </c>
      <c r="BI59" s="75">
        <v>45834.625</v>
      </c>
      <c r="BJ59" s="54">
        <v>109.19</v>
      </c>
      <c r="BR59" s="131"/>
      <c r="BS59" s="45"/>
      <c r="BT59" s="31"/>
      <c r="BU59" s="31"/>
      <c r="BV59" s="4"/>
      <c r="BW59" s="31"/>
      <c r="BX59" s="32"/>
      <c r="BY59" s="4"/>
      <c r="CA59" s="129">
        <v>45839.625</v>
      </c>
      <c r="CB59" s="54">
        <v>107.5767</v>
      </c>
      <c r="CC59" s="129">
        <v>45839.625</v>
      </c>
      <c r="CD59" s="54">
        <v>50.72</v>
      </c>
      <c r="CO59" s="129">
        <v>45838.625</v>
      </c>
      <c r="CP59" s="54">
        <v>282.50799999999998</v>
      </c>
      <c r="CQ59" s="129">
        <v>45838.625</v>
      </c>
      <c r="CR59" s="54">
        <v>54.523000000000003</v>
      </c>
    </row>
    <row r="60" spans="1:134" x14ac:dyDescent="0.3">
      <c r="A60" s="142">
        <v>45910.625</v>
      </c>
      <c r="B60" s="76">
        <f t="shared" si="26"/>
        <v>94.53</v>
      </c>
      <c r="C60" s="31">
        <f t="shared" si="9"/>
        <v>167731.62939296983</v>
      </c>
      <c r="D60" s="32">
        <f t="shared" si="10"/>
        <v>-188000</v>
      </c>
      <c r="E60" s="76">
        <f t="shared" si="27"/>
        <v>101.126</v>
      </c>
      <c r="F60" s="31">
        <f t="shared" si="11"/>
        <v>-22999.999999998978</v>
      </c>
      <c r="G60" s="32">
        <f t="shared" si="12"/>
        <v>-66933.130666666664</v>
      </c>
      <c r="H60" s="76">
        <f t="shared" si="28"/>
        <v>120.75</v>
      </c>
      <c r="I60" s="31">
        <f t="shared" si="13"/>
        <v>-405660.37735849048</v>
      </c>
      <c r="J60" s="32">
        <f t="shared" si="14"/>
        <v>-323360</v>
      </c>
      <c r="K60" s="76">
        <f t="shared" si="29"/>
        <v>99.86</v>
      </c>
      <c r="L60" s="31">
        <f t="shared" si="15"/>
        <v>40999.999999997672</v>
      </c>
      <c r="M60" s="32">
        <f t="shared" si="16"/>
        <v>-147224.47644444447</v>
      </c>
      <c r="N60" s="82">
        <f t="shared" si="17"/>
        <v>692460.66097367916</v>
      </c>
      <c r="O60" s="82"/>
      <c r="P60" s="82"/>
      <c r="Q60" s="82">
        <f>$G$5*SUM($O$14:O60)-$H$5*SUM($P$14:P60)</f>
        <v>-685953.76080000005</v>
      </c>
      <c r="R60" s="82">
        <f t="shared" si="18"/>
        <v>6506.9001736791106</v>
      </c>
      <c r="S60" s="143"/>
      <c r="U60" s="75">
        <v>45839.625</v>
      </c>
      <c r="V60" s="54">
        <v>93.68</v>
      </c>
      <c r="W60" s="75">
        <v>45835.625</v>
      </c>
      <c r="X60" s="54">
        <v>101.3</v>
      </c>
      <c r="Y60" s="125">
        <v>45842.625</v>
      </c>
      <c r="Z60" s="54">
        <v>122.27</v>
      </c>
      <c r="AA60" s="75">
        <v>45925.625</v>
      </c>
      <c r="AB60" s="54">
        <v>99.263000000000005</v>
      </c>
      <c r="AF60" s="131"/>
      <c r="AG60" s="45"/>
      <c r="AH60" s="31"/>
      <c r="AI60" s="31"/>
      <c r="AJ60" s="4"/>
      <c r="AK60" s="31"/>
      <c r="AL60" s="32"/>
      <c r="AM60" s="4"/>
      <c r="AN60" s="31"/>
      <c r="AO60" s="32"/>
      <c r="AP60" s="4"/>
      <c r="AQ60" s="31"/>
      <c r="AR60" s="32"/>
      <c r="AS60" s="4"/>
      <c r="AT60" s="31"/>
      <c r="AU60" s="32"/>
      <c r="AV60" s="4"/>
      <c r="AW60" s="31"/>
      <c r="AX60" s="32"/>
      <c r="AY60" s="38"/>
      <c r="AZ60" s="38"/>
      <c r="BA60" s="38"/>
      <c r="BB60" s="38"/>
      <c r="BC60" s="38"/>
      <c r="BE60" s="75">
        <v>45835.625</v>
      </c>
      <c r="BF60" s="54">
        <v>80.34</v>
      </c>
      <c r="BI60" s="75">
        <v>45835.625</v>
      </c>
      <c r="BJ60" s="54">
        <v>109.01</v>
      </c>
      <c r="BR60" s="131"/>
      <c r="BS60" s="45"/>
      <c r="BT60" s="31"/>
      <c r="BU60" s="31"/>
      <c r="BV60" s="4"/>
      <c r="BW60" s="31"/>
      <c r="BX60" s="32"/>
      <c r="BY60" s="4"/>
      <c r="CA60" s="129">
        <v>45840.625</v>
      </c>
      <c r="CB60" s="54">
        <v>107.69840000000001</v>
      </c>
      <c r="CC60" s="129">
        <v>45840.625</v>
      </c>
      <c r="CD60" s="54">
        <v>50.170999999999999</v>
      </c>
      <c r="CO60" s="129">
        <v>45839.625</v>
      </c>
      <c r="CP60" s="54">
        <v>283.149</v>
      </c>
      <c r="CQ60" s="129">
        <v>45839.625</v>
      </c>
      <c r="CR60" s="54">
        <v>54.335999999999999</v>
      </c>
    </row>
    <row r="61" spans="1:134" x14ac:dyDescent="0.3">
      <c r="A61" s="142">
        <v>45911.625</v>
      </c>
      <c r="B61" s="76">
        <f t="shared" si="26"/>
        <v>92.29</v>
      </c>
      <c r="C61" s="31">
        <f t="shared" si="9"/>
        <v>-428647.49733759201</v>
      </c>
      <c r="D61" s="32">
        <f t="shared" si="10"/>
        <v>-190937.49999999997</v>
      </c>
      <c r="E61" s="76">
        <f t="shared" si="27"/>
        <v>101.012</v>
      </c>
      <c r="F61" s="31">
        <f t="shared" si="11"/>
        <v>-45799.99999999984</v>
      </c>
      <c r="G61" s="32">
        <f t="shared" si="12"/>
        <v>-67978.960833333345</v>
      </c>
      <c r="H61" s="76">
        <f t="shared" si="28"/>
        <v>120.76</v>
      </c>
      <c r="I61" s="31">
        <f t="shared" si="13"/>
        <v>-402132.89581624354</v>
      </c>
      <c r="J61" s="32">
        <f t="shared" si="14"/>
        <v>-328412.5</v>
      </c>
      <c r="K61" s="76">
        <f t="shared" si="29"/>
        <v>99.715000000000003</v>
      </c>
      <c r="L61" s="31">
        <f t="shared" si="15"/>
        <v>-18450.000000000698</v>
      </c>
      <c r="M61" s="32">
        <f t="shared" si="16"/>
        <v>-149524.85888888888</v>
      </c>
      <c r="N61" s="82">
        <f t="shared" si="17"/>
        <v>56764.500423095218</v>
      </c>
      <c r="O61" s="82">
        <v>2.4173</v>
      </c>
      <c r="P61" s="82"/>
      <c r="Q61" s="82">
        <f>$G$5*SUM($O$14:O61)-$H$5*SUM($P$14:P61)</f>
        <v>-42369.391500000027</v>
      </c>
      <c r="R61" s="82">
        <f t="shared" si="18"/>
        <v>14395.108923095191</v>
      </c>
      <c r="S61" s="143"/>
      <c r="U61" s="75">
        <v>45840.625</v>
      </c>
      <c r="V61" s="54">
        <v>93.74</v>
      </c>
      <c r="W61" s="75">
        <v>45838.625</v>
      </c>
      <c r="X61" s="54">
        <v>101.331</v>
      </c>
      <c r="Y61" s="125">
        <v>45845.625</v>
      </c>
      <c r="Z61" s="54">
        <v>122.05</v>
      </c>
      <c r="AA61" s="75">
        <v>45926.625</v>
      </c>
      <c r="AB61" s="54">
        <v>99.38</v>
      </c>
      <c r="AF61" s="131"/>
      <c r="AG61" s="45"/>
      <c r="AH61" s="31"/>
      <c r="AI61" s="31"/>
      <c r="AJ61" s="4"/>
      <c r="AK61" s="31"/>
      <c r="AL61" s="32"/>
      <c r="AM61" s="4"/>
      <c r="AN61" s="31"/>
      <c r="AO61" s="32"/>
      <c r="AP61" s="4"/>
      <c r="AQ61" s="31"/>
      <c r="AR61" s="32"/>
      <c r="AS61" s="4"/>
      <c r="AT61" s="31"/>
      <c r="AU61" s="32"/>
      <c r="AV61" s="4"/>
      <c r="AW61" s="31"/>
      <c r="AX61" s="32"/>
      <c r="AY61" s="38"/>
      <c r="AZ61" s="38"/>
      <c r="BA61" s="38"/>
      <c r="BB61" s="38"/>
      <c r="BC61" s="38"/>
      <c r="BE61" s="75">
        <v>45838.625</v>
      </c>
      <c r="BF61" s="54">
        <v>80.650000000000006</v>
      </c>
      <c r="BI61" s="75">
        <v>45838.625</v>
      </c>
      <c r="BJ61" s="54">
        <v>109.61</v>
      </c>
      <c r="BR61" s="131"/>
      <c r="BS61" s="45"/>
      <c r="BT61" s="31"/>
      <c r="BU61" s="31"/>
      <c r="BV61" s="4"/>
      <c r="BW61" s="31"/>
      <c r="BX61" s="32"/>
      <c r="BY61" s="4"/>
      <c r="CA61" s="129">
        <v>45845.625</v>
      </c>
      <c r="CB61" s="54">
        <v>107.60639999999999</v>
      </c>
      <c r="CC61" s="129">
        <v>45845.625</v>
      </c>
      <c r="CD61" s="54">
        <v>50.64</v>
      </c>
      <c r="CO61" s="129">
        <v>45840.625</v>
      </c>
      <c r="CP61" s="54">
        <v>283.74200000000002</v>
      </c>
      <c r="CQ61" s="129">
        <v>45840.625</v>
      </c>
      <c r="CR61" s="54">
        <v>54.325000000000003</v>
      </c>
    </row>
    <row r="62" spans="1:134" ht="15" thickBot="1" x14ac:dyDescent="0.35">
      <c r="A62" s="142">
        <v>45912.625</v>
      </c>
      <c r="B62" s="76">
        <f t="shared" si="26"/>
        <v>92.46</v>
      </c>
      <c r="C62" s="31">
        <f t="shared" si="9"/>
        <v>-383386.58146965242</v>
      </c>
      <c r="D62" s="32">
        <f t="shared" si="10"/>
        <v>-193874.99999999997</v>
      </c>
      <c r="E62" s="76">
        <f t="shared" si="27"/>
        <v>100.934</v>
      </c>
      <c r="F62" s="31">
        <f t="shared" si="11"/>
        <v>-61400.000000000429</v>
      </c>
      <c r="G62" s="32">
        <f t="shared" si="12"/>
        <v>-69024.790999999983</v>
      </c>
      <c r="H62" s="76">
        <f t="shared" si="28"/>
        <v>120.63</v>
      </c>
      <c r="I62" s="31">
        <f t="shared" si="13"/>
        <v>-447990.15586546774</v>
      </c>
      <c r="J62" s="32">
        <f t="shared" si="14"/>
        <v>-333464.99999999994</v>
      </c>
      <c r="K62" s="76">
        <f t="shared" si="29"/>
        <v>99.519000000000005</v>
      </c>
      <c r="L62" s="31">
        <f t="shared" si="15"/>
        <v>-98809.999999999869</v>
      </c>
      <c r="M62" s="32">
        <f t="shared" si="16"/>
        <v>-151825.24133333334</v>
      </c>
      <c r="N62" s="82">
        <f t="shared" si="17"/>
        <v>83983.124062482471</v>
      </c>
      <c r="O62" s="82"/>
      <c r="P62" s="82"/>
      <c r="Q62" s="82">
        <f>$G$5*SUM($O$14:O62)-$H$5*SUM($P$14:P62)</f>
        <v>-42369.391500000027</v>
      </c>
      <c r="R62" s="82">
        <f t="shared" si="18"/>
        <v>41613.732562482444</v>
      </c>
      <c r="S62" s="143"/>
      <c r="U62" s="75">
        <v>45841.625</v>
      </c>
      <c r="V62" s="54">
        <v>93.9</v>
      </c>
      <c r="W62" s="75">
        <v>45839.625</v>
      </c>
      <c r="X62" s="54">
        <v>101.357</v>
      </c>
      <c r="Y62" s="125">
        <v>45846.625</v>
      </c>
      <c r="Z62" s="54">
        <v>121.9</v>
      </c>
      <c r="AA62" s="75">
        <v>45929.625</v>
      </c>
      <c r="AB62" s="54">
        <v>99.456000000000003</v>
      </c>
      <c r="AF62" s="132"/>
      <c r="AG62" s="48"/>
      <c r="AH62" s="49"/>
      <c r="AI62" s="49"/>
      <c r="AJ62" s="11"/>
      <c r="AK62" s="49"/>
      <c r="AL62" s="50"/>
      <c r="AM62" s="11"/>
      <c r="AN62" s="49"/>
      <c r="AO62" s="50"/>
      <c r="AP62" s="11"/>
      <c r="AQ62" s="49"/>
      <c r="AR62" s="50"/>
      <c r="AS62" s="11"/>
      <c r="AT62" s="49"/>
      <c r="AU62" s="50"/>
      <c r="AV62" s="11"/>
      <c r="AW62" s="49"/>
      <c r="AX62" s="50"/>
      <c r="AY62" s="51"/>
      <c r="AZ62" s="51"/>
      <c r="BA62" s="51"/>
      <c r="BB62" s="51"/>
      <c r="BC62" s="51"/>
      <c r="BE62" s="75">
        <v>45839.625</v>
      </c>
      <c r="BF62" s="54">
        <v>80.17</v>
      </c>
      <c r="BI62" s="75">
        <v>45839.625</v>
      </c>
      <c r="BJ62" s="54">
        <v>109.34</v>
      </c>
      <c r="BR62" s="132"/>
      <c r="BS62" s="48"/>
      <c r="BT62" s="49"/>
      <c r="BU62" s="49"/>
      <c r="BV62" s="11"/>
      <c r="BW62" s="49"/>
      <c r="BX62" s="50"/>
      <c r="BY62" s="11"/>
      <c r="CA62" s="129">
        <v>45846.625</v>
      </c>
      <c r="CB62" s="54">
        <v>107.4332</v>
      </c>
      <c r="CC62" s="129">
        <v>45846.625</v>
      </c>
      <c r="CD62" s="54">
        <v>51.264000000000003</v>
      </c>
      <c r="CO62" s="129">
        <v>45841.625</v>
      </c>
      <c r="CP62" s="54">
        <v>278.61099999999999</v>
      </c>
      <c r="CQ62" s="129">
        <v>45841.625</v>
      </c>
      <c r="CR62" s="54">
        <v>53.073</v>
      </c>
    </row>
    <row r="63" spans="1:134" x14ac:dyDescent="0.3">
      <c r="A63" s="142">
        <v>45915.625</v>
      </c>
      <c r="B63" s="76">
        <f t="shared" si="26"/>
        <v>92.46</v>
      </c>
      <c r="C63" s="31">
        <f t="shared" si="9"/>
        <v>-383386.58146965242</v>
      </c>
      <c r="D63" s="32">
        <f t="shared" si="10"/>
        <v>-202687.5</v>
      </c>
      <c r="E63" s="76">
        <f t="shared" si="27"/>
        <v>100.944</v>
      </c>
      <c r="F63" s="31">
        <f t="shared" si="11"/>
        <v>-59399.999999999411</v>
      </c>
      <c r="G63" s="32">
        <f t="shared" si="12"/>
        <v>-72162.281499999997</v>
      </c>
      <c r="H63" s="76">
        <f t="shared" si="28"/>
        <v>120.7</v>
      </c>
      <c r="I63" s="31">
        <f t="shared" si="13"/>
        <v>-423297.78506972984</v>
      </c>
      <c r="J63" s="32">
        <f t="shared" si="14"/>
        <v>-348622.5</v>
      </c>
      <c r="K63" s="76">
        <f t="shared" si="29"/>
        <v>99.558000000000007</v>
      </c>
      <c r="L63" s="31">
        <f t="shared" si="15"/>
        <v>-82819.999999999258</v>
      </c>
      <c r="M63" s="32">
        <f t="shared" si="16"/>
        <v>-158726.38866666669</v>
      </c>
      <c r="N63" s="82">
        <f t="shared" si="17"/>
        <v>75862.096433410828</v>
      </c>
      <c r="O63" s="82"/>
      <c r="P63" s="82"/>
      <c r="Q63" s="82">
        <f>$G$5*SUM($O$14:O63)-$H$5*SUM($P$14:P63)</f>
        <v>-42369.391500000027</v>
      </c>
      <c r="R63" s="82">
        <f t="shared" si="18"/>
        <v>33492.704933410801</v>
      </c>
      <c r="S63" s="143"/>
      <c r="U63" s="75">
        <v>45842.625</v>
      </c>
      <c r="V63" s="54">
        <v>93.86</v>
      </c>
      <c r="W63" s="75">
        <v>45840.625</v>
      </c>
      <c r="X63" s="54">
        <v>101.286</v>
      </c>
      <c r="Y63" s="125">
        <v>45847.625</v>
      </c>
      <c r="Z63" s="54">
        <v>122</v>
      </c>
      <c r="AA63" s="75">
        <v>45930.625</v>
      </c>
      <c r="AB63" s="54">
        <v>99.484999999999999</v>
      </c>
      <c r="AG63" s="58"/>
      <c r="AH63" s="58"/>
      <c r="AI63" s="58"/>
      <c r="AJ63" s="58"/>
      <c r="AK63" s="58"/>
      <c r="AM63" s="57"/>
      <c r="AN63" s="57"/>
      <c r="AP63" s="58"/>
      <c r="AQ63" s="58"/>
      <c r="AS63" s="57"/>
      <c r="AT63" s="57"/>
      <c r="AW63" s="57"/>
      <c r="AX63" s="57"/>
      <c r="AY63" s="57"/>
      <c r="AZ63" s="57"/>
      <c r="BA63" s="57"/>
      <c r="BB63" s="57"/>
      <c r="BC63" s="57"/>
      <c r="BE63" s="75">
        <v>45840.625</v>
      </c>
      <c r="BF63" s="54">
        <v>80.319999999999993</v>
      </c>
      <c r="BI63" s="75">
        <v>45840.625</v>
      </c>
      <c r="BJ63" s="54">
        <v>109.32</v>
      </c>
      <c r="BS63" s="58"/>
      <c r="BT63" s="58"/>
      <c r="BU63" s="58"/>
      <c r="BV63" s="58"/>
      <c r="BW63" s="58"/>
      <c r="BY63" s="57"/>
      <c r="CA63" s="129">
        <v>45847.625</v>
      </c>
      <c r="CB63" s="54">
        <v>107.717</v>
      </c>
      <c r="CC63" s="129">
        <v>45847.625</v>
      </c>
      <c r="CD63" s="54">
        <v>50.171999999999997</v>
      </c>
      <c r="CO63" s="129">
        <v>45842.625</v>
      </c>
      <c r="CP63" s="54">
        <v>284.7</v>
      </c>
      <c r="CQ63" s="129">
        <v>45842.625</v>
      </c>
      <c r="CR63" s="54">
        <v>54.459000000000003</v>
      </c>
    </row>
    <row r="64" spans="1:134" x14ac:dyDescent="0.3">
      <c r="A64" s="142">
        <v>45916.625</v>
      </c>
      <c r="B64" s="76">
        <f t="shared" si="26"/>
        <v>92.35</v>
      </c>
      <c r="C64" s="31">
        <f t="shared" si="9"/>
        <v>-412673.05644302757</v>
      </c>
      <c r="D64" s="32">
        <f t="shared" si="10"/>
        <v>-205625</v>
      </c>
      <c r="E64" s="76">
        <f t="shared" si="27"/>
        <v>100.953</v>
      </c>
      <c r="F64" s="31">
        <f t="shared" si="11"/>
        <v>-57599.999999999345</v>
      </c>
      <c r="G64" s="32">
        <f t="shared" si="12"/>
        <v>-73208.111666666664</v>
      </c>
      <c r="H64" s="76">
        <f t="shared" si="28"/>
        <v>120.66</v>
      </c>
      <c r="I64" s="31">
        <f t="shared" si="13"/>
        <v>-437407.71123872226</v>
      </c>
      <c r="J64" s="32">
        <f t="shared" si="14"/>
        <v>-353675</v>
      </c>
      <c r="K64" s="76">
        <f t="shared" si="29"/>
        <v>99.569000000000003</v>
      </c>
      <c r="L64" s="31">
        <f t="shared" si="15"/>
        <v>-78310.000000001019</v>
      </c>
      <c r="M64" s="32">
        <f t="shared" si="16"/>
        <v>-161026.77111111107</v>
      </c>
      <c r="N64" s="82">
        <f t="shared" si="17"/>
        <v>64255.995351248595</v>
      </c>
      <c r="O64" s="82"/>
      <c r="P64" s="82"/>
      <c r="Q64" s="82">
        <f>$G$5*SUM($O$14:O64)-$H$5*SUM($P$14:P64)</f>
        <v>-42369.391500000027</v>
      </c>
      <c r="R64" s="82">
        <f t="shared" si="18"/>
        <v>21886.603851248568</v>
      </c>
      <c r="S64" s="143"/>
      <c r="U64" s="75">
        <v>45845.625</v>
      </c>
      <c r="V64" s="54">
        <v>93.91</v>
      </c>
      <c r="W64" s="75">
        <v>45841.625</v>
      </c>
      <c r="X64" s="54">
        <v>101.379</v>
      </c>
      <c r="Y64" s="125">
        <v>45848.625</v>
      </c>
      <c r="Z64" s="54">
        <v>121.86</v>
      </c>
      <c r="AA64" s="75">
        <v>45931.625</v>
      </c>
      <c r="AB64" s="54">
        <v>99.536000000000001</v>
      </c>
      <c r="AG64" s="75"/>
      <c r="AH64" s="58"/>
      <c r="AI64" s="75"/>
      <c r="AJ64" s="58"/>
      <c r="AK64" s="75"/>
      <c r="AM64" s="75"/>
      <c r="AO64" s="75"/>
      <c r="AP64" s="58"/>
      <c r="AQ64" s="75"/>
      <c r="AW64" s="57"/>
      <c r="AX64" s="57"/>
      <c r="AY64" s="57"/>
      <c r="AZ64" s="57"/>
      <c r="BA64" s="57"/>
      <c r="BB64" s="57"/>
      <c r="BC64" s="57"/>
      <c r="BE64" s="75">
        <v>45841.625</v>
      </c>
      <c r="BF64" s="54">
        <v>80.37</v>
      </c>
      <c r="BI64" s="75">
        <v>45841.625</v>
      </c>
      <c r="BJ64" s="54">
        <v>109.06</v>
      </c>
      <c r="BS64" s="75"/>
      <c r="BT64" s="58"/>
      <c r="BU64" s="75"/>
      <c r="BV64" s="58"/>
      <c r="BW64" s="75"/>
      <c r="BY64" s="75"/>
      <c r="CA64" s="129">
        <v>45848.625</v>
      </c>
      <c r="CB64" s="54">
        <v>107.7636</v>
      </c>
      <c r="CC64" s="129">
        <v>45848.625</v>
      </c>
      <c r="CD64" s="54">
        <v>49.853999999999999</v>
      </c>
      <c r="CO64" s="129">
        <v>45845.625</v>
      </c>
      <c r="CP64" s="54">
        <v>281.32</v>
      </c>
      <c r="CQ64" s="129">
        <v>45845.625</v>
      </c>
      <c r="CR64" s="54">
        <v>53.741999999999997</v>
      </c>
    </row>
    <row r="65" spans="1:96" x14ac:dyDescent="0.3">
      <c r="A65" s="142">
        <v>45917.625</v>
      </c>
      <c r="B65" s="76">
        <f t="shared" si="26"/>
        <v>92.39</v>
      </c>
      <c r="C65" s="31">
        <f t="shared" si="9"/>
        <v>-402023.42917997902</v>
      </c>
      <c r="D65" s="32">
        <f t="shared" si="10"/>
        <v>-208562.49999999997</v>
      </c>
      <c r="E65" s="76">
        <f t="shared" si="27"/>
        <v>100.971</v>
      </c>
      <c r="F65" s="31">
        <f t="shared" si="11"/>
        <v>-53999.999999999207</v>
      </c>
      <c r="G65" s="32">
        <f t="shared" si="12"/>
        <v>-74253.941833333301</v>
      </c>
      <c r="H65" s="76">
        <f t="shared" si="28"/>
        <v>120.67</v>
      </c>
      <c r="I65" s="31">
        <f t="shared" si="13"/>
        <v>-433880.22969647532</v>
      </c>
      <c r="J65" s="32">
        <f t="shared" si="14"/>
        <v>-358727.49999999994</v>
      </c>
      <c r="K65" s="76">
        <f t="shared" si="29"/>
        <v>99.600999999999999</v>
      </c>
      <c r="L65" s="31">
        <f t="shared" si="15"/>
        <v>-65190.000000002474</v>
      </c>
      <c r="M65" s="32">
        <f t="shared" si="16"/>
        <v>-163327.15355555556</v>
      </c>
      <c r="N65" s="82">
        <f t="shared" si="17"/>
        <v>81758.588794270676</v>
      </c>
      <c r="O65" s="82"/>
      <c r="P65" s="82"/>
      <c r="Q65" s="82">
        <f>$G$5*SUM($O$14:O65)-$H$5*SUM($P$14:P65)</f>
        <v>-42369.391500000027</v>
      </c>
      <c r="R65" s="82">
        <f t="shared" si="18"/>
        <v>39389.197294270649</v>
      </c>
      <c r="S65" s="143"/>
      <c r="U65" s="75">
        <v>45846.625</v>
      </c>
      <c r="V65" s="54">
        <v>93.9</v>
      </c>
      <c r="W65" s="75">
        <v>45842.625</v>
      </c>
      <c r="X65" s="54">
        <v>101.465</v>
      </c>
      <c r="Y65" s="125">
        <v>45849.625</v>
      </c>
      <c r="Z65" s="54">
        <v>121.72</v>
      </c>
      <c r="AA65" s="75">
        <v>45932.625</v>
      </c>
      <c r="AB65" s="54">
        <v>99.51</v>
      </c>
      <c r="AG65" s="75"/>
      <c r="AH65" s="58"/>
      <c r="AI65" s="75"/>
      <c r="AJ65" s="58"/>
      <c r="AK65" s="75"/>
      <c r="AM65" s="75"/>
      <c r="AO65" s="75"/>
      <c r="AP65" s="58"/>
      <c r="AQ65" s="75"/>
      <c r="AW65" s="57"/>
      <c r="AX65" s="57"/>
      <c r="AY65" s="57"/>
      <c r="AZ65" s="57"/>
      <c r="BA65" s="57"/>
      <c r="BB65" s="57"/>
      <c r="BC65" s="57"/>
      <c r="BE65" s="75">
        <v>45845.625</v>
      </c>
      <c r="BF65" s="54">
        <v>80.099999999999994</v>
      </c>
      <c r="BI65" s="75">
        <v>45845.625</v>
      </c>
      <c r="BJ65" s="54">
        <v>108.41</v>
      </c>
      <c r="BS65" s="75"/>
      <c r="BT65" s="58"/>
      <c r="BU65" s="75"/>
      <c r="BV65" s="58"/>
      <c r="BW65" s="75"/>
      <c r="BY65" s="75"/>
      <c r="CA65" s="129">
        <v>45849.625</v>
      </c>
      <c r="CB65" s="54">
        <v>107.52670000000001</v>
      </c>
      <c r="CC65" s="129">
        <v>45849.625</v>
      </c>
      <c r="CD65" s="54">
        <v>50.515999999999998</v>
      </c>
      <c r="CO65" s="129">
        <v>45846.625</v>
      </c>
      <c r="CP65" s="54">
        <v>282.44299999999998</v>
      </c>
      <c r="CQ65" s="129">
        <v>45846.625</v>
      </c>
      <c r="CR65" s="54">
        <v>54.017000000000003</v>
      </c>
    </row>
    <row r="66" spans="1:96" x14ac:dyDescent="0.3">
      <c r="A66" s="142">
        <v>45918.625</v>
      </c>
      <c r="B66" s="76">
        <f t="shared" si="26"/>
        <v>92.67</v>
      </c>
      <c r="C66" s="31">
        <f t="shared" si="9"/>
        <v>-327476.03833865881</v>
      </c>
      <c r="D66" s="32">
        <f t="shared" si="10"/>
        <v>-211500</v>
      </c>
      <c r="E66" s="76">
        <f t="shared" si="27"/>
        <v>100.956</v>
      </c>
      <c r="F66" s="31">
        <f t="shared" si="11"/>
        <v>-56999.999999999316</v>
      </c>
      <c r="G66" s="32">
        <f t="shared" si="12"/>
        <v>-75299.771999999983</v>
      </c>
      <c r="H66" s="76">
        <f t="shared" si="28"/>
        <v>120.7</v>
      </c>
      <c r="I66" s="31">
        <f t="shared" si="13"/>
        <v>-423297.78506972984</v>
      </c>
      <c r="J66" s="32">
        <f t="shared" si="14"/>
        <v>-363780</v>
      </c>
      <c r="K66" s="76">
        <f t="shared" si="29"/>
        <v>99.516000000000005</v>
      </c>
      <c r="L66" s="31">
        <f t="shared" si="15"/>
        <v>-100039.99999999991</v>
      </c>
      <c r="M66" s="32">
        <f t="shared" si="16"/>
        <v>-165627.53600000002</v>
      </c>
      <c r="N66" s="82">
        <f t="shared" si="17"/>
        <v>114733.98273107031</v>
      </c>
      <c r="O66" s="82"/>
      <c r="P66" s="82"/>
      <c r="Q66" s="82">
        <f>$G$5*SUM($O$14:O66)-$H$5*SUM($P$14:P66)</f>
        <v>-42369.391500000027</v>
      </c>
      <c r="R66" s="82">
        <f t="shared" si="18"/>
        <v>72364.591231070284</v>
      </c>
      <c r="S66" s="143"/>
      <c r="U66" s="75">
        <v>45847.625</v>
      </c>
      <c r="V66" s="54">
        <v>94.17</v>
      </c>
      <c r="W66" s="75">
        <v>45845.625</v>
      </c>
      <c r="X66" s="54">
        <v>101.348</v>
      </c>
      <c r="Y66" s="125">
        <v>45852.625</v>
      </c>
      <c r="Z66" s="54">
        <v>121.74</v>
      </c>
      <c r="AA66" s="75">
        <v>45933.625</v>
      </c>
      <c r="AB66" s="54">
        <v>99.492999999999995</v>
      </c>
      <c r="AG66" s="75"/>
      <c r="AH66" s="58"/>
      <c r="AI66" s="75"/>
      <c r="AJ66" s="58"/>
      <c r="AK66" s="75"/>
      <c r="AM66" s="75"/>
      <c r="AO66" s="75"/>
      <c r="AP66" s="58"/>
      <c r="AQ66" s="75"/>
      <c r="AW66" s="57"/>
      <c r="AX66" s="57"/>
      <c r="AY66" s="57"/>
      <c r="AZ66" s="57"/>
      <c r="BA66" s="57"/>
      <c r="BB66" s="57"/>
      <c r="BC66" s="57"/>
      <c r="BE66" s="75">
        <v>45846.625</v>
      </c>
      <c r="BF66" s="54">
        <v>79.989999999999995</v>
      </c>
      <c r="BI66" s="75">
        <v>45846.625</v>
      </c>
      <c r="BJ66" s="54">
        <v>108.1</v>
      </c>
      <c r="BS66" s="75"/>
      <c r="BT66" s="58"/>
      <c r="BU66" s="75"/>
      <c r="BV66" s="58"/>
      <c r="BW66" s="75"/>
      <c r="BY66" s="75"/>
      <c r="CA66" s="129">
        <v>45852.625</v>
      </c>
      <c r="CB66" s="54">
        <v>107.4284</v>
      </c>
      <c r="CC66" s="129">
        <v>45852.625</v>
      </c>
      <c r="CD66" s="54">
        <v>50.954000000000001</v>
      </c>
      <c r="CO66" s="129">
        <v>45847.625</v>
      </c>
      <c r="CP66" s="54">
        <v>278.82100000000003</v>
      </c>
      <c r="CQ66" s="129">
        <v>45847.625</v>
      </c>
      <c r="CR66" s="54">
        <v>53.445999999999998</v>
      </c>
    </row>
    <row r="67" spans="1:96" x14ac:dyDescent="0.3">
      <c r="A67" s="142">
        <v>45919.625</v>
      </c>
      <c r="B67" s="76">
        <f t="shared" si="26"/>
        <v>92.67</v>
      </c>
      <c r="C67" s="31">
        <f t="shared" si="9"/>
        <v>-327476.03833865881</v>
      </c>
      <c r="D67" s="32">
        <f t="shared" si="10"/>
        <v>-214437.5</v>
      </c>
      <c r="E67" s="76">
        <f t="shared" si="27"/>
        <v>100.904</v>
      </c>
      <c r="F67" s="31">
        <f t="shared" si="11"/>
        <v>-67400.000000000669</v>
      </c>
      <c r="G67" s="32">
        <f t="shared" si="12"/>
        <v>-76345.602166666693</v>
      </c>
      <c r="H67" s="76">
        <f t="shared" si="28"/>
        <v>120.71</v>
      </c>
      <c r="I67" s="31">
        <f t="shared" si="13"/>
        <v>-419770.30352748767</v>
      </c>
      <c r="J67" s="32">
        <f t="shared" si="14"/>
        <v>-368832.5</v>
      </c>
      <c r="K67" s="76">
        <f t="shared" si="29"/>
        <v>99.414000000000001</v>
      </c>
      <c r="L67" s="31">
        <f t="shared" si="15"/>
        <v>-141860.00000000148</v>
      </c>
      <c r="M67" s="32">
        <f t="shared" si="16"/>
        <v>-167927.91844444443</v>
      </c>
      <c r="N67" s="82">
        <f t="shared" si="17"/>
        <v>80646.948911050305</v>
      </c>
      <c r="O67" s="82"/>
      <c r="P67" s="82"/>
      <c r="Q67" s="82">
        <f>$G$5*SUM($O$14:O67)-$H$5*SUM($P$14:P67)</f>
        <v>-42369.391500000027</v>
      </c>
      <c r="R67" s="82">
        <f t="shared" si="18"/>
        <v>38277.557411050278</v>
      </c>
      <c r="S67" s="143"/>
      <c r="U67" s="75">
        <v>45848.625</v>
      </c>
      <c r="V67" s="54">
        <v>94.22</v>
      </c>
      <c r="W67" s="75">
        <v>45846.625</v>
      </c>
      <c r="X67" s="54">
        <v>101.241</v>
      </c>
      <c r="Y67" s="125">
        <v>45853.625</v>
      </c>
      <c r="Z67" s="54">
        <v>121.85</v>
      </c>
      <c r="AA67" s="75">
        <v>45936.625</v>
      </c>
      <c r="AB67" s="54">
        <v>99.536000000000001</v>
      </c>
      <c r="AG67" s="75"/>
      <c r="AH67" s="58"/>
      <c r="AI67" s="75"/>
      <c r="AJ67" s="58"/>
      <c r="AK67" s="75"/>
      <c r="AM67" s="75"/>
      <c r="AO67" s="75"/>
      <c r="AP67" s="58"/>
      <c r="AQ67" s="75"/>
      <c r="BE67" s="75">
        <v>45847.625</v>
      </c>
      <c r="BF67" s="54">
        <v>80.209999999999994</v>
      </c>
      <c r="BI67" s="75">
        <v>45847.625</v>
      </c>
      <c r="BJ67" s="54">
        <v>108.71</v>
      </c>
      <c r="BS67" s="75"/>
      <c r="BT67" s="58"/>
      <c r="BU67" s="75"/>
      <c r="BV67" s="58"/>
      <c r="BW67" s="75"/>
      <c r="BY67" s="75"/>
      <c r="CA67" s="129">
        <v>45853.625</v>
      </c>
      <c r="CB67" s="54">
        <v>107.2017</v>
      </c>
      <c r="CC67" s="129">
        <v>45853.625</v>
      </c>
      <c r="CD67" s="54">
        <v>51.889000000000003</v>
      </c>
      <c r="CO67" s="129">
        <v>45848.625</v>
      </c>
      <c r="CP67" s="54">
        <v>278.61399999999998</v>
      </c>
      <c r="CQ67" s="129">
        <v>45848.625</v>
      </c>
      <c r="CR67" s="54">
        <v>53.453000000000003</v>
      </c>
    </row>
    <row r="68" spans="1:96" x14ac:dyDescent="0.3">
      <c r="A68" s="142">
        <v>45922.625</v>
      </c>
      <c r="B68" s="76">
        <f t="shared" si="26"/>
        <v>92.52</v>
      </c>
      <c r="C68" s="31">
        <f t="shared" si="9"/>
        <v>-367412.14057508245</v>
      </c>
      <c r="D68" s="32">
        <f t="shared" si="10"/>
        <v>-223249.99999999997</v>
      </c>
      <c r="E68" s="76">
        <f t="shared" si="27"/>
        <v>100.913</v>
      </c>
      <c r="F68" s="31">
        <f t="shared" si="11"/>
        <v>-65600.000000000582</v>
      </c>
      <c r="G68" s="32">
        <f t="shared" si="12"/>
        <v>-79483.092666666649</v>
      </c>
      <c r="H68" s="76">
        <f t="shared" si="28"/>
        <v>120.61</v>
      </c>
      <c r="I68" s="31">
        <f t="shared" si="13"/>
        <v>-455045.11894996156</v>
      </c>
      <c r="J68" s="32">
        <f t="shared" si="14"/>
        <v>-383989.99999999994</v>
      </c>
      <c r="K68" s="76">
        <f t="shared" si="29"/>
        <v>99.441000000000003</v>
      </c>
      <c r="L68" s="31">
        <f t="shared" si="15"/>
        <v>-130790.00000000108</v>
      </c>
      <c r="M68" s="32">
        <f t="shared" si="16"/>
        <v>-174829.06577777772</v>
      </c>
      <c r="N68" s="82">
        <f t="shared" si="17"/>
        <v>87837.005263767525</v>
      </c>
      <c r="O68" s="82"/>
      <c r="P68" s="82"/>
      <c r="Q68" s="82">
        <f>$G$5*SUM($O$14:O68)-$H$5*SUM($P$14:P68)</f>
        <v>-42369.391500000027</v>
      </c>
      <c r="R68" s="82">
        <f t="shared" si="18"/>
        <v>45467.613763767498</v>
      </c>
      <c r="S68" s="143"/>
      <c r="U68" s="75">
        <v>45849.625</v>
      </c>
      <c r="V68" s="54">
        <v>94.12</v>
      </c>
      <c r="W68" s="75">
        <v>45847.625</v>
      </c>
      <c r="X68" s="54">
        <v>101.289</v>
      </c>
      <c r="Y68" s="125">
        <v>45854.625</v>
      </c>
      <c r="Z68" s="54">
        <v>121.87</v>
      </c>
      <c r="AA68" s="75">
        <v>45937.625</v>
      </c>
      <c r="AB68" s="54">
        <v>99.483000000000004</v>
      </c>
      <c r="AG68" s="75"/>
      <c r="AH68" s="58"/>
      <c r="AI68" s="75"/>
      <c r="AJ68" s="58"/>
      <c r="AK68" s="75"/>
      <c r="AM68" s="75"/>
      <c r="AO68" s="75"/>
      <c r="AP68" s="58"/>
      <c r="AQ68" s="75"/>
      <c r="BE68" s="75">
        <v>45848.625</v>
      </c>
      <c r="BF68" s="54">
        <v>80.13</v>
      </c>
      <c r="BI68" s="75">
        <v>45848.625</v>
      </c>
      <c r="BJ68" s="54">
        <v>108.74</v>
      </c>
      <c r="BS68" s="75"/>
      <c r="BT68" s="58"/>
      <c r="BU68" s="75"/>
      <c r="BV68" s="58"/>
      <c r="BW68" s="75"/>
      <c r="BY68" s="75"/>
      <c r="CA68" s="129">
        <v>45854.625</v>
      </c>
      <c r="CB68" s="54">
        <v>107.2169</v>
      </c>
      <c r="CC68" s="129">
        <v>45854.625</v>
      </c>
      <c r="CD68" s="54">
        <v>51.680999999999997</v>
      </c>
      <c r="CO68" s="129">
        <v>45849.625</v>
      </c>
      <c r="CP68" s="54">
        <v>281.92899999999997</v>
      </c>
      <c r="CQ68" s="129">
        <v>45849.625</v>
      </c>
      <c r="CR68" s="54">
        <v>54.234999999999999</v>
      </c>
    </row>
    <row r="69" spans="1:96" x14ac:dyDescent="0.3">
      <c r="A69" s="142">
        <v>45923.625</v>
      </c>
      <c r="B69" s="76">
        <f t="shared" si="26"/>
        <v>92.67</v>
      </c>
      <c r="C69" s="31">
        <f t="shared" si="9"/>
        <v>-327476.03833865881</v>
      </c>
      <c r="D69" s="32">
        <f t="shared" si="10"/>
        <v>-226187.49999999994</v>
      </c>
      <c r="E69" s="76">
        <f t="shared" si="27"/>
        <v>100.883</v>
      </c>
      <c r="F69" s="31">
        <f t="shared" si="11"/>
        <v>-71600.000000000815</v>
      </c>
      <c r="G69" s="32">
        <f t="shared" si="12"/>
        <v>-80528.922833333272</v>
      </c>
      <c r="H69" s="76">
        <f t="shared" si="28"/>
        <v>120.6</v>
      </c>
      <c r="I69" s="31">
        <f t="shared" si="13"/>
        <v>-458572.6004922085</v>
      </c>
      <c r="J69" s="32">
        <f t="shared" si="14"/>
        <v>-389042.49999999994</v>
      </c>
      <c r="K69" s="76">
        <f t="shared" si="29"/>
        <v>99.381</v>
      </c>
      <c r="L69" s="31">
        <f t="shared" si="15"/>
        <v>-155390.00000000201</v>
      </c>
      <c r="M69" s="32">
        <f t="shared" si="16"/>
        <v>-177129.44822222221</v>
      </c>
      <c r="N69" s="82">
        <f t="shared" si="17"/>
        <v>113561.03676465951</v>
      </c>
      <c r="O69" s="82"/>
      <c r="P69" s="82"/>
      <c r="Q69" s="82">
        <f>$G$5*SUM($O$14:O69)-$H$5*SUM($P$14:P69)</f>
        <v>-42369.391500000027</v>
      </c>
      <c r="R69" s="82">
        <f t="shared" si="18"/>
        <v>71191.645264659484</v>
      </c>
      <c r="S69" s="143"/>
      <c r="U69" s="75">
        <v>45852.625</v>
      </c>
      <c r="V69" s="54">
        <v>94.05</v>
      </c>
      <c r="W69" s="75">
        <v>45848.625</v>
      </c>
      <c r="X69" s="54">
        <v>101.181</v>
      </c>
      <c r="Y69" s="125">
        <v>45855.625</v>
      </c>
      <c r="Z69" s="54">
        <v>120.13</v>
      </c>
      <c r="AA69" s="75">
        <v>45938.625</v>
      </c>
      <c r="AB69" s="54">
        <v>99.673000000000002</v>
      </c>
      <c r="AG69" s="75"/>
      <c r="AH69" s="58"/>
      <c r="AI69" s="75"/>
      <c r="AJ69" s="58"/>
      <c r="AK69" s="75"/>
      <c r="AM69" s="75"/>
      <c r="AO69" s="75"/>
      <c r="AP69" s="58"/>
      <c r="AQ69" s="75"/>
      <c r="BE69" s="75">
        <v>45849.625</v>
      </c>
      <c r="BF69" s="54">
        <v>80.03</v>
      </c>
      <c r="BI69" s="75">
        <v>45849.625</v>
      </c>
      <c r="BJ69" s="54">
        <v>108.08</v>
      </c>
      <c r="BS69" s="75"/>
      <c r="BT69" s="58"/>
      <c r="BU69" s="75"/>
      <c r="BV69" s="58"/>
      <c r="BW69" s="75"/>
      <c r="BY69" s="75"/>
      <c r="CA69" s="129">
        <v>45855.625</v>
      </c>
      <c r="CB69" s="54">
        <v>107.4862</v>
      </c>
      <c r="CC69" s="129">
        <v>45855.625</v>
      </c>
      <c r="CD69" s="54">
        <v>50.808</v>
      </c>
      <c r="CO69" s="129">
        <v>45852.625</v>
      </c>
      <c r="CP69" s="54">
        <v>283.81700000000001</v>
      </c>
      <c r="CQ69" s="129">
        <v>45852.625</v>
      </c>
      <c r="CR69" s="54">
        <v>54.883000000000003</v>
      </c>
    </row>
    <row r="70" spans="1:96" x14ac:dyDescent="0.3">
      <c r="A70" s="142">
        <v>45924.625</v>
      </c>
      <c r="B70" s="76">
        <f t="shared" si="26"/>
        <v>92.59</v>
      </c>
      <c r="C70" s="31">
        <f t="shared" si="9"/>
        <v>-348775.29286475031</v>
      </c>
      <c r="D70" s="32">
        <f t="shared" si="10"/>
        <v>-229125</v>
      </c>
      <c r="E70" s="76">
        <f t="shared" si="27"/>
        <v>100.893</v>
      </c>
      <c r="F70" s="31">
        <f t="shared" si="11"/>
        <v>-69599.999999999796</v>
      </c>
      <c r="G70" s="32">
        <f t="shared" si="12"/>
        <v>-81574.752999999982</v>
      </c>
      <c r="H70" s="76">
        <f t="shared" si="28"/>
        <v>120.67</v>
      </c>
      <c r="I70" s="31">
        <f t="shared" si="13"/>
        <v>-433880.22969647532</v>
      </c>
      <c r="J70" s="32">
        <f t="shared" si="14"/>
        <v>-394095</v>
      </c>
      <c r="K70" s="76">
        <f t="shared" si="29"/>
        <v>99.414000000000001</v>
      </c>
      <c r="L70" s="31">
        <f t="shared" si="15"/>
        <v>-141860.00000000148</v>
      </c>
      <c r="M70" s="32">
        <f t="shared" si="16"/>
        <v>-179429.83066666668</v>
      </c>
      <c r="N70" s="82">
        <f t="shared" si="17"/>
        <v>79959.859165056521</v>
      </c>
      <c r="O70" s="82"/>
      <c r="P70" s="82"/>
      <c r="Q70" s="82">
        <f>$G$5*SUM($O$14:O70)-$H$5*SUM($P$14:P70)</f>
        <v>-42369.391500000027</v>
      </c>
      <c r="R70" s="82">
        <f t="shared" si="18"/>
        <v>37590.467665056494</v>
      </c>
      <c r="S70" s="143"/>
      <c r="U70" s="75">
        <v>45853.625</v>
      </c>
      <c r="V70" s="54">
        <v>94.05</v>
      </c>
      <c r="W70" s="75">
        <v>45849.625</v>
      </c>
      <c r="X70" s="54">
        <v>101.123</v>
      </c>
      <c r="Y70" s="125">
        <v>45856.625</v>
      </c>
      <c r="Z70" s="54">
        <v>120.01</v>
      </c>
      <c r="AA70" s="75">
        <v>45939.625</v>
      </c>
      <c r="AB70" s="54">
        <v>99.552999999999997</v>
      </c>
      <c r="AG70" s="75"/>
      <c r="AH70" s="58"/>
      <c r="AI70" s="75"/>
      <c r="AJ70" s="58"/>
      <c r="AK70" s="75"/>
      <c r="AM70" s="75"/>
      <c r="AO70" s="75"/>
      <c r="AP70" s="58"/>
      <c r="AQ70" s="75"/>
      <c r="BE70" s="75">
        <v>45852.625</v>
      </c>
      <c r="BF70" s="54">
        <v>80.09</v>
      </c>
      <c r="BI70" s="75">
        <v>45852.625</v>
      </c>
      <c r="BJ70" s="54">
        <v>108.05</v>
      </c>
      <c r="BS70" s="75"/>
      <c r="BT70" s="58"/>
      <c r="BU70" s="75"/>
      <c r="BV70" s="58"/>
      <c r="BW70" s="75"/>
      <c r="BY70" s="75"/>
      <c r="CA70" s="129">
        <v>45856.625</v>
      </c>
      <c r="CB70" s="54">
        <v>107.51779999999999</v>
      </c>
      <c r="CC70" s="129">
        <v>45856.625</v>
      </c>
      <c r="CD70" s="54">
        <v>50.996000000000002</v>
      </c>
      <c r="CO70" s="129">
        <v>45853.625</v>
      </c>
      <c r="CP70" s="54">
        <v>284.40899999999999</v>
      </c>
      <c r="CQ70" s="129">
        <v>45853.625</v>
      </c>
      <c r="CR70" s="54">
        <v>55.322000000000003</v>
      </c>
    </row>
    <row r="71" spans="1:96" x14ac:dyDescent="0.3">
      <c r="A71" s="142">
        <v>45925.625</v>
      </c>
      <c r="B71" s="76">
        <f t="shared" si="26"/>
        <v>92.45</v>
      </c>
      <c r="C71" s="31">
        <f t="shared" si="9"/>
        <v>-386048.98828541179</v>
      </c>
      <c r="D71" s="32">
        <f t="shared" si="10"/>
        <v>-232062.49999999997</v>
      </c>
      <c r="E71" s="76">
        <f t="shared" si="27"/>
        <v>100.822</v>
      </c>
      <c r="F71" s="31">
        <f t="shared" si="11"/>
        <v>-83799.999999999374</v>
      </c>
      <c r="G71" s="32">
        <f t="shared" si="12"/>
        <v>-82620.583166666649</v>
      </c>
      <c r="H71" s="76">
        <f t="shared" si="28"/>
        <v>120.43</v>
      </c>
      <c r="I71" s="31">
        <f t="shared" si="13"/>
        <v>-518539.78671042033</v>
      </c>
      <c r="J71" s="32">
        <f t="shared" si="14"/>
        <v>-399147.49999999994</v>
      </c>
      <c r="K71" s="76">
        <f t="shared" si="29"/>
        <v>99.263000000000005</v>
      </c>
      <c r="L71" s="31">
        <f t="shared" si="15"/>
        <v>-203769.99999999994</v>
      </c>
      <c r="M71" s="32">
        <f t="shared" si="16"/>
        <v>-181730.21311111108</v>
      </c>
      <c r="N71" s="82">
        <f t="shared" si="17"/>
        <v>80496.168480563618</v>
      </c>
      <c r="O71" s="82"/>
      <c r="P71" s="82"/>
      <c r="Q71" s="82">
        <f>$G$5*SUM($O$14:O71)-$H$5*SUM($P$14:P71)</f>
        <v>-42369.391500000027</v>
      </c>
      <c r="R71" s="82">
        <f t="shared" si="18"/>
        <v>38126.776980563591</v>
      </c>
      <c r="S71" s="143"/>
      <c r="U71" s="75">
        <v>45854.625</v>
      </c>
      <c r="V71" s="54">
        <v>93.96</v>
      </c>
      <c r="W71" s="75">
        <v>45852.625</v>
      </c>
      <c r="X71" s="54">
        <v>101.181</v>
      </c>
      <c r="Y71" s="125">
        <v>45859.625</v>
      </c>
      <c r="Z71" s="54">
        <v>120.31</v>
      </c>
      <c r="AA71" s="75">
        <v>45940.625</v>
      </c>
      <c r="AB71" s="54">
        <v>99.754000000000005</v>
      </c>
      <c r="AG71" s="75"/>
      <c r="AH71" s="58"/>
      <c r="AI71" s="75"/>
      <c r="AJ71" s="58"/>
      <c r="AK71" s="75"/>
      <c r="AM71" s="75"/>
      <c r="AO71" s="75"/>
      <c r="AP71" s="58"/>
      <c r="AQ71" s="75"/>
      <c r="BE71" s="75">
        <v>45853.625</v>
      </c>
      <c r="BF71" s="54">
        <v>79.849999999999994</v>
      </c>
      <c r="BI71" s="75">
        <v>45853.625</v>
      </c>
      <c r="BJ71" s="54">
        <v>107.66</v>
      </c>
      <c r="BS71" s="75"/>
      <c r="BT71" s="58"/>
      <c r="BU71" s="75"/>
      <c r="BV71" s="58"/>
      <c r="BW71" s="75"/>
      <c r="BY71" s="75"/>
      <c r="CA71" s="129">
        <v>45859.625</v>
      </c>
      <c r="CB71" s="54">
        <v>107.4918</v>
      </c>
      <c r="CC71" s="129">
        <v>45859.625</v>
      </c>
      <c r="CD71" s="54">
        <v>51.058999999999997</v>
      </c>
      <c r="CO71" s="129">
        <v>45854.625</v>
      </c>
      <c r="CP71" s="54">
        <v>285.31700000000001</v>
      </c>
      <c r="CQ71" s="129">
        <v>45854.625</v>
      </c>
      <c r="CR71" s="54">
        <v>55.634</v>
      </c>
    </row>
    <row r="72" spans="1:96" x14ac:dyDescent="0.3">
      <c r="A72" s="142">
        <v>45926.625</v>
      </c>
      <c r="B72" s="76">
        <f t="shared" si="26"/>
        <v>92.46</v>
      </c>
      <c r="C72" s="31">
        <f t="shared" si="9"/>
        <v>-383386.58146965242</v>
      </c>
      <c r="D72" s="32">
        <f t="shared" si="10"/>
        <v>-234999.99999999997</v>
      </c>
      <c r="E72" s="76">
        <f t="shared" si="27"/>
        <v>100.866</v>
      </c>
      <c r="F72" s="31">
        <f t="shared" si="11"/>
        <v>-75000</v>
      </c>
      <c r="G72" s="32">
        <f t="shared" si="12"/>
        <v>-83666.413333333301</v>
      </c>
      <c r="H72" s="76">
        <f t="shared" si="28"/>
        <v>120.43</v>
      </c>
      <c r="I72" s="31">
        <f t="shared" si="13"/>
        <v>-518539.78671042033</v>
      </c>
      <c r="J72" s="32">
        <f t="shared" si="14"/>
        <v>-404199.99999999994</v>
      </c>
      <c r="K72" s="76">
        <f t="shared" si="29"/>
        <v>99.38</v>
      </c>
      <c r="L72" s="31">
        <f t="shared" si="15"/>
        <v>-155800.00000000396</v>
      </c>
      <c r="M72" s="32">
        <f t="shared" si="16"/>
        <v>-184030.59555555551</v>
      </c>
      <c r="N72" s="82">
        <f t="shared" si="17"/>
        <v>123189.02301854177</v>
      </c>
      <c r="O72" s="82"/>
      <c r="P72" s="82"/>
      <c r="Q72" s="82">
        <f>$G$5*SUM($O$14:O72)-$H$5*SUM($P$14:P72)</f>
        <v>-42369.391500000027</v>
      </c>
      <c r="R72" s="82">
        <f t="shared" si="18"/>
        <v>80819.631518541748</v>
      </c>
      <c r="S72" s="143"/>
      <c r="U72" s="75">
        <v>45855.625</v>
      </c>
      <c r="V72" s="54">
        <v>94.08</v>
      </c>
      <c r="W72" s="75">
        <v>45853.625</v>
      </c>
      <c r="X72" s="54">
        <v>101.23699999999999</v>
      </c>
      <c r="Y72" s="125">
        <v>45860.625</v>
      </c>
      <c r="Z72" s="54">
        <v>120.48</v>
      </c>
      <c r="AA72" s="75">
        <v>45943.625</v>
      </c>
      <c r="AB72" s="54">
        <v>99.923000000000002</v>
      </c>
      <c r="AG72" s="75"/>
      <c r="AH72" s="58"/>
      <c r="AI72" s="75"/>
      <c r="AJ72" s="58"/>
      <c r="AK72" s="75"/>
      <c r="AM72" s="75"/>
      <c r="AO72" s="75"/>
      <c r="AP72" s="58"/>
      <c r="AQ72" s="75"/>
      <c r="BE72" s="75">
        <v>45854.625</v>
      </c>
      <c r="BF72" s="54">
        <v>80.06</v>
      </c>
      <c r="BI72" s="75">
        <v>45854.625</v>
      </c>
      <c r="BJ72" s="54">
        <v>107.83</v>
      </c>
      <c r="BS72" s="75"/>
      <c r="BT72" s="58"/>
      <c r="BU72" s="75"/>
      <c r="BV72" s="58"/>
      <c r="BW72" s="75"/>
      <c r="BY72" s="75"/>
      <c r="CA72" s="129">
        <v>45860.625</v>
      </c>
      <c r="CB72" s="54">
        <v>107.44840000000001</v>
      </c>
      <c r="CC72" s="129">
        <v>45860.625</v>
      </c>
      <c r="CD72" s="54">
        <v>51.103000000000002</v>
      </c>
      <c r="CO72" s="129">
        <v>45855.625</v>
      </c>
      <c r="CP72" s="54">
        <v>279.93299999999999</v>
      </c>
      <c r="CQ72" s="129">
        <v>45855.625</v>
      </c>
      <c r="CR72" s="54">
        <v>54.454000000000001</v>
      </c>
    </row>
    <row r="73" spans="1:96" x14ac:dyDescent="0.3">
      <c r="A73" s="142">
        <v>45929.625</v>
      </c>
      <c r="B73" s="76">
        <f t="shared" si="26"/>
        <v>92.5</v>
      </c>
      <c r="C73" s="31">
        <f t="shared" si="9"/>
        <v>-372736.95420660393</v>
      </c>
      <c r="D73" s="32">
        <f t="shared" si="10"/>
        <v>-243812.50000000003</v>
      </c>
      <c r="E73" s="76">
        <f t="shared" si="27"/>
        <v>100.89</v>
      </c>
      <c r="F73" s="31">
        <f t="shared" si="11"/>
        <v>-70199.999999999825</v>
      </c>
      <c r="G73" s="32">
        <f t="shared" si="12"/>
        <v>-86803.903833333359</v>
      </c>
      <c r="H73" s="76">
        <f t="shared" si="28"/>
        <v>120.76</v>
      </c>
      <c r="I73" s="31">
        <f t="shared" si="13"/>
        <v>-402132.89581624354</v>
      </c>
      <c r="J73" s="32">
        <f t="shared" si="14"/>
        <v>-419357.50000000006</v>
      </c>
      <c r="K73" s="76">
        <f t="shared" si="29"/>
        <v>99.456000000000003</v>
      </c>
      <c r="L73" s="31">
        <f t="shared" si="15"/>
        <v>-124640.00000000084</v>
      </c>
      <c r="M73" s="32">
        <f t="shared" si="16"/>
        <v>-190931.74288888896</v>
      </c>
      <c r="N73" s="82">
        <f t="shared" si="17"/>
        <v>46373.102554083103</v>
      </c>
      <c r="O73" s="82"/>
      <c r="P73" s="82"/>
      <c r="Q73" s="82">
        <f>$G$5*SUM($O$14:O73)-$H$5*SUM($P$14:P73)</f>
        <v>-42369.391500000027</v>
      </c>
      <c r="R73" s="82">
        <f t="shared" si="18"/>
        <v>4003.7110540830763</v>
      </c>
      <c r="S73" s="143"/>
      <c r="U73" s="75">
        <v>45856.625</v>
      </c>
      <c r="V73" s="54">
        <v>94.09</v>
      </c>
      <c r="W73" s="75">
        <v>45854.625</v>
      </c>
      <c r="X73" s="54">
        <v>101.31</v>
      </c>
      <c r="Y73" s="125">
        <v>45861.625</v>
      </c>
      <c r="Z73" s="54">
        <v>120.5</v>
      </c>
      <c r="AA73" s="75">
        <v>45944.625</v>
      </c>
      <c r="AB73" s="54">
        <v>99.977999999999994</v>
      </c>
      <c r="AG73" s="75"/>
      <c r="AH73" s="58"/>
      <c r="AI73" s="75"/>
      <c r="AJ73" s="58"/>
      <c r="AK73" s="75"/>
      <c r="AM73" s="75"/>
      <c r="AO73" s="75"/>
      <c r="AP73" s="58"/>
      <c r="AQ73" s="75"/>
      <c r="BE73" s="75">
        <v>45855.625</v>
      </c>
      <c r="BF73" s="54">
        <v>80.14</v>
      </c>
      <c r="BI73" s="75">
        <v>45855.625</v>
      </c>
      <c r="BJ73" s="54">
        <v>108.09</v>
      </c>
      <c r="BS73" s="75"/>
      <c r="BT73" s="58"/>
      <c r="BU73" s="75"/>
      <c r="BV73" s="58"/>
      <c r="BW73" s="75"/>
      <c r="BY73" s="75"/>
      <c r="CA73" s="129">
        <v>45861.625</v>
      </c>
      <c r="CB73" s="54">
        <v>107.6756</v>
      </c>
      <c r="CC73" s="129">
        <v>45861.625</v>
      </c>
      <c r="CD73" s="54">
        <v>50.188000000000002</v>
      </c>
      <c r="CO73" s="129">
        <v>45856.625</v>
      </c>
      <c r="CP73" s="54">
        <v>277.86799999999999</v>
      </c>
      <c r="CQ73" s="129">
        <v>45856.625</v>
      </c>
      <c r="CR73" s="54">
        <v>53.975999999999999</v>
      </c>
    </row>
    <row r="74" spans="1:96" x14ac:dyDescent="0.3">
      <c r="A74" s="142">
        <v>45930.625</v>
      </c>
      <c r="B74" s="76">
        <f t="shared" si="26"/>
        <v>92.47</v>
      </c>
      <c r="C74" s="31">
        <f t="shared" si="9"/>
        <v>-380724.17465388752</v>
      </c>
      <c r="D74" s="32">
        <f t="shared" si="10"/>
        <v>-246750</v>
      </c>
      <c r="E74" s="76">
        <f t="shared" si="27"/>
        <v>100.89400000000001</v>
      </c>
      <c r="F74" s="31">
        <f t="shared" si="11"/>
        <v>-69399.999999998836</v>
      </c>
      <c r="G74" s="32">
        <f t="shared" si="12"/>
        <v>-87849.733999999997</v>
      </c>
      <c r="H74" s="76">
        <f t="shared" si="28"/>
        <v>120.78</v>
      </c>
      <c r="I74" s="31">
        <f t="shared" si="13"/>
        <v>-395077.93273174972</v>
      </c>
      <c r="J74" s="32">
        <f t="shared" si="14"/>
        <v>-424410</v>
      </c>
      <c r="K74" s="76">
        <f t="shared" si="29"/>
        <v>99.484999999999999</v>
      </c>
      <c r="L74" s="31">
        <f t="shared" si="15"/>
        <v>-112750.00000000233</v>
      </c>
      <c r="M74" s="32">
        <f t="shared" si="16"/>
        <v>-193232.12533333333</v>
      </c>
      <c r="N74" s="82">
        <f t="shared" si="17"/>
        <v>43281.366744525381</v>
      </c>
      <c r="O74" s="82"/>
      <c r="P74" s="82"/>
      <c r="Q74" s="82">
        <f>$G$5*SUM($O$14:O74)-$H$5*SUM($P$14:P74)</f>
        <v>-42369.391500000027</v>
      </c>
      <c r="R74" s="82">
        <f t="shared" si="18"/>
        <v>911.97524452535436</v>
      </c>
      <c r="S74" s="143"/>
      <c r="U74" s="75">
        <v>45859.625</v>
      </c>
      <c r="V74" s="54">
        <v>94.13</v>
      </c>
      <c r="W74" s="75">
        <v>45855.625</v>
      </c>
      <c r="X74" s="54">
        <v>101.328</v>
      </c>
      <c r="Y74" s="125">
        <v>45862.625</v>
      </c>
      <c r="Z74" s="54">
        <v>120.16</v>
      </c>
      <c r="AA74" s="75">
        <v>45945.625</v>
      </c>
      <c r="AB74" s="54">
        <v>100.18899999999999</v>
      </c>
      <c r="AG74" s="75"/>
      <c r="AH74" s="58"/>
      <c r="AI74" s="75"/>
      <c r="AJ74" s="58"/>
      <c r="AK74" s="75"/>
      <c r="AM74" s="75"/>
      <c r="AO74" s="75"/>
      <c r="AP74" s="58"/>
      <c r="AQ74" s="75"/>
      <c r="BE74" s="75">
        <v>45856.625</v>
      </c>
      <c r="BF74" s="54">
        <v>80.25</v>
      </c>
      <c r="BI74" s="75">
        <v>45856.625</v>
      </c>
      <c r="BJ74" s="54">
        <v>108.29</v>
      </c>
      <c r="BS74" s="75"/>
      <c r="BT74" s="58"/>
      <c r="BU74" s="75"/>
      <c r="BV74" s="58"/>
      <c r="BW74" s="75"/>
      <c r="BY74" s="75"/>
      <c r="CA74" s="129">
        <v>45862.625</v>
      </c>
      <c r="CB74" s="54">
        <v>107.5968</v>
      </c>
      <c r="CC74" s="129">
        <v>45862.625</v>
      </c>
      <c r="CD74" s="54">
        <v>50.165999999999997</v>
      </c>
      <c r="CO74" s="129">
        <v>45859.625</v>
      </c>
      <c r="CP74" s="54">
        <v>278.05399999999997</v>
      </c>
      <c r="CQ74" s="129">
        <v>45859.625</v>
      </c>
      <c r="CR74" s="54">
        <v>54.119</v>
      </c>
    </row>
    <row r="75" spans="1:96" x14ac:dyDescent="0.3">
      <c r="A75" s="142">
        <v>45931.625</v>
      </c>
      <c r="B75" s="76">
        <f t="shared" si="26"/>
        <v>92.57</v>
      </c>
      <c r="C75" s="31">
        <f t="shared" si="9"/>
        <v>-354100.10649627732</v>
      </c>
      <c r="D75" s="32">
        <f t="shared" si="10"/>
        <v>-249687.5</v>
      </c>
      <c r="E75" s="76">
        <f t="shared" si="27"/>
        <v>100.92</v>
      </c>
      <c r="F75" s="31">
        <f t="shared" si="11"/>
        <v>-64199.999999999585</v>
      </c>
      <c r="G75" s="32">
        <f t="shared" si="12"/>
        <v>-88895.564166666663</v>
      </c>
      <c r="H75" s="76">
        <f t="shared" si="28"/>
        <v>120.85</v>
      </c>
      <c r="I75" s="31">
        <f t="shared" si="13"/>
        <v>-370385.56193601654</v>
      </c>
      <c r="J75" s="32">
        <f t="shared" si="14"/>
        <v>-429462.5</v>
      </c>
      <c r="K75" s="76">
        <f t="shared" si="29"/>
        <v>99.536000000000001</v>
      </c>
      <c r="L75" s="31">
        <f t="shared" si="15"/>
        <v>-91840.000000001543</v>
      </c>
      <c r="M75" s="32">
        <f t="shared" si="16"/>
        <v>-195532.50777777776</v>
      </c>
      <c r="N75" s="82">
        <f t="shared" si="17"/>
        <v>61783.511828626157</v>
      </c>
      <c r="O75" s="82"/>
      <c r="P75" s="82"/>
      <c r="Q75" s="82">
        <f>$G$5*SUM($O$14:O75)-$H$5*SUM($P$14:P75)</f>
        <v>-42369.391500000027</v>
      </c>
      <c r="R75" s="82">
        <f t="shared" si="18"/>
        <v>19414.12032862613</v>
      </c>
      <c r="S75" s="143"/>
      <c r="U75" s="75">
        <v>45860.625</v>
      </c>
      <c r="V75" s="54">
        <v>94.13</v>
      </c>
      <c r="W75" s="75">
        <v>45856.625</v>
      </c>
      <c r="X75" s="54">
        <v>101.28</v>
      </c>
      <c r="Y75" s="125">
        <v>45863.625</v>
      </c>
      <c r="Z75" s="54">
        <v>120.06</v>
      </c>
      <c r="AA75" s="75">
        <v>45946.625</v>
      </c>
      <c r="AB75" s="54">
        <v>100.14700000000001</v>
      </c>
      <c r="AG75" s="75"/>
      <c r="AI75" s="75"/>
      <c r="AK75" s="75"/>
      <c r="AM75" s="75"/>
      <c r="AO75" s="75"/>
      <c r="AQ75" s="75"/>
      <c r="BE75" s="75">
        <v>45859.625</v>
      </c>
      <c r="BF75" s="54">
        <v>80.36</v>
      </c>
      <c r="BI75" s="75">
        <v>45859.625</v>
      </c>
      <c r="BJ75" s="54">
        <v>108.71</v>
      </c>
      <c r="BS75" s="75"/>
      <c r="BU75" s="75"/>
      <c r="BW75" s="75"/>
      <c r="BY75" s="75"/>
      <c r="CA75" s="129">
        <v>45863.625</v>
      </c>
      <c r="CB75" s="54">
        <v>107.6135</v>
      </c>
      <c r="CC75" s="129">
        <v>45863.625</v>
      </c>
      <c r="CD75" s="54">
        <v>49.981999999999999</v>
      </c>
      <c r="CO75" s="129">
        <v>45860.625</v>
      </c>
      <c r="CP75" s="54">
        <v>280.26299999999998</v>
      </c>
      <c r="CQ75" s="129">
        <v>45860.625</v>
      </c>
      <c r="CR75" s="54">
        <v>54.722000000000001</v>
      </c>
    </row>
    <row r="76" spans="1:96" x14ac:dyDescent="0.3">
      <c r="A76" s="142">
        <v>45932.625</v>
      </c>
      <c r="B76" s="76">
        <f t="shared" si="26"/>
        <v>92.64</v>
      </c>
      <c r="C76" s="31">
        <f t="shared" si="9"/>
        <v>-335463.25878594519</v>
      </c>
      <c r="D76" s="32">
        <f t="shared" si="10"/>
        <v>-252624.99999999997</v>
      </c>
      <c r="E76" s="76">
        <f t="shared" si="27"/>
        <v>100.905</v>
      </c>
      <c r="F76" s="31">
        <f t="shared" si="11"/>
        <v>-67199.999999999709</v>
      </c>
      <c r="G76" s="32">
        <f t="shared" si="12"/>
        <v>-89941.394333333345</v>
      </c>
      <c r="H76" s="76">
        <f t="shared" si="28"/>
        <v>120.92</v>
      </c>
      <c r="I76" s="31">
        <f t="shared" si="13"/>
        <v>-345693.19114027865</v>
      </c>
      <c r="J76" s="32">
        <f t="shared" si="14"/>
        <v>-434515</v>
      </c>
      <c r="K76" s="76">
        <f t="shared" si="29"/>
        <v>99.51</v>
      </c>
      <c r="L76" s="31">
        <f t="shared" si="15"/>
        <v>-102500</v>
      </c>
      <c r="M76" s="32">
        <f t="shared" si="16"/>
        <v>-197832.89022222228</v>
      </c>
      <c r="N76" s="82">
        <f t="shared" si="17"/>
        <v>48928.436465444305</v>
      </c>
      <c r="O76" s="82"/>
      <c r="P76" s="82"/>
      <c r="Q76" s="82">
        <f>$G$5*SUM($O$14:O76)-$H$5*SUM($P$14:P76)</f>
        <v>-42369.391500000027</v>
      </c>
      <c r="R76" s="82">
        <f t="shared" si="18"/>
        <v>6559.0449654442782</v>
      </c>
      <c r="S76" s="143"/>
      <c r="U76" s="75">
        <v>45861.625</v>
      </c>
      <c r="V76" s="54">
        <v>94.21</v>
      </c>
      <c r="W76" s="75">
        <v>45859.625</v>
      </c>
      <c r="X76" s="54">
        <v>101.45</v>
      </c>
      <c r="Y76" s="125">
        <v>45866.625</v>
      </c>
      <c r="Z76" s="54">
        <v>120.25</v>
      </c>
      <c r="AA76" s="75">
        <v>45947.625</v>
      </c>
      <c r="AB76" s="54">
        <v>100.146</v>
      </c>
      <c r="AG76" s="75"/>
      <c r="AI76" s="75"/>
      <c r="AK76" s="75"/>
      <c r="AM76" s="75"/>
      <c r="AO76" s="75"/>
      <c r="AQ76" s="75"/>
      <c r="BE76" s="75">
        <v>45860.625</v>
      </c>
      <c r="BF76" s="54">
        <v>80.5</v>
      </c>
      <c r="BI76" s="75">
        <v>45860.625</v>
      </c>
      <c r="BJ76" s="54">
        <v>108.97</v>
      </c>
      <c r="BS76" s="75"/>
      <c r="BU76" s="75"/>
      <c r="BW76" s="75"/>
      <c r="BY76" s="75"/>
      <c r="CA76" s="129">
        <v>45866.625</v>
      </c>
      <c r="CB76" s="54">
        <v>107.57810000000001</v>
      </c>
      <c r="CC76" s="129">
        <v>45866.625</v>
      </c>
      <c r="CD76" s="54">
        <v>50.213999999999999</v>
      </c>
      <c r="CO76" s="129">
        <v>45861.625</v>
      </c>
      <c r="CP76" s="54">
        <v>276.29399999999998</v>
      </c>
      <c r="CQ76" s="129">
        <v>45861.625</v>
      </c>
      <c r="CR76" s="54">
        <v>53.884</v>
      </c>
    </row>
    <row r="77" spans="1:96" x14ac:dyDescent="0.3">
      <c r="A77" s="142">
        <v>45933.625</v>
      </c>
      <c r="B77" s="76">
        <f t="shared" si="26"/>
        <v>92.6</v>
      </c>
      <c r="C77" s="31">
        <f t="shared" si="9"/>
        <v>-346112.88604899094</v>
      </c>
      <c r="D77" s="32">
        <f t="shared" si="10"/>
        <v>-255562.49999999997</v>
      </c>
      <c r="E77" s="76">
        <f t="shared" si="27"/>
        <v>100.893</v>
      </c>
      <c r="F77" s="31">
        <f t="shared" si="11"/>
        <v>-69599.999999999796</v>
      </c>
      <c r="G77" s="32">
        <f t="shared" si="12"/>
        <v>-90987.224499999938</v>
      </c>
      <c r="H77" s="76">
        <f t="shared" si="28"/>
        <v>120.97</v>
      </c>
      <c r="I77" s="31">
        <f t="shared" si="13"/>
        <v>-328055.78342904407</v>
      </c>
      <c r="J77" s="32">
        <f t="shared" si="14"/>
        <v>-439567.49999999994</v>
      </c>
      <c r="K77" s="76">
        <f t="shared" si="29"/>
        <v>99.492999999999995</v>
      </c>
      <c r="L77" s="31">
        <f t="shared" si="15"/>
        <v>-109470.00000000415</v>
      </c>
      <c r="M77" s="32">
        <f t="shared" si="16"/>
        <v>-200133.27266666657</v>
      </c>
      <c r="N77" s="82">
        <f t="shared" si="17"/>
        <v>16931.849213382142</v>
      </c>
      <c r="O77" s="82"/>
      <c r="P77" s="82"/>
      <c r="Q77" s="82">
        <f>$G$5*SUM($O$14:O77)-$H$5*SUM($P$14:P77)</f>
        <v>-42369.391500000027</v>
      </c>
      <c r="R77" s="82">
        <f t="shared" si="18"/>
        <v>-25437.542286617885</v>
      </c>
      <c r="S77" s="143"/>
      <c r="U77" s="75">
        <v>45862.625</v>
      </c>
      <c r="V77" s="54">
        <v>94.34</v>
      </c>
      <c r="W77" s="75">
        <v>45860.625</v>
      </c>
      <c r="X77" s="54">
        <v>101.5</v>
      </c>
      <c r="Y77" s="125">
        <v>45867.625</v>
      </c>
      <c r="Z77" s="54">
        <v>120.32</v>
      </c>
      <c r="AG77" s="75"/>
      <c r="AI77" s="75"/>
      <c r="AK77" s="75"/>
      <c r="AM77" s="75"/>
      <c r="AO77" s="75"/>
      <c r="AQ77" s="75"/>
      <c r="BE77" s="75">
        <v>45861.625</v>
      </c>
      <c r="BF77" s="54">
        <v>80.540000000000006</v>
      </c>
      <c r="BI77" s="75">
        <v>45861.625</v>
      </c>
      <c r="BJ77" s="54">
        <v>108.8</v>
      </c>
      <c r="BS77" s="75"/>
      <c r="BU77" s="75"/>
      <c r="BW77" s="75"/>
      <c r="BY77" s="75"/>
      <c r="CA77" s="129">
        <v>45867.625</v>
      </c>
      <c r="CB77" s="54">
        <v>107.3954</v>
      </c>
      <c r="CC77" s="129">
        <v>45867.625</v>
      </c>
      <c r="CD77" s="54">
        <v>50.765000000000001</v>
      </c>
      <c r="CO77" s="129">
        <v>45862.625</v>
      </c>
      <c r="CP77" s="54">
        <v>269.95100000000002</v>
      </c>
      <c r="CQ77" s="129">
        <v>45862.625</v>
      </c>
      <c r="CR77" s="54">
        <v>52.994999999999997</v>
      </c>
    </row>
    <row r="78" spans="1:96" x14ac:dyDescent="0.3">
      <c r="A78" s="142">
        <v>45936.625</v>
      </c>
      <c r="B78" s="76">
        <f t="shared" si="26"/>
        <v>92.49</v>
      </c>
      <c r="C78" s="31">
        <f t="shared" si="9"/>
        <v>-375399.36102236604</v>
      </c>
      <c r="D78" s="32">
        <f t="shared" si="10"/>
        <v>-264375</v>
      </c>
      <c r="E78" s="76">
        <f t="shared" si="27"/>
        <v>100.928</v>
      </c>
      <c r="F78" s="31">
        <f t="shared" si="11"/>
        <v>-62600.000000000473</v>
      </c>
      <c r="G78" s="32">
        <f t="shared" si="12"/>
        <v>-94124.714999999997</v>
      </c>
      <c r="H78" s="76">
        <f t="shared" si="28"/>
        <v>120.96</v>
      </c>
      <c r="I78" s="31">
        <f t="shared" si="13"/>
        <v>-331583.26497129101</v>
      </c>
      <c r="J78" s="32">
        <f t="shared" si="14"/>
        <v>-454725</v>
      </c>
      <c r="K78" s="76">
        <f t="shared" si="29"/>
        <v>99.536000000000001</v>
      </c>
      <c r="L78" s="31">
        <f t="shared" si="15"/>
        <v>-91840.000000001543</v>
      </c>
      <c r="M78" s="32">
        <f t="shared" si="16"/>
        <v>-207034.41999999998</v>
      </c>
      <c r="N78" s="82">
        <f t="shared" si="17"/>
        <v>4384.1989489239349</v>
      </c>
      <c r="O78" s="82"/>
      <c r="P78" s="82"/>
      <c r="Q78" s="82">
        <f>$G$5*SUM($O$14:O78)-$H$5*SUM($P$14:P78)</f>
        <v>-42369.391500000027</v>
      </c>
      <c r="R78" s="82">
        <f t="shared" si="18"/>
        <v>-37985.192551076092</v>
      </c>
      <c r="S78" s="143"/>
      <c r="U78" s="75">
        <v>45863.625</v>
      </c>
      <c r="V78" s="54">
        <v>94.27</v>
      </c>
      <c r="W78" s="75">
        <v>45861.625</v>
      </c>
      <c r="X78" s="54">
        <v>101.505</v>
      </c>
      <c r="Y78" s="125">
        <v>45868.625</v>
      </c>
      <c r="Z78" s="54">
        <v>120.21</v>
      </c>
      <c r="AG78" s="75"/>
      <c r="AI78" s="75"/>
      <c r="AK78" s="75"/>
      <c r="AM78" s="75"/>
      <c r="AO78" s="75"/>
      <c r="AQ78" s="75"/>
      <c r="BE78" s="75">
        <v>45862.625</v>
      </c>
      <c r="BF78" s="54">
        <v>80.44</v>
      </c>
      <c r="BI78" s="75">
        <v>45862.625</v>
      </c>
      <c r="BJ78" s="54">
        <v>108.64</v>
      </c>
      <c r="BS78" s="75"/>
      <c r="BU78" s="75"/>
      <c r="BW78" s="75"/>
      <c r="BY78" s="75"/>
      <c r="CA78" s="129">
        <v>45868.625</v>
      </c>
      <c r="CB78" s="54">
        <v>107.27</v>
      </c>
      <c r="CC78" s="129">
        <v>45868.625</v>
      </c>
      <c r="CD78" s="54">
        <v>50.996000000000002</v>
      </c>
      <c r="CO78" s="129">
        <v>45863.625</v>
      </c>
      <c r="CP78" s="54">
        <v>269.66199999999998</v>
      </c>
      <c r="CQ78" s="129">
        <v>45863.625</v>
      </c>
      <c r="CR78" s="54">
        <v>52.911000000000001</v>
      </c>
    </row>
    <row r="79" spans="1:96" x14ac:dyDescent="0.3">
      <c r="A79" s="142">
        <v>45937.625</v>
      </c>
      <c r="B79" s="76">
        <f t="shared" si="26"/>
        <v>92.19</v>
      </c>
      <c r="C79" s="31">
        <f t="shared" ref="C79:C86" si="68">(B79/$B$14-1)*$B$5</f>
        <v>-455271.56549521053</v>
      </c>
      <c r="D79" s="32">
        <f t="shared" ref="D79:D86" si="69">-1*(A79-$A$14)/360*$B$7*$B$5</f>
        <v>-267312.5</v>
      </c>
      <c r="E79" s="76">
        <f t="shared" si="27"/>
        <v>100.908</v>
      </c>
      <c r="F79" s="31">
        <f t="shared" ref="F79:F86" si="70">(E79-$E$14)/100*$C$5</f>
        <v>-66599.99999999968</v>
      </c>
      <c r="G79" s="32">
        <f t="shared" ref="G79:G86" si="71">(A79-$A$14)/360*$C$6*$C$5-(A79-$A$14)/360*$C$7*$C$5*$E$14/100</f>
        <v>-95170.545166666663</v>
      </c>
      <c r="H79" s="76">
        <f t="shared" si="28"/>
        <v>120.93</v>
      </c>
      <c r="I79" s="31">
        <f t="shared" ref="I79:I86" si="72">(H79/$H$14-1)*$D$5</f>
        <v>-342165.70959803171</v>
      </c>
      <c r="J79" s="32">
        <f t="shared" ref="J79:J86" si="73">-1*(A79-$A$14)/360*$D$7*$D$5</f>
        <v>-459777.49999999994</v>
      </c>
      <c r="K79" s="76">
        <f t="shared" si="29"/>
        <v>99.483000000000004</v>
      </c>
      <c r="L79" s="31">
        <f t="shared" ref="L79:L86" si="74">(K79-$K$14)/100*$E$5</f>
        <v>-113570.00000000042</v>
      </c>
      <c r="M79" s="32">
        <f t="shared" ref="M79:M86" si="75">(A79-$A$14)/360*$E$6*$E$5-(A79-$A$14)/360*$E$7*$E$5*$K$14/100</f>
        <v>-209334.80244444442</v>
      </c>
      <c r="N79" s="82">
        <f t="shared" ref="N79:N86" si="76">C79+D79-F79-G79-I79-J79+L79+M79</f>
        <v>-81775.113174957383</v>
      </c>
      <c r="O79" s="82"/>
      <c r="P79" s="82"/>
      <c r="Q79" s="82">
        <f>$G$5*SUM($O$14:O79)-$H$5*SUM($P$14:P79)</f>
        <v>-42369.391500000027</v>
      </c>
      <c r="R79" s="82">
        <f t="shared" ref="R79:R86" si="77">N79+Q79</f>
        <v>-124144.50467495741</v>
      </c>
      <c r="S79" s="143"/>
      <c r="U79" s="75">
        <v>45866.625</v>
      </c>
      <c r="V79" s="54">
        <v>94.37</v>
      </c>
      <c r="W79" s="75">
        <v>45862.625</v>
      </c>
      <c r="X79" s="54">
        <v>101.15300000000001</v>
      </c>
      <c r="Y79" s="125">
        <v>45869.625</v>
      </c>
      <c r="Z79" s="54">
        <v>120.26</v>
      </c>
      <c r="AG79" s="75"/>
      <c r="AI79" s="75"/>
      <c r="AK79" s="75"/>
      <c r="AM79" s="75"/>
      <c r="AO79" s="75"/>
      <c r="AQ79" s="75"/>
      <c r="BE79" s="75">
        <v>45863.625</v>
      </c>
      <c r="BF79" s="54">
        <v>80.489999999999995</v>
      </c>
      <c r="BI79" s="75">
        <v>45863.625</v>
      </c>
      <c r="BJ79" s="54">
        <v>108.99</v>
      </c>
      <c r="BS79" s="75"/>
      <c r="BU79" s="75"/>
      <c r="BW79" s="75"/>
      <c r="BY79" s="75"/>
      <c r="CA79" s="129">
        <v>45869.625</v>
      </c>
      <c r="CB79" s="54">
        <v>107.2366</v>
      </c>
      <c r="CC79" s="129">
        <v>45869.625</v>
      </c>
      <c r="CD79" s="54">
        <v>51.091000000000001</v>
      </c>
      <c r="CO79" s="129">
        <v>45866.625</v>
      </c>
      <c r="CP79" s="54">
        <v>267.17500000000001</v>
      </c>
      <c r="CQ79" s="129">
        <v>45866.625</v>
      </c>
      <c r="CR79" s="54">
        <v>52.787999999999997</v>
      </c>
    </row>
    <row r="80" spans="1:96" x14ac:dyDescent="0.3">
      <c r="A80" s="142">
        <v>45938.625</v>
      </c>
      <c r="B80" s="76">
        <f t="shared" ref="B80:B86" si="78">VLOOKUP($A80+$I$2,U$3:V$500,2)</f>
        <v>92.12</v>
      </c>
      <c r="C80" s="31">
        <f t="shared" si="68"/>
        <v>-473908.41320553713</v>
      </c>
      <c r="D80" s="32">
        <f t="shared" si="69"/>
        <v>-270249.99999999994</v>
      </c>
      <c r="E80" s="76">
        <f t="shared" ref="E80:E86" si="79">VLOOKUP($A80+$I$2,W$3:X$500,2)</f>
        <v>100.99299999999999</v>
      </c>
      <c r="F80" s="31">
        <f t="shared" si="70"/>
        <v>-49600.000000000931</v>
      </c>
      <c r="G80" s="32">
        <f t="shared" si="71"/>
        <v>-96216.375333333301</v>
      </c>
      <c r="H80" s="76">
        <f t="shared" ref="H80:H86" si="80">VLOOKUP($A80+$I$2,Y$3:Z$500,2)</f>
        <v>121.12</v>
      </c>
      <c r="I80" s="31">
        <f t="shared" si="72"/>
        <v>-275143.56029532605</v>
      </c>
      <c r="J80" s="32">
        <f t="shared" si="73"/>
        <v>-464829.99999999994</v>
      </c>
      <c r="K80" s="76">
        <f t="shared" ref="K80:K86" si="81">VLOOKUP($A80+$I$2,AA$3:AB$500,2)</f>
        <v>99.673000000000002</v>
      </c>
      <c r="L80" s="31">
        <f t="shared" si="74"/>
        <v>-35670.000000001353</v>
      </c>
      <c r="M80" s="32">
        <f t="shared" si="75"/>
        <v>-211635.18488888885</v>
      </c>
      <c r="N80" s="82">
        <f t="shared" si="76"/>
        <v>-105673.66246576702</v>
      </c>
      <c r="O80" s="82"/>
      <c r="P80" s="82"/>
      <c r="Q80" s="82">
        <f>$G$5*SUM($O$14:O80)-$H$5*SUM($P$14:P80)</f>
        <v>-42369.391500000027</v>
      </c>
      <c r="R80" s="82">
        <f t="shared" si="77"/>
        <v>-148043.05396576703</v>
      </c>
      <c r="S80" s="143"/>
      <c r="U80" s="75">
        <v>45867.625</v>
      </c>
      <c r="V80" s="54">
        <v>94.46</v>
      </c>
      <c r="W80" s="75">
        <v>45863.625</v>
      </c>
      <c r="X80" s="54">
        <v>101.054</v>
      </c>
      <c r="Y80" s="125">
        <v>45870.625</v>
      </c>
      <c r="Z80" s="54">
        <v>120.22</v>
      </c>
      <c r="AG80" s="75"/>
      <c r="AI80" s="75"/>
      <c r="AK80" s="75"/>
      <c r="AM80" s="75"/>
      <c r="AO80" s="75"/>
      <c r="AQ80" s="75"/>
      <c r="BE80" s="75">
        <v>45866.625</v>
      </c>
      <c r="BF80" s="54">
        <v>80.45</v>
      </c>
      <c r="BI80" s="75">
        <v>45866.625</v>
      </c>
      <c r="BJ80" s="54">
        <v>108.77</v>
      </c>
      <c r="BS80" s="75"/>
      <c r="BU80" s="75"/>
      <c r="BW80" s="75"/>
      <c r="BY80" s="75"/>
      <c r="CA80" s="129">
        <v>45870.625</v>
      </c>
      <c r="CB80" s="54">
        <v>106.53149999999999</v>
      </c>
      <c r="CC80" s="129">
        <v>45870.625</v>
      </c>
      <c r="CD80" s="54">
        <v>54.185000000000002</v>
      </c>
      <c r="CO80" s="129">
        <v>45867.625</v>
      </c>
      <c r="CP80" s="54">
        <v>264.13499999999999</v>
      </c>
      <c r="CQ80" s="129">
        <v>45867.625</v>
      </c>
      <c r="CR80" s="54">
        <v>52.537999999999997</v>
      </c>
    </row>
    <row r="81" spans="1:96" x14ac:dyDescent="0.3">
      <c r="A81" s="142">
        <v>45939.625</v>
      </c>
      <c r="B81" s="76">
        <f t="shared" si="78"/>
        <v>92</v>
      </c>
      <c r="C81" s="31">
        <f t="shared" si="68"/>
        <v>-505857.29499467713</v>
      </c>
      <c r="D81" s="32">
        <f t="shared" si="69"/>
        <v>-273187.5</v>
      </c>
      <c r="E81" s="76">
        <f t="shared" si="79"/>
        <v>100.934</v>
      </c>
      <c r="F81" s="31">
        <f t="shared" si="70"/>
        <v>-61400.000000000429</v>
      </c>
      <c r="G81" s="32">
        <f t="shared" si="71"/>
        <v>-97262.205499999996</v>
      </c>
      <c r="H81" s="76">
        <f t="shared" si="80"/>
        <v>120.99</v>
      </c>
      <c r="I81" s="31">
        <f t="shared" si="72"/>
        <v>-321000.82034455024</v>
      </c>
      <c r="J81" s="32">
        <f t="shared" si="73"/>
        <v>-469882.5</v>
      </c>
      <c r="K81" s="76">
        <f t="shared" si="81"/>
        <v>99.552999999999997</v>
      </c>
      <c r="L81" s="31">
        <f t="shared" si="74"/>
        <v>-84870.000000003216</v>
      </c>
      <c r="M81" s="32">
        <f t="shared" si="75"/>
        <v>-213935.56733333337</v>
      </c>
      <c r="N81" s="82">
        <f t="shared" si="76"/>
        <v>-128304.83648346302</v>
      </c>
      <c r="O81" s="82"/>
      <c r="P81" s="82"/>
      <c r="Q81" s="82">
        <f>$G$5*SUM($O$14:O81)-$H$5*SUM($P$14:P81)</f>
        <v>-42369.391500000027</v>
      </c>
      <c r="R81" s="82">
        <f t="shared" si="77"/>
        <v>-170674.22798346303</v>
      </c>
      <c r="S81" s="143"/>
      <c r="U81" s="75">
        <v>45868.625</v>
      </c>
      <c r="V81" s="54">
        <v>94.48</v>
      </c>
      <c r="W81" s="75">
        <v>45866.625</v>
      </c>
      <c r="X81" s="54">
        <v>101.17</v>
      </c>
      <c r="Y81" s="125">
        <v>45873.625</v>
      </c>
      <c r="Z81" s="54">
        <v>120.41</v>
      </c>
      <c r="AG81" s="75"/>
      <c r="AI81" s="75"/>
      <c r="AK81" s="75"/>
      <c r="AM81" s="75"/>
      <c r="AO81" s="75"/>
      <c r="AQ81" s="75"/>
      <c r="BE81" s="75">
        <v>45867.625</v>
      </c>
      <c r="BF81" s="54">
        <v>80.5</v>
      </c>
      <c r="BI81" s="75">
        <v>45867.625</v>
      </c>
      <c r="BJ81" s="54">
        <v>109.49</v>
      </c>
      <c r="BS81" s="75"/>
      <c r="BU81" s="75"/>
      <c r="BW81" s="75"/>
      <c r="BY81" s="75"/>
      <c r="CA81" s="129">
        <v>45873.625</v>
      </c>
      <c r="CB81" s="54">
        <v>107.0245</v>
      </c>
      <c r="CC81" s="129">
        <v>45873.625</v>
      </c>
      <c r="CD81" s="54">
        <v>52.07</v>
      </c>
      <c r="CO81" s="129">
        <v>45868.625</v>
      </c>
      <c r="CP81" s="54">
        <v>265.81200000000001</v>
      </c>
      <c r="CQ81" s="129">
        <v>45868.625</v>
      </c>
      <c r="CR81" s="54">
        <v>52.783999999999999</v>
      </c>
    </row>
    <row r="82" spans="1:96" x14ac:dyDescent="0.3">
      <c r="A82" s="142">
        <v>45940.625</v>
      </c>
      <c r="B82" s="76">
        <f t="shared" si="78"/>
        <v>91.78</v>
      </c>
      <c r="C82" s="31">
        <f t="shared" si="68"/>
        <v>-564430.24494142737</v>
      </c>
      <c r="D82" s="32">
        <f t="shared" si="69"/>
        <v>-276125</v>
      </c>
      <c r="E82" s="76">
        <f t="shared" si="79"/>
        <v>101.017</v>
      </c>
      <c r="F82" s="31">
        <f t="shared" si="70"/>
        <v>-44800.000000000749</v>
      </c>
      <c r="G82" s="32">
        <f t="shared" si="71"/>
        <v>-98308.035666666634</v>
      </c>
      <c r="H82" s="76">
        <f t="shared" si="80"/>
        <v>121</v>
      </c>
      <c r="I82" s="31">
        <f t="shared" si="72"/>
        <v>-317473.33880229853</v>
      </c>
      <c r="J82" s="32">
        <f t="shared" si="73"/>
        <v>-474934.99999999994</v>
      </c>
      <c r="K82" s="76">
        <f t="shared" si="81"/>
        <v>99.754000000000005</v>
      </c>
      <c r="L82" s="31">
        <f t="shared" si="74"/>
        <v>-2460.0000000000932</v>
      </c>
      <c r="M82" s="32">
        <f t="shared" si="75"/>
        <v>-216235.94977777774</v>
      </c>
      <c r="N82" s="82">
        <f t="shared" si="76"/>
        <v>-123734.82025023934</v>
      </c>
      <c r="O82" s="82"/>
      <c r="P82" s="82"/>
      <c r="Q82" s="82">
        <f>$G$5*SUM($O$14:O82)-$H$5*SUM($P$14:P82)</f>
        <v>-42369.391500000027</v>
      </c>
      <c r="R82" s="82">
        <f t="shared" si="77"/>
        <v>-166104.21175023937</v>
      </c>
      <c r="S82" s="143"/>
      <c r="U82" s="75">
        <v>45869.625</v>
      </c>
      <c r="V82" s="54">
        <v>94.45</v>
      </c>
      <c r="W82" s="75">
        <v>45867.625</v>
      </c>
      <c r="X82" s="54">
        <v>101.105</v>
      </c>
      <c r="Y82" s="125">
        <v>45874.625</v>
      </c>
      <c r="Z82" s="54">
        <v>120.52</v>
      </c>
      <c r="AG82" s="75"/>
      <c r="AI82" s="75"/>
      <c r="AK82" s="75"/>
      <c r="AM82" s="75"/>
      <c r="AO82" s="75"/>
      <c r="AQ82" s="75"/>
      <c r="BE82" s="75">
        <v>45868.625</v>
      </c>
      <c r="BF82" s="54">
        <v>80.33</v>
      </c>
      <c r="BI82" s="75">
        <v>45868.625</v>
      </c>
      <c r="BJ82" s="54">
        <v>109.08</v>
      </c>
      <c r="BS82" s="75"/>
      <c r="BU82" s="75"/>
      <c r="BW82" s="75"/>
      <c r="BY82" s="75"/>
      <c r="CA82" s="129">
        <v>45874.625</v>
      </c>
      <c r="CB82" s="54">
        <v>106.9378</v>
      </c>
      <c r="CC82" s="129">
        <v>45874.625</v>
      </c>
      <c r="CD82" s="54">
        <v>52.485999999999997</v>
      </c>
      <c r="CO82" s="129">
        <v>45869.625</v>
      </c>
      <c r="CP82" s="54">
        <v>268.60899999999998</v>
      </c>
      <c r="CQ82" s="129">
        <v>45869.625</v>
      </c>
      <c r="CR82" s="54">
        <v>53.713999999999999</v>
      </c>
    </row>
    <row r="83" spans="1:96" x14ac:dyDescent="0.3">
      <c r="A83" s="142">
        <v>45943.625</v>
      </c>
      <c r="B83" s="76">
        <f t="shared" si="78"/>
        <v>91.79</v>
      </c>
      <c r="C83" s="31">
        <f t="shared" si="68"/>
        <v>-561767.83812566521</v>
      </c>
      <c r="D83" s="32">
        <f t="shared" si="69"/>
        <v>-284937.49999999994</v>
      </c>
      <c r="E83" s="76">
        <f t="shared" si="79"/>
        <v>101.122</v>
      </c>
      <c r="F83" s="31">
        <f t="shared" si="70"/>
        <v>-23799.999999999953</v>
      </c>
      <c r="G83" s="32">
        <f t="shared" si="71"/>
        <v>-101445.52616666663</v>
      </c>
      <c r="H83" s="76">
        <f t="shared" si="80"/>
        <v>121.1</v>
      </c>
      <c r="I83" s="31">
        <f t="shared" si="72"/>
        <v>-282198.52337982465</v>
      </c>
      <c r="J83" s="32">
        <f t="shared" si="73"/>
        <v>-490092.49999999988</v>
      </c>
      <c r="K83" s="76">
        <f t="shared" si="81"/>
        <v>99.923000000000002</v>
      </c>
      <c r="L83" s="31">
        <f t="shared" si="74"/>
        <v>66829.999999998647</v>
      </c>
      <c r="M83" s="32">
        <f t="shared" si="75"/>
        <v>-223137.09711111104</v>
      </c>
      <c r="N83" s="82">
        <f t="shared" si="76"/>
        <v>-105475.88569028642</v>
      </c>
      <c r="O83" s="82"/>
      <c r="P83" s="82"/>
      <c r="Q83" s="82">
        <f>$G$5*SUM($O$14:O83)-$H$5*SUM($P$14:P83)</f>
        <v>-42369.391500000027</v>
      </c>
      <c r="R83" s="82">
        <f t="shared" si="77"/>
        <v>-147845.27719028643</v>
      </c>
      <c r="S83" s="143"/>
      <c r="U83" s="75">
        <v>45870.625</v>
      </c>
      <c r="V83" s="54">
        <v>94.32</v>
      </c>
      <c r="W83" s="75">
        <v>45868.625</v>
      </c>
      <c r="X83" s="54">
        <v>101.048</v>
      </c>
      <c r="Y83" s="125">
        <v>45875.625</v>
      </c>
      <c r="Z83" s="54">
        <v>120.41</v>
      </c>
      <c r="AM83" s="75"/>
      <c r="AO83" s="75"/>
      <c r="AQ83" s="75"/>
      <c r="BE83" s="75">
        <v>45869.625</v>
      </c>
      <c r="BF83" s="54">
        <v>80.38</v>
      </c>
      <c r="BI83" s="75">
        <v>45869.625</v>
      </c>
      <c r="BJ83" s="54">
        <v>109.11</v>
      </c>
      <c r="BY83" s="75"/>
      <c r="CA83" s="129">
        <v>45875.625</v>
      </c>
      <c r="CB83" s="54">
        <v>107.005</v>
      </c>
      <c r="CC83" s="129">
        <v>45875.625</v>
      </c>
      <c r="CD83" s="54">
        <v>52.058999999999997</v>
      </c>
      <c r="CO83" s="129">
        <v>45870.625</v>
      </c>
      <c r="CP83" s="54">
        <v>281.363</v>
      </c>
      <c r="CQ83" s="129">
        <v>45870.625</v>
      </c>
      <c r="CR83" s="54">
        <v>56.575000000000003</v>
      </c>
    </row>
    <row r="84" spans="1:96" x14ac:dyDescent="0.3">
      <c r="A84" s="142">
        <v>45944.625</v>
      </c>
      <c r="B84" s="76">
        <f t="shared" si="78"/>
        <v>91.85</v>
      </c>
      <c r="C84" s="31">
        <f t="shared" si="68"/>
        <v>-545793.39723110071</v>
      </c>
      <c r="D84" s="32">
        <f t="shared" si="69"/>
        <v>-287874.99999999994</v>
      </c>
      <c r="E84" s="76">
        <f t="shared" si="79"/>
        <v>101.13800000000001</v>
      </c>
      <c r="F84" s="31">
        <f t="shared" si="70"/>
        <v>-20599.999999998887</v>
      </c>
      <c r="G84" s="32">
        <f t="shared" si="71"/>
        <v>-102491.35633333327</v>
      </c>
      <c r="H84" s="76">
        <f t="shared" si="80"/>
        <v>121.2</v>
      </c>
      <c r="I84" s="31">
        <f t="shared" si="72"/>
        <v>-246923.70795734119</v>
      </c>
      <c r="J84" s="32">
        <f t="shared" si="73"/>
        <v>-495144.99999999988</v>
      </c>
      <c r="K84" s="76">
        <f t="shared" si="81"/>
        <v>99.977999999999994</v>
      </c>
      <c r="L84" s="31">
        <f t="shared" si="74"/>
        <v>89379.999999995605</v>
      </c>
      <c r="M84" s="32">
        <f t="shared" si="75"/>
        <v>-225437.47955555547</v>
      </c>
      <c r="N84" s="82">
        <f t="shared" si="76"/>
        <v>-104565.81249598722</v>
      </c>
      <c r="O84" s="82"/>
      <c r="P84" s="82"/>
      <c r="Q84" s="82">
        <f>$G$5*SUM($O$14:O84)-$H$5*SUM($P$14:P84)</f>
        <v>-42369.391500000027</v>
      </c>
      <c r="R84" s="82">
        <f t="shared" si="77"/>
        <v>-146935.20399598725</v>
      </c>
      <c r="S84" s="143"/>
      <c r="U84" s="75">
        <v>45873.625</v>
      </c>
      <c r="V84" s="54">
        <v>94.38</v>
      </c>
      <c r="W84" s="75">
        <v>45869.625</v>
      </c>
      <c r="X84" s="54">
        <v>101.02200000000001</v>
      </c>
      <c r="Y84" s="125">
        <v>45876.625</v>
      </c>
      <c r="Z84" s="54">
        <v>120.52</v>
      </c>
      <c r="AM84" s="75"/>
      <c r="AO84" s="75"/>
      <c r="BE84" s="75">
        <v>45870.625</v>
      </c>
      <c r="BF84" s="54">
        <v>79.98</v>
      </c>
      <c r="BI84" s="75">
        <v>45870.625</v>
      </c>
      <c r="BJ84" s="54">
        <v>109.63</v>
      </c>
      <c r="BY84" s="75"/>
      <c r="CA84" s="129">
        <v>45876.625</v>
      </c>
      <c r="CB84" s="54">
        <v>106.95959999999999</v>
      </c>
      <c r="CC84" s="129">
        <v>45876.625</v>
      </c>
      <c r="CD84" s="54">
        <v>52.031999999999996</v>
      </c>
      <c r="CO84" s="129">
        <v>45873.625</v>
      </c>
      <c r="CP84" s="54">
        <v>276.33199999999999</v>
      </c>
      <c r="CQ84" s="129">
        <v>45873.625</v>
      </c>
      <c r="CR84" s="54">
        <v>55.798000000000002</v>
      </c>
    </row>
    <row r="85" spans="1:96" x14ac:dyDescent="0.3">
      <c r="A85" s="142">
        <v>45945.625</v>
      </c>
      <c r="B85" s="76">
        <f t="shared" si="78"/>
        <v>92.38</v>
      </c>
      <c r="C85" s="31">
        <f t="shared" si="68"/>
        <v>-404685.83599574392</v>
      </c>
      <c r="D85" s="32">
        <f t="shared" si="69"/>
        <v>-290812.5</v>
      </c>
      <c r="E85" s="76">
        <f t="shared" si="79"/>
        <v>101.23699999999999</v>
      </c>
      <c r="F85" s="31">
        <f t="shared" si="70"/>
        <v>-800.00000000097771</v>
      </c>
      <c r="G85" s="32">
        <f t="shared" si="71"/>
        <v>-103537.18649999995</v>
      </c>
      <c r="H85" s="76">
        <f t="shared" si="80"/>
        <v>121.62</v>
      </c>
      <c r="I85" s="31">
        <f t="shared" si="72"/>
        <v>-98769.483182937431</v>
      </c>
      <c r="J85" s="32">
        <f t="shared" si="73"/>
        <v>-500197.5</v>
      </c>
      <c r="K85" s="76">
        <f t="shared" si="81"/>
        <v>100.18899999999999</v>
      </c>
      <c r="L85" s="31">
        <f t="shared" si="74"/>
        <v>175889.99999999499</v>
      </c>
      <c r="M85" s="32">
        <f t="shared" si="75"/>
        <v>-227737.86200000002</v>
      </c>
      <c r="N85" s="82">
        <f t="shared" si="76"/>
        <v>-44042.028312810697</v>
      </c>
      <c r="O85" s="82"/>
      <c r="P85" s="82"/>
      <c r="Q85" s="82">
        <f>$G$5*SUM($O$14:O85)-$H$5*SUM($P$14:P85)</f>
        <v>-42369.391500000027</v>
      </c>
      <c r="R85" s="82">
        <f t="shared" si="77"/>
        <v>-86411.419812810724</v>
      </c>
      <c r="S85" s="143"/>
      <c r="U85" s="75">
        <v>45874.625</v>
      </c>
      <c r="V85" s="54">
        <v>94.45</v>
      </c>
      <c r="W85" s="75">
        <v>45870.625</v>
      </c>
      <c r="X85" s="54">
        <v>101.155</v>
      </c>
      <c r="Y85" s="125">
        <v>45877.625</v>
      </c>
      <c r="Z85" s="54">
        <v>120.29</v>
      </c>
      <c r="AM85" s="75"/>
      <c r="AO85" s="75"/>
      <c r="BE85" s="75">
        <v>45873.625</v>
      </c>
      <c r="BF85" s="54">
        <v>80.25</v>
      </c>
      <c r="BI85" s="75">
        <v>45873.625</v>
      </c>
      <c r="BJ85" s="54">
        <v>109.82</v>
      </c>
      <c r="BY85" s="75"/>
      <c r="CA85" s="129">
        <v>45877.625</v>
      </c>
      <c r="CB85" s="54">
        <v>107.1588</v>
      </c>
      <c r="CC85" s="129">
        <v>45877.625</v>
      </c>
      <c r="CD85" s="54">
        <v>51.154000000000003</v>
      </c>
      <c r="CO85" s="129">
        <v>45874.625</v>
      </c>
      <c r="CP85" s="54">
        <v>275.041</v>
      </c>
      <c r="CQ85" s="129">
        <v>45874.625</v>
      </c>
      <c r="CR85" s="54">
        <v>55.579000000000001</v>
      </c>
    </row>
    <row r="86" spans="1:96" x14ac:dyDescent="0.3">
      <c r="A86" s="142">
        <v>45946.625</v>
      </c>
      <c r="B86" s="76">
        <f t="shared" si="78"/>
        <v>92.23</v>
      </c>
      <c r="C86" s="31">
        <f t="shared" si="68"/>
        <v>-444621.93823216198</v>
      </c>
      <c r="D86" s="32">
        <f t="shared" si="69"/>
        <v>-293750</v>
      </c>
      <c r="E86" s="76">
        <f t="shared" si="79"/>
        <v>101.221</v>
      </c>
      <c r="F86" s="31">
        <f t="shared" si="70"/>
        <v>-3999.9999999992042</v>
      </c>
      <c r="G86" s="32">
        <f t="shared" si="71"/>
        <v>-104583.01666666666</v>
      </c>
      <c r="H86" s="76">
        <f t="shared" si="80"/>
        <v>121.6</v>
      </c>
      <c r="I86" s="31">
        <f t="shared" si="72"/>
        <v>-105824.44626743604</v>
      </c>
      <c r="J86" s="32">
        <f t="shared" si="73"/>
        <v>-505250</v>
      </c>
      <c r="K86" s="76">
        <f t="shared" si="81"/>
        <v>100.14700000000001</v>
      </c>
      <c r="L86" s="31">
        <f t="shared" si="74"/>
        <v>158670.00000000017</v>
      </c>
      <c r="M86" s="32">
        <f t="shared" si="75"/>
        <v>-230038.24444444443</v>
      </c>
      <c r="N86" s="82">
        <f t="shared" si="76"/>
        <v>-90082.719742504356</v>
      </c>
      <c r="O86" s="82"/>
      <c r="P86" s="82"/>
      <c r="Q86" s="82">
        <f>$G$5*SUM($O$14:O86)-$H$5*SUM($P$14:P86)</f>
        <v>-42369.391500000027</v>
      </c>
      <c r="R86" s="82">
        <f t="shared" si="77"/>
        <v>-132452.11124250438</v>
      </c>
      <c r="S86" s="143"/>
      <c r="U86" s="75">
        <v>45875.625</v>
      </c>
      <c r="V86" s="54">
        <v>94.47</v>
      </c>
      <c r="W86" s="75">
        <v>45873.625</v>
      </c>
      <c r="X86" s="54">
        <v>101.214</v>
      </c>
      <c r="Y86" s="125">
        <v>45880.625</v>
      </c>
      <c r="Z86" s="54">
        <v>120.27</v>
      </c>
      <c r="AM86" s="75"/>
      <c r="AO86" s="75"/>
      <c r="BE86" s="75">
        <v>45874.625</v>
      </c>
      <c r="BF86" s="54">
        <v>80.209999999999994</v>
      </c>
      <c r="BI86" s="75">
        <v>45874.625</v>
      </c>
      <c r="BJ86" s="54">
        <v>109.9</v>
      </c>
      <c r="BY86" s="75"/>
      <c r="CA86" s="129">
        <v>45880.625</v>
      </c>
      <c r="CB86" s="54">
        <v>107.04949999999999</v>
      </c>
      <c r="CC86" s="129">
        <v>45880.625</v>
      </c>
      <c r="CD86" s="54">
        <v>51.481000000000002</v>
      </c>
      <c r="CO86" s="129">
        <v>45875.625</v>
      </c>
      <c r="CP86" s="54">
        <v>276.83699999999999</v>
      </c>
      <c r="CQ86" s="129">
        <v>45875.625</v>
      </c>
      <c r="CR86" s="54">
        <v>55.622999999999998</v>
      </c>
    </row>
    <row r="87" spans="1:96" x14ac:dyDescent="0.3">
      <c r="U87" s="75">
        <v>45876.625</v>
      </c>
      <c r="V87" s="54">
        <v>94.64</v>
      </c>
      <c r="W87" s="75">
        <v>45874.625</v>
      </c>
      <c r="X87" s="54">
        <v>101.217</v>
      </c>
      <c r="Y87" s="125">
        <v>45881.625</v>
      </c>
      <c r="Z87" s="54">
        <v>120.15</v>
      </c>
      <c r="AM87" s="75"/>
      <c r="AO87" s="75"/>
      <c r="BE87" s="75">
        <v>45875.625</v>
      </c>
      <c r="BF87" s="54">
        <v>80.290000000000006</v>
      </c>
      <c r="BI87" s="75">
        <v>45875.625</v>
      </c>
      <c r="BJ87" s="54">
        <v>109.87</v>
      </c>
      <c r="BY87" s="75"/>
      <c r="CA87" s="129">
        <v>45881.625</v>
      </c>
      <c r="CB87" s="54">
        <v>107.3578</v>
      </c>
      <c r="CC87" s="129">
        <v>45881.625</v>
      </c>
      <c r="CD87" s="54">
        <v>50.027000000000001</v>
      </c>
      <c r="CO87" s="129">
        <v>45876.625</v>
      </c>
      <c r="CP87" s="54">
        <v>269.959</v>
      </c>
      <c r="CQ87" s="129">
        <v>45876.625</v>
      </c>
      <c r="CR87" s="54">
        <v>54.149000000000001</v>
      </c>
    </row>
    <row r="88" spans="1:96" x14ac:dyDescent="0.3">
      <c r="U88" s="75">
        <v>45877.625</v>
      </c>
      <c r="V88" s="54">
        <v>94.67</v>
      </c>
      <c r="W88" s="75">
        <v>45875.625</v>
      </c>
      <c r="X88" s="54">
        <v>101.197</v>
      </c>
      <c r="Y88" s="125">
        <v>45882.625</v>
      </c>
      <c r="Z88" s="54">
        <v>120.52</v>
      </c>
      <c r="AM88" s="75"/>
      <c r="AO88" s="75"/>
      <c r="BE88" s="75">
        <v>45876.625</v>
      </c>
      <c r="BF88" s="54">
        <v>80.209999999999994</v>
      </c>
      <c r="BI88" s="75">
        <v>45876.625</v>
      </c>
      <c r="BJ88" s="54">
        <v>109.76</v>
      </c>
      <c r="BY88" s="75"/>
      <c r="CA88" s="129">
        <v>45882.625</v>
      </c>
      <c r="CB88" s="54">
        <v>107.5305</v>
      </c>
      <c r="CC88" s="129">
        <v>45882.625</v>
      </c>
      <c r="CD88" s="54">
        <v>49.564</v>
      </c>
      <c r="CO88" s="129">
        <v>45877.625</v>
      </c>
      <c r="CP88" s="54">
        <v>267.15899999999999</v>
      </c>
      <c r="CQ88" s="129">
        <v>45877.625</v>
      </c>
      <c r="CR88" s="54">
        <v>53.585000000000001</v>
      </c>
    </row>
    <row r="89" spans="1:96" x14ac:dyDescent="0.3">
      <c r="U89" s="75">
        <v>45880.625</v>
      </c>
      <c r="V89" s="54">
        <v>94.66</v>
      </c>
      <c r="W89" s="75">
        <v>45876.625</v>
      </c>
      <c r="X89" s="54">
        <v>101.16500000000001</v>
      </c>
      <c r="Y89" s="125">
        <v>45883.625</v>
      </c>
      <c r="Z89" s="54">
        <v>120.46</v>
      </c>
      <c r="AM89" s="75"/>
      <c r="AO89" s="75"/>
      <c r="BE89" s="75">
        <v>45877.625</v>
      </c>
      <c r="BF89" s="54">
        <v>80.22</v>
      </c>
      <c r="BI89" s="75">
        <v>45877.625</v>
      </c>
      <c r="BJ89" s="54">
        <v>109.41</v>
      </c>
      <c r="BY89" s="75"/>
      <c r="CA89" s="129">
        <v>45883.625</v>
      </c>
      <c r="CB89" s="54">
        <v>107.40009999999999</v>
      </c>
      <c r="CC89" s="129">
        <v>45883.625</v>
      </c>
      <c r="CD89" s="54">
        <v>49.968000000000004</v>
      </c>
      <c r="CO89" s="129">
        <v>45880.625</v>
      </c>
      <c r="CP89" s="54">
        <v>267.584</v>
      </c>
      <c r="CQ89" s="129">
        <v>45880.625</v>
      </c>
      <c r="CR89" s="54">
        <v>53.674999999999997</v>
      </c>
    </row>
    <row r="90" spans="1:96" x14ac:dyDescent="0.3">
      <c r="U90" s="75">
        <v>45881.625</v>
      </c>
      <c r="V90" s="54">
        <v>94.75</v>
      </c>
      <c r="W90" s="75">
        <v>45877.625</v>
      </c>
      <c r="X90" s="54">
        <v>101.039</v>
      </c>
      <c r="Y90" s="125">
        <v>45887.625</v>
      </c>
      <c r="Z90" s="54">
        <v>120.14</v>
      </c>
      <c r="AM90" s="75"/>
      <c r="AO90" s="75"/>
      <c r="BE90" s="75">
        <v>45880.625</v>
      </c>
      <c r="BF90" s="54">
        <v>80.22</v>
      </c>
      <c r="BI90" s="75">
        <v>45880.625</v>
      </c>
      <c r="BJ90" s="54">
        <v>109.58499999999999</v>
      </c>
      <c r="BY90" s="75"/>
      <c r="CA90" s="129">
        <v>45884.625</v>
      </c>
      <c r="CB90" s="54">
        <v>107.37390000000001</v>
      </c>
      <c r="CC90" s="129">
        <v>45884.625</v>
      </c>
      <c r="CD90" s="54">
        <v>49.91</v>
      </c>
      <c r="CO90" s="129">
        <v>45881.625</v>
      </c>
      <c r="CP90" s="54">
        <v>265.14</v>
      </c>
      <c r="CQ90" s="129">
        <v>45881.625</v>
      </c>
      <c r="CR90" s="54">
        <v>52.881999999999998</v>
      </c>
    </row>
    <row r="91" spans="1:96" x14ac:dyDescent="0.3">
      <c r="U91" s="75">
        <v>45882.625</v>
      </c>
      <c r="V91" s="54">
        <v>94.88</v>
      </c>
      <c r="W91" s="75">
        <v>45880.625</v>
      </c>
      <c r="X91" s="54">
        <v>101.004</v>
      </c>
      <c r="Y91" s="125">
        <v>45888.625</v>
      </c>
      <c r="Z91" s="54">
        <v>120.27</v>
      </c>
      <c r="AM91" s="75"/>
      <c r="BE91" s="75">
        <v>45881.625</v>
      </c>
      <c r="BF91" s="54">
        <v>80.400000000000006</v>
      </c>
      <c r="BI91" s="75">
        <v>45881.625</v>
      </c>
      <c r="BJ91" s="54">
        <v>109.68</v>
      </c>
      <c r="BY91" s="75"/>
      <c r="CA91" s="129">
        <v>45887.625</v>
      </c>
      <c r="CB91" s="54">
        <v>107.3562</v>
      </c>
      <c r="CC91" s="129">
        <v>45887.625</v>
      </c>
      <c r="CD91" s="54">
        <v>50.018000000000001</v>
      </c>
      <c r="CO91" s="129">
        <v>45882.625</v>
      </c>
      <c r="CP91" s="54">
        <v>260.87599999999998</v>
      </c>
      <c r="CQ91" s="129">
        <v>45882.625</v>
      </c>
      <c r="CR91" s="54">
        <v>51.805</v>
      </c>
    </row>
    <row r="92" spans="1:96" x14ac:dyDescent="0.3">
      <c r="U92" s="75">
        <v>45883.625</v>
      </c>
      <c r="V92" s="54">
        <v>94.94</v>
      </c>
      <c r="W92" s="75">
        <v>45881.625</v>
      </c>
      <c r="X92" s="54">
        <v>100.947</v>
      </c>
      <c r="Y92" s="125">
        <v>45889.625</v>
      </c>
      <c r="Z92" s="54">
        <v>120.39</v>
      </c>
      <c r="AM92" s="75"/>
      <c r="BE92" s="75">
        <v>45882.625</v>
      </c>
      <c r="BF92" s="54">
        <v>80.61</v>
      </c>
      <c r="BI92" s="75">
        <v>45882.625</v>
      </c>
      <c r="BJ92" s="54">
        <v>110.26</v>
      </c>
      <c r="BY92" s="75"/>
      <c r="CA92" s="129">
        <v>45888.625</v>
      </c>
      <c r="CB92" s="54">
        <v>107.22490000000001</v>
      </c>
      <c r="CC92" s="129">
        <v>45888.625</v>
      </c>
      <c r="CD92" s="54">
        <v>50.395000000000003</v>
      </c>
      <c r="CO92" s="129">
        <v>45883.625</v>
      </c>
      <c r="CP92" s="54">
        <v>260.50799999999998</v>
      </c>
      <c r="CQ92" s="129">
        <v>45883.625</v>
      </c>
      <c r="CR92" s="54">
        <v>51.789000000000001</v>
      </c>
    </row>
    <row r="93" spans="1:96" x14ac:dyDescent="0.3">
      <c r="U93" s="75">
        <v>45884.625</v>
      </c>
      <c r="V93" s="54">
        <v>94.87</v>
      </c>
      <c r="W93" s="75">
        <v>45882.625</v>
      </c>
      <c r="X93" s="54">
        <v>101.11799999999999</v>
      </c>
      <c r="Y93" s="125">
        <v>45890.625</v>
      </c>
      <c r="Z93" s="54">
        <v>120.12</v>
      </c>
      <c r="AM93" s="75"/>
      <c r="BE93" s="75">
        <v>45883.625</v>
      </c>
      <c r="BF93" s="54">
        <v>80.400000000000006</v>
      </c>
      <c r="BI93" s="75">
        <v>45883.625</v>
      </c>
      <c r="BJ93" s="54">
        <v>109.88</v>
      </c>
      <c r="BY93" s="75"/>
      <c r="CA93" s="129">
        <v>45889.625</v>
      </c>
      <c r="CB93" s="54">
        <v>107.1161</v>
      </c>
      <c r="CC93" s="129">
        <v>45889.625</v>
      </c>
      <c r="CD93" s="54">
        <v>50.768000000000001</v>
      </c>
      <c r="CO93" s="129">
        <v>45884.625</v>
      </c>
      <c r="CP93" s="54">
        <v>259.67399999999998</v>
      </c>
      <c r="CQ93" s="129">
        <v>45884.625</v>
      </c>
      <c r="CR93" s="54">
        <v>51.633000000000003</v>
      </c>
    </row>
    <row r="94" spans="1:96" x14ac:dyDescent="0.3">
      <c r="U94" s="75">
        <v>45887.625</v>
      </c>
      <c r="V94" s="54">
        <v>94.83</v>
      </c>
      <c r="W94" s="75">
        <v>45883.625</v>
      </c>
      <c r="X94" s="54">
        <v>101.057</v>
      </c>
      <c r="Y94" s="125">
        <v>45891.625</v>
      </c>
      <c r="Z94" s="54">
        <v>120.28</v>
      </c>
      <c r="AM94" s="75"/>
      <c r="BE94" s="75">
        <v>45884.625</v>
      </c>
      <c r="BF94" s="54">
        <v>80.459999999999994</v>
      </c>
      <c r="BI94" s="75">
        <v>45884.625</v>
      </c>
      <c r="BJ94" s="54">
        <v>109.74</v>
      </c>
      <c r="BY94" s="75"/>
      <c r="CA94" s="129">
        <v>45890.625</v>
      </c>
      <c r="CB94" s="54">
        <v>106.9358</v>
      </c>
      <c r="CC94" s="129">
        <v>45890.625</v>
      </c>
      <c r="CD94" s="54">
        <v>51.694000000000003</v>
      </c>
      <c r="CO94" s="129">
        <v>45887.625</v>
      </c>
      <c r="CP94" s="54">
        <v>260.94299999999998</v>
      </c>
      <c r="CQ94" s="129">
        <v>45887.625</v>
      </c>
      <c r="CR94" s="54">
        <v>51.783999999999999</v>
      </c>
    </row>
    <row r="95" spans="1:96" x14ac:dyDescent="0.3">
      <c r="U95" s="75">
        <v>45888.625</v>
      </c>
      <c r="V95" s="54">
        <v>94.8</v>
      </c>
      <c r="W95" s="75">
        <v>45884.625</v>
      </c>
      <c r="X95" s="54">
        <v>100.946</v>
      </c>
      <c r="Y95" s="125">
        <v>45898.625</v>
      </c>
      <c r="Z95" s="54">
        <v>120.25</v>
      </c>
      <c r="BE95" s="75">
        <v>45887.625</v>
      </c>
      <c r="BF95" s="54">
        <v>80.400000000000006</v>
      </c>
      <c r="BI95" s="75">
        <v>45887.625</v>
      </c>
      <c r="BJ95" s="54">
        <v>109.54</v>
      </c>
      <c r="CA95" s="129">
        <v>45891.625</v>
      </c>
      <c r="CB95" s="54">
        <v>107.5735</v>
      </c>
      <c r="CC95" s="129">
        <v>45891.625</v>
      </c>
      <c r="CD95" s="54">
        <v>49.182000000000002</v>
      </c>
      <c r="CO95" s="129">
        <v>45888.625</v>
      </c>
      <c r="CP95" s="54">
        <v>260.10500000000002</v>
      </c>
      <c r="CQ95" s="129">
        <v>45888.625</v>
      </c>
      <c r="CR95" s="54">
        <v>51.459000000000003</v>
      </c>
    </row>
    <row r="96" spans="1:96" x14ac:dyDescent="0.3">
      <c r="U96" s="75">
        <v>45889.625</v>
      </c>
      <c r="V96" s="54">
        <v>94.64</v>
      </c>
      <c r="W96" s="75">
        <v>45887.625</v>
      </c>
      <c r="X96" s="54">
        <v>100.953</v>
      </c>
      <c r="Y96" s="125">
        <v>45901.625</v>
      </c>
      <c r="Z96" s="54">
        <v>120.1</v>
      </c>
      <c r="BE96" s="75">
        <v>45888.625</v>
      </c>
      <c r="BF96" s="54">
        <v>80.38</v>
      </c>
      <c r="BI96" s="75">
        <v>45888.625</v>
      </c>
      <c r="BJ96" s="54">
        <v>109.71</v>
      </c>
      <c r="CA96" s="129">
        <v>45894.625</v>
      </c>
      <c r="CB96" s="54">
        <v>107.43819999999999</v>
      </c>
      <c r="CC96" s="129">
        <v>45894.625</v>
      </c>
      <c r="CD96" s="54">
        <v>49.68</v>
      </c>
      <c r="CO96" s="129">
        <v>45889.625</v>
      </c>
      <c r="CP96" s="54">
        <v>265.99299999999999</v>
      </c>
      <c r="CQ96" s="129">
        <v>45889.625</v>
      </c>
      <c r="CR96" s="54">
        <v>52.55</v>
      </c>
    </row>
    <row r="97" spans="21:96" x14ac:dyDescent="0.3">
      <c r="U97" s="75">
        <v>45890.625</v>
      </c>
      <c r="V97" s="54">
        <v>94.47</v>
      </c>
      <c r="W97" s="75">
        <v>45888.625</v>
      </c>
      <c r="X97" s="54">
        <v>100.99</v>
      </c>
      <c r="Y97" s="125">
        <v>45902.625</v>
      </c>
      <c r="Z97" s="54">
        <v>119.81</v>
      </c>
      <c r="BE97" s="75">
        <v>45889.625</v>
      </c>
      <c r="BF97" s="54">
        <v>80.349999999999994</v>
      </c>
      <c r="BI97" s="75">
        <v>45889.625</v>
      </c>
      <c r="BJ97" s="54">
        <v>109.76</v>
      </c>
      <c r="CA97" s="129">
        <v>45895.625</v>
      </c>
      <c r="CB97" s="54">
        <v>107.50369999999999</v>
      </c>
      <c r="CC97" s="129">
        <v>45895.625</v>
      </c>
      <c r="CD97" s="54">
        <v>49.631</v>
      </c>
      <c r="CO97" s="129">
        <v>45890.625</v>
      </c>
      <c r="CP97" s="54">
        <v>266.79599999999999</v>
      </c>
      <c r="CQ97" s="129">
        <v>45890.625</v>
      </c>
      <c r="CR97" s="54">
        <v>52.808999999999997</v>
      </c>
    </row>
    <row r="98" spans="21:96" x14ac:dyDescent="0.3">
      <c r="U98" s="75">
        <v>45891.625</v>
      </c>
      <c r="V98" s="54">
        <v>94.76</v>
      </c>
      <c r="W98" s="75">
        <v>45889.625</v>
      </c>
      <c r="X98" s="54">
        <v>101.083</v>
      </c>
      <c r="Y98" s="125">
        <v>45903.625</v>
      </c>
      <c r="Z98" s="54">
        <v>120.08</v>
      </c>
      <c r="BE98" s="75">
        <v>45890.625</v>
      </c>
      <c r="BF98" s="54">
        <v>80.2</v>
      </c>
      <c r="BI98" s="75">
        <v>45890.625</v>
      </c>
      <c r="BJ98" s="54">
        <v>109.34</v>
      </c>
      <c r="CA98" s="129">
        <v>45896.625</v>
      </c>
      <c r="CB98" s="54">
        <v>107.3715</v>
      </c>
      <c r="CC98" s="129">
        <v>45896.625</v>
      </c>
      <c r="CD98" s="54">
        <v>50.168999999999997</v>
      </c>
      <c r="CO98" s="129">
        <v>45891.625</v>
      </c>
      <c r="CP98" s="54">
        <v>261.90800000000002</v>
      </c>
      <c r="CQ98" s="129">
        <v>45891.625</v>
      </c>
      <c r="CR98" s="54">
        <v>51.709000000000003</v>
      </c>
    </row>
    <row r="99" spans="21:96" x14ac:dyDescent="0.3">
      <c r="U99" s="75">
        <v>45895.625</v>
      </c>
      <c r="V99" s="54">
        <v>94.59</v>
      </c>
      <c r="W99" s="75">
        <v>45890.625</v>
      </c>
      <c r="X99" s="54">
        <v>100.955</v>
      </c>
      <c r="Y99" s="125">
        <v>45904.625</v>
      </c>
      <c r="Z99" s="54">
        <v>120.3</v>
      </c>
      <c r="BE99" s="75">
        <v>45891.625</v>
      </c>
      <c r="BF99" s="54">
        <v>80.849999999999994</v>
      </c>
      <c r="BI99" s="75">
        <v>45891.625</v>
      </c>
      <c r="BJ99" s="54">
        <v>110.2</v>
      </c>
      <c r="CA99" s="129">
        <v>45897.625</v>
      </c>
      <c r="CB99" s="54">
        <v>107.40689999999999</v>
      </c>
      <c r="CC99" s="129">
        <v>45897.625</v>
      </c>
      <c r="CD99" s="54">
        <v>50.031999999999996</v>
      </c>
      <c r="CO99" s="129">
        <v>45895.625</v>
      </c>
      <c r="CP99" s="54">
        <v>267.59399999999999</v>
      </c>
      <c r="CQ99" s="129">
        <v>45895.625</v>
      </c>
      <c r="CR99" s="54">
        <v>53.003</v>
      </c>
    </row>
    <row r="100" spans="21:96" x14ac:dyDescent="0.3">
      <c r="U100" s="75">
        <v>45896.625</v>
      </c>
      <c r="V100" s="54">
        <v>94.56</v>
      </c>
      <c r="W100" s="75">
        <v>45891.625</v>
      </c>
      <c r="X100" s="54">
        <v>101.027</v>
      </c>
      <c r="Y100" s="125">
        <v>45905.625</v>
      </c>
      <c r="Z100" s="54">
        <v>120.64</v>
      </c>
      <c r="BE100" s="75">
        <v>45894.625</v>
      </c>
      <c r="BF100" s="54">
        <v>80.69</v>
      </c>
      <c r="BI100" s="75">
        <v>45894.625</v>
      </c>
      <c r="BJ100" s="54">
        <v>109.91</v>
      </c>
      <c r="CA100" s="129">
        <v>45898.625</v>
      </c>
      <c r="CB100" s="54">
        <v>107.20489999999999</v>
      </c>
      <c r="CC100" s="129">
        <v>45898.625</v>
      </c>
      <c r="CD100" s="54">
        <v>50.929000000000002</v>
      </c>
      <c r="CO100" s="129">
        <v>45896.625</v>
      </c>
      <c r="CP100" s="54">
        <v>274.23899999999998</v>
      </c>
      <c r="CQ100" s="129">
        <v>45896.625</v>
      </c>
      <c r="CR100" s="54">
        <v>54.777000000000001</v>
      </c>
    </row>
    <row r="101" spans="21:96" x14ac:dyDescent="0.3">
      <c r="U101" s="75">
        <v>45897.625</v>
      </c>
      <c r="V101" s="54">
        <v>94.44</v>
      </c>
      <c r="W101" s="75">
        <v>45894.625</v>
      </c>
      <c r="X101" s="54">
        <v>100.916</v>
      </c>
      <c r="Y101" s="125">
        <v>45908.625</v>
      </c>
      <c r="Z101" s="54">
        <v>120.74</v>
      </c>
      <c r="BE101" s="75">
        <v>45895.625</v>
      </c>
      <c r="BF101" s="54">
        <v>80.87</v>
      </c>
      <c r="BI101" s="75">
        <v>45895.625</v>
      </c>
      <c r="BJ101" s="54">
        <v>109.99</v>
      </c>
      <c r="CA101" s="129">
        <v>45902.625</v>
      </c>
      <c r="CB101" s="54">
        <v>107.1491</v>
      </c>
      <c r="CC101" s="129">
        <v>45902.625</v>
      </c>
      <c r="CD101" s="54">
        <v>51.244999999999997</v>
      </c>
      <c r="CO101" s="129">
        <v>45897.625</v>
      </c>
      <c r="CP101" s="54">
        <v>264.39100000000002</v>
      </c>
      <c r="CQ101" s="129">
        <v>45897.625</v>
      </c>
      <c r="CR101" s="54">
        <v>54.683</v>
      </c>
    </row>
    <row r="102" spans="21:96" x14ac:dyDescent="0.3">
      <c r="U102" s="75">
        <v>45898.625</v>
      </c>
      <c r="V102" s="54">
        <v>94.44</v>
      </c>
      <c r="W102" s="75">
        <v>45895.625</v>
      </c>
      <c r="X102" s="54">
        <v>101.051</v>
      </c>
      <c r="Y102" s="125">
        <v>45909.625</v>
      </c>
      <c r="Z102" s="54">
        <v>120.66</v>
      </c>
      <c r="BE102" s="75">
        <v>45896.625</v>
      </c>
      <c r="BF102" s="54">
        <v>80.97</v>
      </c>
      <c r="BI102" s="75">
        <v>45896.625</v>
      </c>
      <c r="BJ102" s="54">
        <v>110.03</v>
      </c>
      <c r="CA102" s="129">
        <v>45903.625</v>
      </c>
      <c r="CB102" s="54">
        <v>107.15860000000001</v>
      </c>
      <c r="CC102" s="129">
        <v>45903.625</v>
      </c>
      <c r="CD102" s="54">
        <v>50.915999999999997</v>
      </c>
      <c r="CO102" s="129">
        <v>45898.625</v>
      </c>
      <c r="CP102" s="54">
        <v>267.71499999999997</v>
      </c>
      <c r="CQ102" s="129">
        <v>45898.625</v>
      </c>
      <c r="CR102" s="54">
        <v>55.435000000000002</v>
      </c>
    </row>
    <row r="103" spans="21:96" x14ac:dyDescent="0.3">
      <c r="U103" s="75">
        <v>45901.625</v>
      </c>
      <c r="V103" s="54">
        <v>94.4</v>
      </c>
      <c r="W103" s="75">
        <v>45896.625</v>
      </c>
      <c r="X103" s="54">
        <v>101.142</v>
      </c>
      <c r="Y103" s="125">
        <v>45910.625</v>
      </c>
      <c r="Z103" s="54">
        <v>120.75</v>
      </c>
      <c r="BE103" s="75">
        <v>45897.625</v>
      </c>
      <c r="BF103" s="54">
        <v>81.010000000000005</v>
      </c>
      <c r="BI103" s="75">
        <v>45897.625</v>
      </c>
      <c r="BJ103" s="54">
        <v>110.2</v>
      </c>
      <c r="CA103" s="129">
        <v>45904.625</v>
      </c>
      <c r="CB103" s="54">
        <v>107.4136</v>
      </c>
      <c r="CC103" s="129">
        <v>45904.625</v>
      </c>
      <c r="CD103" s="54">
        <v>49.465000000000003</v>
      </c>
      <c r="CO103" s="129">
        <v>45901.625</v>
      </c>
      <c r="CP103" s="54">
        <v>268.10199999999998</v>
      </c>
      <c r="CQ103" s="129">
        <v>45901.625</v>
      </c>
      <c r="CR103" s="54">
        <v>55.500999999999998</v>
      </c>
    </row>
    <row r="104" spans="21:96" x14ac:dyDescent="0.3">
      <c r="U104" s="75">
        <v>45902.625</v>
      </c>
      <c r="V104" s="54">
        <v>94.24</v>
      </c>
      <c r="W104" s="75">
        <v>45897.625</v>
      </c>
      <c r="X104" s="54">
        <v>101.092</v>
      </c>
      <c r="Y104" s="125">
        <v>45911.625</v>
      </c>
      <c r="Z104" s="54">
        <v>120.76</v>
      </c>
      <c r="BE104" s="75">
        <v>45898.625</v>
      </c>
      <c r="BF104" s="54">
        <v>80.86</v>
      </c>
      <c r="BI104" s="75">
        <v>45898.625</v>
      </c>
      <c r="BJ104" s="54">
        <v>109.83</v>
      </c>
      <c r="CA104" s="129">
        <v>45905.625</v>
      </c>
      <c r="CB104" s="54">
        <v>107.2762</v>
      </c>
      <c r="CC104" s="129">
        <v>45905.625</v>
      </c>
      <c r="CD104" s="54">
        <v>50.021000000000001</v>
      </c>
      <c r="CO104" s="129">
        <v>45902.625</v>
      </c>
      <c r="CP104" s="54">
        <v>274.209</v>
      </c>
      <c r="CQ104" s="129">
        <v>45902.625</v>
      </c>
      <c r="CR104" s="54">
        <v>56.918999999999997</v>
      </c>
    </row>
    <row r="105" spans="21:96" x14ac:dyDescent="0.3">
      <c r="U105" s="75">
        <v>45903.625</v>
      </c>
      <c r="V105" s="54">
        <v>94.38</v>
      </c>
      <c r="W105" s="75">
        <v>45898.625</v>
      </c>
      <c r="X105" s="54">
        <v>101.096</v>
      </c>
      <c r="Y105" s="125">
        <v>45912.625</v>
      </c>
      <c r="Z105" s="54">
        <v>120.63</v>
      </c>
      <c r="BE105" s="75">
        <v>45902.625</v>
      </c>
      <c r="BF105" s="54">
        <v>80.39</v>
      </c>
      <c r="BI105" s="75">
        <v>45902.625</v>
      </c>
      <c r="BJ105" s="54">
        <v>109.05</v>
      </c>
      <c r="CA105" s="129">
        <v>45908.625</v>
      </c>
      <c r="CB105" s="54">
        <v>107.2625</v>
      </c>
      <c r="CC105" s="129">
        <v>45908.625</v>
      </c>
      <c r="CD105" s="54">
        <v>49.890999999999998</v>
      </c>
      <c r="CO105" s="129">
        <v>45903.625</v>
      </c>
      <c r="CP105" s="54">
        <v>267.14</v>
      </c>
      <c r="CQ105" s="129">
        <v>45903.625</v>
      </c>
      <c r="CR105" s="54">
        <v>55.265000000000001</v>
      </c>
    </row>
    <row r="106" spans="21:96" x14ac:dyDescent="0.3">
      <c r="U106" s="75">
        <v>45904.625</v>
      </c>
      <c r="V106" s="54">
        <v>94.54</v>
      </c>
      <c r="W106" s="75">
        <v>45901.625</v>
      </c>
      <c r="X106" s="54">
        <v>101.01900000000001</v>
      </c>
      <c r="Y106" s="125">
        <v>45915.625</v>
      </c>
      <c r="Z106" s="54">
        <v>120.7</v>
      </c>
      <c r="BE106" s="75">
        <v>45903.625</v>
      </c>
      <c r="BF106" s="54">
        <v>80.61</v>
      </c>
      <c r="BI106" s="75">
        <v>45903.625</v>
      </c>
      <c r="BJ106" s="54">
        <v>109.7</v>
      </c>
      <c r="CA106" s="129">
        <v>45909.625</v>
      </c>
      <c r="CB106" s="54">
        <v>107.24930000000001</v>
      </c>
      <c r="CC106" s="129">
        <v>45909.625</v>
      </c>
      <c r="CD106" s="54">
        <v>49.667000000000002</v>
      </c>
      <c r="CO106" s="129">
        <v>45904.625</v>
      </c>
      <c r="CP106" s="54">
        <v>264.74099999999999</v>
      </c>
      <c r="CQ106" s="129">
        <v>45904.625</v>
      </c>
      <c r="CR106" s="54">
        <v>54.372999999999998</v>
      </c>
    </row>
    <row r="107" spans="21:96" x14ac:dyDescent="0.3">
      <c r="U107" s="75">
        <v>45905.625</v>
      </c>
      <c r="V107" s="54">
        <v>94.64</v>
      </c>
      <c r="W107" s="75">
        <v>45902.625</v>
      </c>
      <c r="X107" s="54">
        <v>100.976</v>
      </c>
      <c r="Y107" s="125">
        <v>45916.625</v>
      </c>
      <c r="Z107" s="54">
        <v>120.66</v>
      </c>
      <c r="BE107" s="75">
        <v>45904.625</v>
      </c>
      <c r="BF107" s="54">
        <v>80.819999999999993</v>
      </c>
      <c r="BI107" s="75">
        <v>45904.625</v>
      </c>
      <c r="BJ107" s="54">
        <v>110.45</v>
      </c>
      <c r="CA107" s="129">
        <v>45910.625</v>
      </c>
      <c r="CB107" s="54">
        <v>107.3793</v>
      </c>
      <c r="CC107" s="129">
        <v>45910.625</v>
      </c>
      <c r="CD107" s="54">
        <v>49.031999999999996</v>
      </c>
      <c r="CO107" s="129">
        <v>45905.625</v>
      </c>
      <c r="CP107" s="54">
        <v>263.56599999999997</v>
      </c>
      <c r="CQ107" s="129">
        <v>45905.625</v>
      </c>
      <c r="CR107" s="54">
        <v>54.095999999999997</v>
      </c>
    </row>
    <row r="108" spans="21:96" x14ac:dyDescent="0.3">
      <c r="U108" s="75">
        <v>45908.625</v>
      </c>
      <c r="V108" s="54">
        <v>94.65</v>
      </c>
      <c r="W108" s="75">
        <v>45903.625</v>
      </c>
      <c r="X108" s="54">
        <v>101.038</v>
      </c>
      <c r="Y108" s="125">
        <v>45917.625</v>
      </c>
      <c r="Z108" s="54">
        <v>120.67</v>
      </c>
      <c r="BE108" s="75">
        <v>45905.625</v>
      </c>
      <c r="BF108" s="54">
        <v>80.87</v>
      </c>
      <c r="BI108" s="75">
        <v>45905.625</v>
      </c>
      <c r="BJ108" s="54">
        <v>111.17</v>
      </c>
      <c r="CA108" s="129">
        <v>45911.625</v>
      </c>
      <c r="CB108" s="54">
        <v>107.7234</v>
      </c>
      <c r="CC108" s="129">
        <v>45911.625</v>
      </c>
      <c r="CD108" s="54">
        <v>47.65</v>
      </c>
      <c r="CO108" s="129">
        <v>45908.625</v>
      </c>
      <c r="CP108" s="54">
        <v>261.50299999999999</v>
      </c>
      <c r="CQ108" s="129">
        <v>45908.625</v>
      </c>
      <c r="CR108" s="54">
        <v>53.42</v>
      </c>
    </row>
    <row r="109" spans="21:96" x14ac:dyDescent="0.3">
      <c r="U109" s="75">
        <v>45909.625</v>
      </c>
      <c r="V109" s="54">
        <v>94.54</v>
      </c>
      <c r="W109" s="75">
        <v>45904.625</v>
      </c>
      <c r="X109" s="54">
        <v>101.06399999999999</v>
      </c>
      <c r="Y109" s="125">
        <v>45918.625</v>
      </c>
      <c r="Z109" s="54">
        <v>120.7</v>
      </c>
      <c r="BE109" s="75">
        <v>45908.625</v>
      </c>
      <c r="BF109" s="54">
        <v>80.87</v>
      </c>
      <c r="BI109" s="75">
        <v>45908.625</v>
      </c>
      <c r="BJ109" s="54">
        <v>111.56</v>
      </c>
      <c r="CA109" s="129">
        <v>45912.625</v>
      </c>
      <c r="CB109" s="54">
        <v>107.64149999999999</v>
      </c>
      <c r="CC109" s="129">
        <v>45912.625</v>
      </c>
      <c r="CD109" s="54">
        <v>47.94</v>
      </c>
      <c r="CO109" s="129">
        <v>45909.625</v>
      </c>
      <c r="CP109" s="54">
        <v>261.88799999999998</v>
      </c>
      <c r="CQ109" s="129">
        <v>45909.625</v>
      </c>
      <c r="CR109" s="54">
        <v>53.2</v>
      </c>
    </row>
    <row r="110" spans="21:96" x14ac:dyDescent="0.3">
      <c r="U110" s="75">
        <v>45910.625</v>
      </c>
      <c r="V110" s="54">
        <v>94.53</v>
      </c>
      <c r="W110" s="75">
        <v>45905.625</v>
      </c>
      <c r="X110" s="54">
        <v>101.19</v>
      </c>
      <c r="Y110" s="125">
        <v>45919.625</v>
      </c>
      <c r="Z110" s="54">
        <v>120.71</v>
      </c>
      <c r="BE110" s="75">
        <v>45909.625</v>
      </c>
      <c r="BF110" s="54">
        <v>80.78</v>
      </c>
      <c r="BI110" s="75">
        <v>45909.625</v>
      </c>
      <c r="BJ110" s="54">
        <v>111.36</v>
      </c>
      <c r="CA110" s="129">
        <v>45915.625</v>
      </c>
      <c r="CB110" s="54">
        <v>107.8558</v>
      </c>
      <c r="CC110" s="129">
        <v>45915.625</v>
      </c>
      <c r="CD110" s="54">
        <v>47.017000000000003</v>
      </c>
      <c r="CO110" s="129">
        <v>45910.625</v>
      </c>
      <c r="CP110" s="54">
        <v>258.988</v>
      </c>
      <c r="CQ110" s="129">
        <v>45910.625</v>
      </c>
      <c r="CR110" s="54">
        <v>52.481000000000002</v>
      </c>
    </row>
    <row r="111" spans="21:96" x14ac:dyDescent="0.3">
      <c r="U111" s="75">
        <v>45911.625</v>
      </c>
      <c r="V111" s="54">
        <v>92.29</v>
      </c>
      <c r="W111" s="75">
        <v>45908.625</v>
      </c>
      <c r="X111" s="54">
        <v>101.23099999999999</v>
      </c>
      <c r="Y111" s="125">
        <v>45922.625</v>
      </c>
      <c r="Z111" s="54">
        <v>120.61</v>
      </c>
      <c r="BE111" s="75">
        <v>45910.625</v>
      </c>
      <c r="BF111" s="54">
        <v>80.84</v>
      </c>
      <c r="BI111" s="75">
        <v>45910.625</v>
      </c>
      <c r="BJ111" s="54">
        <v>111.69</v>
      </c>
      <c r="CA111" s="129">
        <v>45916.625</v>
      </c>
      <c r="CB111" s="54">
        <v>107.8259</v>
      </c>
      <c r="CC111" s="129">
        <v>45916.625</v>
      </c>
      <c r="CD111" s="54">
        <v>47.42</v>
      </c>
      <c r="CO111" s="129">
        <v>45911.625</v>
      </c>
      <c r="CP111" s="54">
        <v>253.00800000000001</v>
      </c>
      <c r="CQ111" s="129">
        <v>45911.625</v>
      </c>
      <c r="CR111" s="54">
        <v>51.143000000000001</v>
      </c>
    </row>
    <row r="112" spans="21:96" x14ac:dyDescent="0.3">
      <c r="U112" s="75">
        <v>45912.625</v>
      </c>
      <c r="V112" s="54">
        <v>92.46</v>
      </c>
      <c r="W112" s="75">
        <v>45909.625</v>
      </c>
      <c r="X112" s="54">
        <v>101.163</v>
      </c>
      <c r="Y112" s="125">
        <v>45923.625</v>
      </c>
      <c r="Z112" s="54">
        <v>120.6</v>
      </c>
      <c r="BE112" s="75">
        <v>45911.625</v>
      </c>
      <c r="BF112" s="54">
        <v>81.040000000000006</v>
      </c>
      <c r="BI112" s="75">
        <v>45911.625</v>
      </c>
      <c r="BJ112" s="54">
        <v>112.21</v>
      </c>
      <c r="CA112" s="129">
        <v>45917.625</v>
      </c>
      <c r="CB112" s="54">
        <v>107.72799999999999</v>
      </c>
      <c r="CC112" s="129">
        <v>45917.625</v>
      </c>
      <c r="CD112" s="54">
        <v>47.936999999999998</v>
      </c>
      <c r="CO112" s="129">
        <v>45912.625</v>
      </c>
      <c r="CP112" s="54">
        <v>252.27</v>
      </c>
      <c r="CQ112" s="129">
        <v>45912.625</v>
      </c>
      <c r="CR112" s="54">
        <v>50.945999999999998</v>
      </c>
    </row>
    <row r="113" spans="21:96" x14ac:dyDescent="0.3">
      <c r="U113" s="75">
        <v>45915.625</v>
      </c>
      <c r="V113" s="54">
        <v>92.46</v>
      </c>
      <c r="W113" s="75">
        <v>45910.625</v>
      </c>
      <c r="X113" s="54">
        <v>101.126</v>
      </c>
      <c r="Y113" s="125">
        <v>45924.625</v>
      </c>
      <c r="Z113" s="54">
        <v>120.67</v>
      </c>
      <c r="BE113" s="75">
        <v>45912.625</v>
      </c>
      <c r="BF113" s="54">
        <v>80.959999999999994</v>
      </c>
      <c r="BI113" s="75">
        <v>45912.625</v>
      </c>
      <c r="BJ113" s="54">
        <v>112.01</v>
      </c>
      <c r="CA113" s="129">
        <v>45918.625</v>
      </c>
      <c r="CB113" s="54">
        <v>107.9539</v>
      </c>
      <c r="CC113" s="129">
        <v>45918.625</v>
      </c>
      <c r="CD113" s="54">
        <v>46.959000000000003</v>
      </c>
      <c r="CO113" s="129">
        <v>45915.625</v>
      </c>
      <c r="CP113" s="54">
        <v>247.80699999999999</v>
      </c>
      <c r="CQ113" s="129">
        <v>45915.625</v>
      </c>
      <c r="CR113" s="54">
        <v>50.042000000000002</v>
      </c>
    </row>
    <row r="114" spans="21:96" x14ac:dyDescent="0.3">
      <c r="U114" s="75">
        <v>45916.625</v>
      </c>
      <c r="V114" s="54">
        <v>92.35</v>
      </c>
      <c r="W114" s="75">
        <v>45911.625</v>
      </c>
      <c r="X114" s="54">
        <v>101.012</v>
      </c>
      <c r="Y114" s="125">
        <v>45925.625</v>
      </c>
      <c r="Z114" s="54">
        <v>120.43</v>
      </c>
      <c r="BE114" s="75">
        <v>45915.625</v>
      </c>
      <c r="BF114" s="54">
        <v>81.19</v>
      </c>
      <c r="BI114" s="75">
        <v>45915.625</v>
      </c>
      <c r="BJ114" s="54">
        <v>112.36</v>
      </c>
      <c r="CA114" s="129">
        <v>45919.625</v>
      </c>
      <c r="CB114" s="54">
        <v>107.8977</v>
      </c>
      <c r="CC114" s="129">
        <v>45919.625</v>
      </c>
      <c r="CD114" s="54">
        <v>47.231000000000002</v>
      </c>
      <c r="CO114" s="129">
        <v>45916.625</v>
      </c>
      <c r="CP114" s="54">
        <v>251.81700000000001</v>
      </c>
      <c r="CQ114" s="129">
        <v>45916.625</v>
      </c>
      <c r="CR114" s="54">
        <v>50.780999999999999</v>
      </c>
    </row>
    <row r="115" spans="21:96" x14ac:dyDescent="0.3">
      <c r="U115" s="75">
        <v>45917.625</v>
      </c>
      <c r="V115" s="54">
        <v>92.39</v>
      </c>
      <c r="W115" s="75">
        <v>45912.625</v>
      </c>
      <c r="X115" s="54">
        <v>100.934</v>
      </c>
      <c r="Y115" s="125">
        <v>45929.625</v>
      </c>
      <c r="Z115" s="54">
        <v>120.76</v>
      </c>
      <c r="BE115" s="75">
        <v>45916.625</v>
      </c>
      <c r="BF115" s="54">
        <v>81.13</v>
      </c>
      <c r="BI115" s="75">
        <v>45916.625</v>
      </c>
      <c r="BJ115" s="54">
        <v>112.26</v>
      </c>
      <c r="CA115" s="129">
        <v>45922.625</v>
      </c>
      <c r="CB115" s="54">
        <v>107.9379</v>
      </c>
      <c r="CC115" s="129">
        <v>45922.625</v>
      </c>
      <c r="CD115" s="54">
        <v>47.365000000000002</v>
      </c>
      <c r="CO115" s="129">
        <v>45917.625</v>
      </c>
      <c r="CP115" s="54">
        <v>251.23599999999999</v>
      </c>
      <c r="CQ115" s="129">
        <v>45917.625</v>
      </c>
      <c r="CR115" s="54">
        <v>50.738</v>
      </c>
    </row>
    <row r="116" spans="21:96" x14ac:dyDescent="0.3">
      <c r="U116" s="75">
        <v>45918.625</v>
      </c>
      <c r="V116" s="54">
        <v>92.67</v>
      </c>
      <c r="W116" s="75">
        <v>45915.625</v>
      </c>
      <c r="X116" s="54">
        <v>100.944</v>
      </c>
      <c r="Y116" s="125">
        <v>45930.625</v>
      </c>
      <c r="Z116" s="54">
        <v>120.78</v>
      </c>
      <c r="BE116" s="75">
        <v>45917.625</v>
      </c>
      <c r="BF116" s="54">
        <v>81.05</v>
      </c>
      <c r="BI116" s="75">
        <v>45917.625</v>
      </c>
      <c r="BJ116" s="54">
        <v>112.06</v>
      </c>
      <c r="CA116" s="129">
        <v>45923.625</v>
      </c>
      <c r="CB116" s="54">
        <v>107.82299999999999</v>
      </c>
      <c r="CC116" s="129">
        <v>45923.625</v>
      </c>
      <c r="CD116" s="54">
        <v>47.701000000000001</v>
      </c>
      <c r="CO116" s="129">
        <v>45918.625</v>
      </c>
      <c r="CP116" s="54">
        <v>247.51499999999999</v>
      </c>
      <c r="CQ116" s="129">
        <v>45918.625</v>
      </c>
      <c r="CR116" s="54">
        <v>50.093000000000004</v>
      </c>
    </row>
    <row r="117" spans="21:96" x14ac:dyDescent="0.3">
      <c r="U117" s="75">
        <v>45919.625</v>
      </c>
      <c r="V117" s="54">
        <v>92.67</v>
      </c>
      <c r="W117" s="75">
        <v>45916.625</v>
      </c>
      <c r="X117" s="54">
        <v>100.953</v>
      </c>
      <c r="Y117" s="125">
        <v>45931.625</v>
      </c>
      <c r="Z117" s="54">
        <v>120.85</v>
      </c>
      <c r="BE117" s="75">
        <v>45918.625</v>
      </c>
      <c r="BF117" s="54">
        <v>81.23</v>
      </c>
      <c r="BI117" s="75">
        <v>45918.625</v>
      </c>
      <c r="BJ117" s="54">
        <v>111.83</v>
      </c>
      <c r="CA117" s="129">
        <v>45924.625</v>
      </c>
      <c r="CB117" s="54">
        <v>107.7465</v>
      </c>
      <c r="CC117" s="129">
        <v>45924.625</v>
      </c>
      <c r="CD117" s="54">
        <v>48.238999999999997</v>
      </c>
      <c r="CO117" s="129">
        <v>45919.625</v>
      </c>
      <c r="CP117" s="54">
        <v>248.51300000000001</v>
      </c>
      <c r="CQ117" s="129">
        <v>45919.625</v>
      </c>
      <c r="CR117" s="54">
        <v>50.19</v>
      </c>
    </row>
    <row r="118" spans="21:96" x14ac:dyDescent="0.3">
      <c r="U118" s="75">
        <v>45922.625</v>
      </c>
      <c r="V118" s="54">
        <v>92.52</v>
      </c>
      <c r="W118" s="75">
        <v>45917.625</v>
      </c>
      <c r="X118" s="54">
        <v>100.971</v>
      </c>
      <c r="Y118" s="125">
        <v>45932.625</v>
      </c>
      <c r="Z118" s="54">
        <v>120.92</v>
      </c>
      <c r="BE118" s="75">
        <v>45919.625</v>
      </c>
      <c r="BF118" s="54">
        <v>81.260000000000005</v>
      </c>
      <c r="BI118" s="75">
        <v>45919.625</v>
      </c>
      <c r="BJ118" s="54">
        <v>111.74</v>
      </c>
      <c r="CA118" s="129">
        <v>45925.625</v>
      </c>
      <c r="CB118" s="54">
        <v>107.6015</v>
      </c>
      <c r="CC118" s="129">
        <v>45925.625</v>
      </c>
      <c r="CD118" s="54">
        <v>48.945</v>
      </c>
      <c r="CO118" s="129">
        <v>45922.625</v>
      </c>
      <c r="CP118" s="54">
        <v>247.34700000000001</v>
      </c>
      <c r="CQ118" s="129">
        <v>45922.625</v>
      </c>
      <c r="CR118" s="54">
        <v>50.252000000000002</v>
      </c>
    </row>
    <row r="119" spans="21:96" x14ac:dyDescent="0.3">
      <c r="U119" s="75">
        <v>45923.625</v>
      </c>
      <c r="V119" s="54">
        <v>92.67</v>
      </c>
      <c r="W119" s="75">
        <v>45918.625</v>
      </c>
      <c r="X119" s="54">
        <v>100.956</v>
      </c>
      <c r="Y119" s="125">
        <v>45933.625</v>
      </c>
      <c r="Z119" s="54">
        <v>120.97</v>
      </c>
      <c r="BE119" s="75">
        <v>45922.625</v>
      </c>
      <c r="BF119" s="54">
        <v>81.319999999999993</v>
      </c>
      <c r="BI119" s="75">
        <v>45922.625</v>
      </c>
      <c r="BJ119" s="54">
        <v>111.48</v>
      </c>
      <c r="CA119" s="129">
        <v>45926.625</v>
      </c>
      <c r="CB119" s="54">
        <v>107.7762</v>
      </c>
      <c r="CC119" s="129">
        <v>45926.625</v>
      </c>
      <c r="CD119" s="54">
        <v>48.259</v>
      </c>
      <c r="CO119" s="129">
        <v>45923.625</v>
      </c>
      <c r="CP119" s="54">
        <v>242.93100000000001</v>
      </c>
      <c r="CQ119" s="129">
        <v>45923.625</v>
      </c>
      <c r="CR119" s="54">
        <v>49.594999999999999</v>
      </c>
    </row>
    <row r="120" spans="21:96" x14ac:dyDescent="0.3">
      <c r="U120" s="75">
        <v>45924.625</v>
      </c>
      <c r="V120" s="54">
        <v>92.59</v>
      </c>
      <c r="W120" s="75">
        <v>45919.625</v>
      </c>
      <c r="X120" s="54">
        <v>100.904</v>
      </c>
      <c r="Y120" s="125">
        <v>45936.625</v>
      </c>
      <c r="Z120" s="54">
        <v>120.96</v>
      </c>
      <c r="BE120" s="75">
        <v>45923.625</v>
      </c>
      <c r="BF120" s="54">
        <v>81.260000000000005</v>
      </c>
      <c r="BI120" s="75">
        <v>45923.625</v>
      </c>
      <c r="BJ120" s="54">
        <v>111.71</v>
      </c>
      <c r="CA120" s="129">
        <v>45929.625</v>
      </c>
      <c r="CB120" s="54">
        <v>107.9713</v>
      </c>
      <c r="CC120" s="129">
        <v>45929.625</v>
      </c>
      <c r="CD120" s="54">
        <v>47.534999999999997</v>
      </c>
      <c r="CO120" s="129">
        <v>45924.625</v>
      </c>
      <c r="CP120" s="54">
        <v>243.08600000000001</v>
      </c>
      <c r="CQ120" s="129">
        <v>45924.625</v>
      </c>
      <c r="CR120" s="54">
        <v>49.652999999999999</v>
      </c>
    </row>
    <row r="121" spans="21:96" x14ac:dyDescent="0.3">
      <c r="U121" s="75">
        <v>45925.625</v>
      </c>
      <c r="V121" s="54">
        <v>92.45</v>
      </c>
      <c r="W121" s="75">
        <v>45922.625</v>
      </c>
      <c r="X121" s="54">
        <v>100.913</v>
      </c>
      <c r="Y121" s="125">
        <v>45937.625</v>
      </c>
      <c r="Z121" s="54">
        <v>120.93</v>
      </c>
      <c r="BE121" s="75">
        <v>45924.625</v>
      </c>
      <c r="BF121" s="54">
        <v>81.150000000000006</v>
      </c>
      <c r="BI121" s="75">
        <v>45924.625</v>
      </c>
      <c r="BJ121" s="54">
        <v>111.26</v>
      </c>
      <c r="CA121" s="129">
        <v>45930.625</v>
      </c>
      <c r="CB121" s="54">
        <v>107.99469999999999</v>
      </c>
      <c r="CC121" s="129">
        <v>45930.625</v>
      </c>
      <c r="CD121" s="54">
        <v>47.451999999999998</v>
      </c>
      <c r="CO121" s="129">
        <v>45925.625</v>
      </c>
      <c r="CP121" s="54">
        <v>247.20099999999999</v>
      </c>
      <c r="CQ121" s="129">
        <v>45925.625</v>
      </c>
      <c r="CR121" s="54">
        <v>50.735999999999997</v>
      </c>
    </row>
    <row r="122" spans="21:96" x14ac:dyDescent="0.3">
      <c r="U122" s="75">
        <v>45926.625</v>
      </c>
      <c r="V122" s="54">
        <v>92.46</v>
      </c>
      <c r="W122" s="75">
        <v>45923.625</v>
      </c>
      <c r="X122" s="54">
        <v>100.883</v>
      </c>
      <c r="Y122" s="125">
        <v>45938.625</v>
      </c>
      <c r="Z122" s="54">
        <v>121.12</v>
      </c>
      <c r="BE122" s="75">
        <v>45925.625</v>
      </c>
      <c r="BF122" s="54">
        <v>80.92</v>
      </c>
      <c r="BI122" s="75">
        <v>45925.625</v>
      </c>
      <c r="BJ122" s="54">
        <v>111.06</v>
      </c>
      <c r="CA122" s="129">
        <v>45931.625</v>
      </c>
      <c r="CB122" s="54">
        <v>107.9406</v>
      </c>
      <c r="CC122" s="129">
        <v>45931.625</v>
      </c>
      <c r="CD122" s="54">
        <v>47.582000000000001</v>
      </c>
      <c r="CO122" s="129">
        <v>45926.625</v>
      </c>
      <c r="CP122" s="54">
        <v>244.453</v>
      </c>
      <c r="CQ122" s="129">
        <v>45926.625</v>
      </c>
      <c r="CR122" s="54">
        <v>50.292000000000002</v>
      </c>
    </row>
    <row r="123" spans="21:96" x14ac:dyDescent="0.3">
      <c r="U123" s="75">
        <v>45929.625</v>
      </c>
      <c r="V123" s="54">
        <v>92.5</v>
      </c>
      <c r="W123" s="75">
        <v>45924.625</v>
      </c>
      <c r="X123" s="54">
        <v>100.893</v>
      </c>
      <c r="Y123" s="125">
        <v>45939.625</v>
      </c>
      <c r="Z123" s="54">
        <v>120.99</v>
      </c>
      <c r="BE123" s="75">
        <v>45926.625</v>
      </c>
      <c r="BF123" s="54">
        <v>81.08</v>
      </c>
      <c r="BI123" s="75">
        <v>45926.625</v>
      </c>
      <c r="BJ123" s="54">
        <v>111.21</v>
      </c>
      <c r="CA123" s="129">
        <v>45932.625</v>
      </c>
      <c r="CB123" s="54">
        <v>107.9785</v>
      </c>
      <c r="CC123" s="129">
        <v>45932.625</v>
      </c>
      <c r="CD123" s="54">
        <v>47.204999999999998</v>
      </c>
      <c r="CO123" s="129">
        <v>45929.625</v>
      </c>
      <c r="CP123" s="54">
        <v>241.69499999999999</v>
      </c>
      <c r="CQ123" s="129">
        <v>45929.625</v>
      </c>
      <c r="CR123" s="54">
        <v>49.634</v>
      </c>
    </row>
    <row r="124" spans="21:96" x14ac:dyDescent="0.3">
      <c r="U124" s="75">
        <v>45930.625</v>
      </c>
      <c r="V124" s="54">
        <v>92.47</v>
      </c>
      <c r="W124" s="75">
        <v>45925.625</v>
      </c>
      <c r="X124" s="54">
        <v>100.822</v>
      </c>
      <c r="Y124" s="125">
        <v>45940.625</v>
      </c>
      <c r="Z124" s="54">
        <v>121</v>
      </c>
      <c r="BE124" s="75">
        <v>45929.625</v>
      </c>
      <c r="BF124" s="54">
        <v>81.22</v>
      </c>
      <c r="BI124" s="75">
        <v>45929.625</v>
      </c>
      <c r="BJ124" s="54">
        <v>111.58</v>
      </c>
      <c r="CA124" s="129">
        <v>45933.625</v>
      </c>
      <c r="CB124" s="54">
        <v>107.9615</v>
      </c>
      <c r="CC124" s="129">
        <v>45933.625</v>
      </c>
      <c r="CD124" s="54">
        <v>47.156999999999996</v>
      </c>
      <c r="CO124" s="129">
        <v>45930.625</v>
      </c>
      <c r="CP124" s="54">
        <v>240.52799999999999</v>
      </c>
      <c r="CQ124" s="129">
        <v>45930.625</v>
      </c>
      <c r="CR124" s="54">
        <v>49.851999999999997</v>
      </c>
    </row>
    <row r="125" spans="21:96" x14ac:dyDescent="0.3">
      <c r="U125" s="75">
        <v>45931.625</v>
      </c>
      <c r="V125" s="54">
        <v>92.57</v>
      </c>
      <c r="W125" s="75">
        <v>45926.625</v>
      </c>
      <c r="X125" s="54">
        <v>100.866</v>
      </c>
      <c r="Y125" s="125">
        <v>45943.625</v>
      </c>
      <c r="Z125" s="54">
        <v>121.1</v>
      </c>
      <c r="BE125" s="75">
        <v>45930.625</v>
      </c>
      <c r="BF125" s="54">
        <v>81.19</v>
      </c>
      <c r="BI125" s="75">
        <v>45930.625</v>
      </c>
      <c r="BJ125" s="54">
        <v>111.47</v>
      </c>
      <c r="CA125" s="129">
        <v>45936.625</v>
      </c>
      <c r="CB125" s="54">
        <v>108.1194</v>
      </c>
      <c r="CC125" s="129">
        <v>45936.625</v>
      </c>
      <c r="CD125" s="54">
        <v>46.581000000000003</v>
      </c>
      <c r="CO125" s="129">
        <v>45931.625</v>
      </c>
      <c r="CP125" s="54">
        <v>239.28700000000001</v>
      </c>
      <c r="CQ125" s="129">
        <v>45931.625</v>
      </c>
      <c r="CR125" s="54">
        <v>49.369</v>
      </c>
    </row>
    <row r="126" spans="21:96" x14ac:dyDescent="0.3">
      <c r="U126" s="75">
        <v>45932.625</v>
      </c>
      <c r="V126" s="54">
        <v>92.64</v>
      </c>
      <c r="W126" s="75">
        <v>45929.625</v>
      </c>
      <c r="X126" s="54">
        <v>100.89</v>
      </c>
      <c r="Y126" s="125">
        <v>45944.625</v>
      </c>
      <c r="Z126" s="54">
        <v>121.2</v>
      </c>
      <c r="BE126" s="75">
        <v>45931.625</v>
      </c>
      <c r="BF126" s="54">
        <v>80.959999999999994</v>
      </c>
      <c r="BI126" s="75">
        <v>45931.625</v>
      </c>
      <c r="BJ126" s="54">
        <v>111.51</v>
      </c>
      <c r="CA126" s="129">
        <v>45937.625</v>
      </c>
      <c r="CB126" s="54">
        <v>108.0094</v>
      </c>
      <c r="CC126" s="129">
        <v>45937.625</v>
      </c>
      <c r="CD126" s="54">
        <v>47.156999999999996</v>
      </c>
      <c r="CO126" s="129">
        <v>45932.625</v>
      </c>
      <c r="CP126" s="54">
        <v>236.33199999999999</v>
      </c>
      <c r="CQ126" s="129">
        <v>45932.625</v>
      </c>
      <c r="CR126" s="54">
        <v>48.860999999999997</v>
      </c>
    </row>
    <row r="127" spans="21:96" x14ac:dyDescent="0.3">
      <c r="U127" s="75">
        <v>45933.625</v>
      </c>
      <c r="V127" s="54">
        <v>92.6</v>
      </c>
      <c r="W127" s="75">
        <v>45930.625</v>
      </c>
      <c r="X127" s="54">
        <v>100.89400000000001</v>
      </c>
      <c r="Y127" s="125">
        <v>45945.625</v>
      </c>
      <c r="Z127" s="54">
        <v>121.62</v>
      </c>
      <c r="BE127" s="75">
        <v>45932.625</v>
      </c>
      <c r="BF127" s="54">
        <v>80.930000000000007</v>
      </c>
      <c r="BI127" s="75">
        <v>45932.625</v>
      </c>
      <c r="BJ127" s="54">
        <v>111.69</v>
      </c>
      <c r="CA127" s="129">
        <v>45938.625</v>
      </c>
      <c r="CB127" s="54">
        <v>107.92919999999999</v>
      </c>
      <c r="CC127" s="129">
        <v>45938.625</v>
      </c>
      <c r="CD127" s="54">
        <v>47.487000000000002</v>
      </c>
      <c r="CO127" s="129">
        <v>45933.625</v>
      </c>
      <c r="CP127" s="54">
        <v>235.94200000000001</v>
      </c>
      <c r="CQ127" s="129">
        <v>45933.625</v>
      </c>
      <c r="CR127" s="54">
        <v>48.695999999999998</v>
      </c>
    </row>
    <row r="128" spans="21:96" x14ac:dyDescent="0.3">
      <c r="U128" s="75">
        <v>45936.625</v>
      </c>
      <c r="V128" s="54">
        <v>92.49</v>
      </c>
      <c r="W128" s="75">
        <v>45931.625</v>
      </c>
      <c r="X128" s="54">
        <v>100.92</v>
      </c>
      <c r="Y128" s="125">
        <v>45946.625</v>
      </c>
      <c r="Z128" s="54">
        <v>121.6</v>
      </c>
      <c r="BE128" s="75">
        <v>45933.625</v>
      </c>
      <c r="BF128" s="54">
        <v>80.84</v>
      </c>
      <c r="BI128" s="75">
        <v>45933.625</v>
      </c>
      <c r="BJ128" s="54">
        <v>111.55</v>
      </c>
      <c r="CA128" s="129">
        <v>45939.625</v>
      </c>
      <c r="CB128" s="54">
        <v>107.73399999999999</v>
      </c>
      <c r="CC128" s="129">
        <v>45939.625</v>
      </c>
      <c r="CD128" s="54">
        <v>48.017000000000003</v>
      </c>
      <c r="CO128" s="129">
        <v>45936.625</v>
      </c>
      <c r="CP128" s="54">
        <v>239.226</v>
      </c>
      <c r="CQ128" s="129">
        <v>45936.625</v>
      </c>
      <c r="CR128" s="54">
        <v>49.597000000000001</v>
      </c>
    </row>
    <row r="129" spans="21:96" x14ac:dyDescent="0.3">
      <c r="U129" s="75">
        <v>45937.625</v>
      </c>
      <c r="V129" s="54">
        <v>92.19</v>
      </c>
      <c r="W129" s="75">
        <v>45932.625</v>
      </c>
      <c r="X129" s="54">
        <v>100.905</v>
      </c>
      <c r="Y129" s="125">
        <v>45947.625</v>
      </c>
      <c r="Z129" s="54">
        <v>121.51</v>
      </c>
      <c r="BE129" s="75">
        <v>45936.625</v>
      </c>
      <c r="BF129" s="54">
        <v>80.86</v>
      </c>
      <c r="BI129" s="75">
        <v>45936.625</v>
      </c>
      <c r="BJ129" s="54">
        <v>111.19</v>
      </c>
      <c r="CA129" s="129">
        <v>45940.625</v>
      </c>
      <c r="CB129" s="54">
        <v>107.01220000000001</v>
      </c>
      <c r="CC129" s="129">
        <v>45940.625</v>
      </c>
      <c r="CD129" s="54">
        <v>51.024000000000001</v>
      </c>
      <c r="CO129" s="129">
        <v>45937.625</v>
      </c>
      <c r="CP129" s="54">
        <v>242.00200000000001</v>
      </c>
      <c r="CQ129" s="129">
        <v>45937.625</v>
      </c>
      <c r="CR129" s="54">
        <v>49.996000000000002</v>
      </c>
    </row>
    <row r="130" spans="21:96" x14ac:dyDescent="0.3">
      <c r="U130" s="75">
        <v>45938.625</v>
      </c>
      <c r="V130" s="54">
        <v>92.12</v>
      </c>
      <c r="W130" s="75">
        <v>45933.625</v>
      </c>
      <c r="X130" s="54">
        <v>100.893</v>
      </c>
      <c r="BE130" s="75">
        <v>45937.625</v>
      </c>
      <c r="BF130" s="54">
        <v>80.77</v>
      </c>
      <c r="BI130" s="75">
        <v>45937.625</v>
      </c>
      <c r="BJ130" s="54">
        <v>111.4</v>
      </c>
      <c r="CA130" s="129">
        <v>45944.625</v>
      </c>
      <c r="CB130" s="54">
        <v>107.4841</v>
      </c>
      <c r="CC130" s="129">
        <v>45944.625</v>
      </c>
      <c r="CD130" s="54">
        <v>48.805</v>
      </c>
      <c r="CO130" s="129">
        <v>45938.625</v>
      </c>
      <c r="CP130" s="54">
        <v>244.23400000000001</v>
      </c>
      <c r="CQ130" s="129">
        <v>45938.625</v>
      </c>
      <c r="CR130" s="54">
        <v>50.073</v>
      </c>
    </row>
    <row r="131" spans="21:96" x14ac:dyDescent="0.3">
      <c r="U131" s="75">
        <v>45939.625</v>
      </c>
      <c r="V131" s="54">
        <v>92</v>
      </c>
      <c r="W131" s="75">
        <v>45936.625</v>
      </c>
      <c r="X131" s="54">
        <v>100.928</v>
      </c>
      <c r="BE131" s="75">
        <v>45938.625</v>
      </c>
      <c r="BF131" s="54">
        <v>80.650000000000006</v>
      </c>
      <c r="BI131" s="75">
        <v>45938.625</v>
      </c>
      <c r="BJ131" s="54">
        <v>111.26</v>
      </c>
      <c r="CA131" s="129">
        <v>45945.625</v>
      </c>
      <c r="CB131" s="54">
        <v>107.62390000000001</v>
      </c>
      <c r="CC131" s="129">
        <v>45945.625</v>
      </c>
      <c r="CD131" s="54">
        <v>48.523000000000003</v>
      </c>
      <c r="CO131" s="129">
        <v>45939.625</v>
      </c>
      <c r="CP131" s="54">
        <v>249.739</v>
      </c>
      <c r="CQ131" s="129">
        <v>45939.625</v>
      </c>
      <c r="CR131" s="54">
        <v>50.813000000000002</v>
      </c>
    </row>
    <row r="132" spans="21:96" x14ac:dyDescent="0.3">
      <c r="U132" s="75">
        <v>45940.625</v>
      </c>
      <c r="V132" s="54">
        <v>91.78</v>
      </c>
      <c r="W132" s="75">
        <v>45937.625</v>
      </c>
      <c r="X132" s="54">
        <v>100.908</v>
      </c>
      <c r="BE132" s="75">
        <v>45939.625</v>
      </c>
      <c r="BF132" s="54">
        <v>80.42</v>
      </c>
      <c r="BI132" s="75">
        <v>45939.625</v>
      </c>
      <c r="BJ132" s="54">
        <v>111.04</v>
      </c>
      <c r="CA132" s="129">
        <v>45946.625</v>
      </c>
      <c r="CB132" s="54">
        <v>107.2029</v>
      </c>
      <c r="CC132" s="129">
        <v>45946.625</v>
      </c>
      <c r="CD132" s="54">
        <v>50.155999999999999</v>
      </c>
      <c r="CO132" s="129">
        <v>45940.625</v>
      </c>
      <c r="CP132" s="54">
        <v>260.29199999999997</v>
      </c>
      <c r="CQ132" s="129">
        <v>45940.625</v>
      </c>
      <c r="CR132" s="54">
        <v>52.987000000000002</v>
      </c>
    </row>
    <row r="133" spans="21:96" x14ac:dyDescent="0.3">
      <c r="U133" s="75">
        <v>45943.625</v>
      </c>
      <c r="V133" s="54">
        <v>91.79</v>
      </c>
      <c r="W133" s="75">
        <v>45938.625</v>
      </c>
      <c r="X133" s="54">
        <v>100.99299999999999</v>
      </c>
      <c r="BE133" s="75">
        <v>45940.625</v>
      </c>
      <c r="BF133" s="54">
        <v>79.984999999999999</v>
      </c>
      <c r="BI133" s="75">
        <v>45940.625</v>
      </c>
      <c r="BJ133" s="54">
        <v>111.36</v>
      </c>
      <c r="CO133" s="129">
        <v>45943.625</v>
      </c>
      <c r="CP133" s="54">
        <v>260.25400000000002</v>
      </c>
      <c r="CQ133" s="129">
        <v>45943.625</v>
      </c>
      <c r="CR133" s="54">
        <v>53.084000000000003</v>
      </c>
    </row>
    <row r="134" spans="21:96" x14ac:dyDescent="0.3">
      <c r="U134" s="75">
        <v>45944.625</v>
      </c>
      <c r="V134" s="54">
        <v>91.85</v>
      </c>
      <c r="W134" s="75">
        <v>45939.625</v>
      </c>
      <c r="X134" s="54">
        <v>100.934</v>
      </c>
      <c r="BE134" s="75">
        <v>45943.625</v>
      </c>
      <c r="BF134" s="54">
        <v>80.45</v>
      </c>
      <c r="BI134" s="75">
        <v>45943.625</v>
      </c>
      <c r="BJ134" s="54">
        <v>111.73</v>
      </c>
      <c r="CO134" s="129">
        <v>45944.625</v>
      </c>
      <c r="CP134" s="54">
        <v>257.16699999999997</v>
      </c>
      <c r="CQ134" s="129">
        <v>45944.625</v>
      </c>
      <c r="CR134" s="54">
        <v>52.110999999999997</v>
      </c>
    </row>
    <row r="135" spans="21:96" x14ac:dyDescent="0.3">
      <c r="U135" s="75">
        <v>45945.625</v>
      </c>
      <c r="V135" s="54">
        <v>92.38</v>
      </c>
      <c r="W135" s="75">
        <v>45940.625</v>
      </c>
      <c r="X135" s="54">
        <v>101.017</v>
      </c>
      <c r="BE135" s="75">
        <v>45944.625</v>
      </c>
      <c r="BF135" s="54">
        <v>80.540000000000006</v>
      </c>
      <c r="BI135" s="75">
        <v>45944.625</v>
      </c>
      <c r="BJ135" s="54">
        <v>112.1</v>
      </c>
      <c r="CO135" s="129">
        <v>45945.625</v>
      </c>
      <c r="CP135" s="54">
        <v>245.131</v>
      </c>
      <c r="CQ135" s="129">
        <v>45945.625</v>
      </c>
      <c r="CR135" s="54">
        <v>49.81</v>
      </c>
    </row>
    <row r="136" spans="21:96" x14ac:dyDescent="0.3">
      <c r="U136" s="75">
        <v>45946.625</v>
      </c>
      <c r="V136" s="54">
        <v>92.23</v>
      </c>
      <c r="W136" s="75">
        <v>45943.625</v>
      </c>
      <c r="X136" s="54">
        <v>101.122</v>
      </c>
      <c r="BE136" s="75">
        <v>45945.625</v>
      </c>
      <c r="BF136" s="54">
        <v>80.8</v>
      </c>
      <c r="BI136" s="75">
        <v>45945.625</v>
      </c>
      <c r="BJ136" s="54">
        <v>112.1</v>
      </c>
      <c r="CO136" s="129">
        <v>45946.625</v>
      </c>
      <c r="CP136" s="54">
        <v>250.49600000000001</v>
      </c>
      <c r="CQ136" s="129">
        <v>45946.625</v>
      </c>
      <c r="CR136" s="54">
        <v>50.529000000000003</v>
      </c>
    </row>
    <row r="137" spans="21:96" x14ac:dyDescent="0.3">
      <c r="U137" s="75">
        <v>45947.625</v>
      </c>
      <c r="V137" s="54">
        <v>92.1</v>
      </c>
      <c r="W137" s="75">
        <v>45944.625</v>
      </c>
      <c r="X137" s="54">
        <v>101.13800000000001</v>
      </c>
      <c r="BE137" s="75">
        <v>45946.625</v>
      </c>
      <c r="BF137" s="54">
        <v>80.510000000000005</v>
      </c>
      <c r="BI137" s="75">
        <v>45946.625</v>
      </c>
      <c r="BJ137" s="54">
        <v>112.42</v>
      </c>
      <c r="CO137" s="129">
        <v>45947.625</v>
      </c>
      <c r="CP137" s="54">
        <v>255.01499999999999</v>
      </c>
      <c r="CQ137" s="129">
        <v>45947.625</v>
      </c>
      <c r="CR137" s="54">
        <v>51.85</v>
      </c>
    </row>
    <row r="138" spans="21:96" x14ac:dyDescent="0.3">
      <c r="W138" s="75">
        <v>45945.625</v>
      </c>
      <c r="X138" s="54">
        <v>101.23699999999999</v>
      </c>
    </row>
    <row r="139" spans="21:96" x14ac:dyDescent="0.3">
      <c r="W139" s="75">
        <v>45946.625</v>
      </c>
      <c r="X139" s="54">
        <v>101.221</v>
      </c>
    </row>
    <row r="140" spans="21:96" x14ac:dyDescent="0.3">
      <c r="W140" s="75">
        <v>45947.625</v>
      </c>
      <c r="X140" s="54">
        <v>101.253</v>
      </c>
    </row>
  </sheetData>
  <mergeCells count="14">
    <mergeCell ref="CG12:CI12"/>
    <mergeCell ref="CJ12:CL12"/>
    <mergeCell ref="AM12:AO12"/>
    <mergeCell ref="AP12:AR12"/>
    <mergeCell ref="AS12:AU12"/>
    <mergeCell ref="AV12:AX12"/>
    <mergeCell ref="BS12:BU12"/>
    <mergeCell ref="BV12:BX12"/>
    <mergeCell ref="AJ12:AL12"/>
    <mergeCell ref="B12:D12"/>
    <mergeCell ref="E12:G12"/>
    <mergeCell ref="H12:J12"/>
    <mergeCell ref="K12:M12"/>
    <mergeCell ref="AG12:AI12"/>
  </mergeCells>
  <conditionalFormatting sqref="N13:S86">
    <cfRule type="cellIs" dxfId="15" priority="3" operator="lessThan">
      <formula>0</formula>
    </cfRule>
  </conditionalFormatting>
  <conditionalFormatting sqref="AY13:BC50">
    <cfRule type="cellIs" dxfId="14" priority="4" operator="lessThan">
      <formula>0</formula>
    </cfRule>
  </conditionalFormatting>
  <conditionalFormatting sqref="BY13:BY14">
    <cfRule type="cellIs" dxfId="13" priority="2" operator="lessThan">
      <formula>0</formula>
    </cfRule>
  </conditionalFormatting>
  <conditionalFormatting sqref="CM13:CM14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B6A5-1E4A-4C2C-AF07-F8DB1BF89CE8}">
  <dimension ref="A1:ED140"/>
  <sheetViews>
    <sheetView topLeftCell="DL1" zoomScale="70" zoomScaleNormal="70" workbookViewId="0">
      <selection activeCell="EM15" sqref="EM15"/>
    </sheetView>
  </sheetViews>
  <sheetFormatPr defaultColWidth="8.88671875" defaultRowHeight="14.4" x14ac:dyDescent="0.3"/>
  <cols>
    <col min="1" max="1" width="15.44140625" style="54" bestFit="1" customWidth="1"/>
    <col min="2" max="2" width="16.88671875" style="54" customWidth="1"/>
    <col min="3" max="5" width="16.88671875" style="54" hidden="1" customWidth="1"/>
    <col min="6" max="6" width="10.5546875" style="54" hidden="1" customWidth="1"/>
    <col min="7" max="7" width="11.5546875" style="54" hidden="1" customWidth="1"/>
    <col min="8" max="8" width="8.88671875" style="54" hidden="1" customWidth="1"/>
    <col min="9" max="9" width="12.44140625" style="54" hidden="1" customWidth="1"/>
    <col min="10" max="10" width="13.33203125" style="54" hidden="1" customWidth="1"/>
    <col min="11" max="12" width="11.5546875" style="54" hidden="1" customWidth="1"/>
    <col min="13" max="13" width="13.33203125" style="54" hidden="1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1875" bestFit="1" customWidth="1"/>
    <col min="19" max="19" width="11.21875" customWidth="1"/>
    <col min="20" max="20" width="0" hidden="1" customWidth="1"/>
    <col min="21" max="21" width="10.5546875" style="75" hidden="1" customWidth="1"/>
    <col min="22" max="22" width="6" style="54" hidden="1" customWidth="1"/>
    <col min="23" max="23" width="10.5546875" style="75" hidden="1" customWidth="1"/>
    <col min="24" max="24" width="8.88671875" style="54" hidden="1" customWidth="1"/>
    <col min="25" max="25" width="15.77734375" style="125" hidden="1" customWidth="1"/>
    <col min="26" max="26" width="8.88671875" style="54" hidden="1" customWidth="1"/>
    <col min="27" max="27" width="10.5546875" style="75" hidden="1" customWidth="1"/>
    <col min="28" max="30" width="8.88671875" style="54" hidden="1" customWidth="1"/>
    <col min="31" max="31" width="8.88671875" style="54"/>
    <col min="32" max="32" width="15.44140625" style="133" bestFit="1" customWidth="1"/>
    <col min="33" max="33" width="13.33203125" style="54" bestFit="1" customWidth="1"/>
    <col min="34" max="36" width="13.33203125" style="54" hidden="1" customWidth="1"/>
    <col min="37" max="37" width="12.44140625" style="54" hidden="1" customWidth="1"/>
    <col min="38" max="38" width="13.33203125" style="54" hidden="1" customWidth="1"/>
    <col min="39" max="39" width="10.6640625" style="54" hidden="1" customWidth="1"/>
    <col min="40" max="40" width="13.33203125" style="54" hidden="1" customWidth="1"/>
    <col min="41" max="41" width="11.5546875" style="54" hidden="1" customWidth="1"/>
    <col min="42" max="42" width="10.6640625" style="54" hidden="1" customWidth="1"/>
    <col min="43" max="43" width="11.5546875" style="54" hidden="1" customWidth="1"/>
    <col min="44" max="47" width="10.6640625" style="54" hidden="1" customWidth="1"/>
    <col min="48" max="48" width="13.88671875" style="54" hidden="1" customWidth="1"/>
    <col min="49" max="49" width="11.5546875" style="54" hidden="1" customWidth="1"/>
    <col min="50" max="50" width="13.33203125" style="54" hidden="1" customWidth="1"/>
    <col min="51" max="51" width="13.33203125" style="54" bestFit="1" customWidth="1"/>
    <col min="52" max="53" width="13.33203125" style="54" hidden="1" customWidth="1"/>
    <col min="54" max="55" width="13.33203125" style="54" customWidth="1"/>
    <col min="57" max="57" width="17.109375" style="75" hidden="1" customWidth="1"/>
    <col min="58" max="58" width="7.77734375" style="54" hidden="1" customWidth="1"/>
    <col min="59" max="59" width="11.5546875" style="75" hidden="1" customWidth="1"/>
    <col min="60" max="60" width="13.33203125" style="54" hidden="1" customWidth="1"/>
    <col min="61" max="61" width="11.5546875" style="75" hidden="1" customWidth="1"/>
    <col min="62" max="62" width="0" style="54" hidden="1" customWidth="1"/>
    <col min="63" max="63" width="11.5546875" style="75" hidden="1" customWidth="1"/>
    <col min="64" max="64" width="13.33203125" style="54" hidden="1" customWidth="1"/>
    <col min="65" max="65" width="11.5546875" style="75" hidden="1" customWidth="1"/>
    <col min="66" max="66" width="12.21875" style="54" hidden="1" customWidth="1"/>
    <col min="67" max="67" width="11.5546875" style="75" hidden="1" customWidth="1"/>
    <col min="68" max="68" width="12.21875" style="54" hidden="1" customWidth="1"/>
    <col min="69" max="69" width="8.88671875" style="54"/>
    <col min="70" max="70" width="15.44140625" style="133" bestFit="1" customWidth="1"/>
    <col min="71" max="71" width="13.33203125" style="54" bestFit="1" customWidth="1"/>
    <col min="72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3.33203125" style="54" bestFit="1" customWidth="1"/>
    <col min="87" max="87" width="9.33203125" style="54" bestFit="1" customWidth="1"/>
    <col min="88" max="88" width="7.77734375" style="54" bestFit="1" customWidth="1"/>
    <col min="89" max="89" width="10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77734375" style="54" hidden="1" customWidth="1"/>
    <col min="97" max="97" width="11.88671875" style="142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3" bestFit="1" customWidth="1"/>
    <col min="111" max="111" width="11.6640625" style="54" hidden="1" customWidth="1"/>
    <col min="112" max="113" width="11.109375" style="54" hidden="1" customWidth="1"/>
    <col min="114" max="114" width="13.109375" style="54" hidden="1" customWidth="1"/>
    <col min="115" max="115" width="15.33203125" style="54" bestFit="1" customWidth="1"/>
    <col min="116" max="116" width="14.6640625" style="54" bestFit="1" customWidth="1"/>
    <col min="117" max="117" width="14.6640625" style="54" customWidth="1"/>
    <col min="118" max="118" width="16.77734375" style="54" bestFit="1" customWidth="1"/>
    <col min="119" max="119" width="16.33203125" style="54" bestFit="1" customWidth="1"/>
    <col min="120" max="120" width="15.33203125" style="54" bestFit="1" customWidth="1"/>
    <col min="121" max="121" width="12.33203125" style="54" bestFit="1" customWidth="1"/>
    <col min="122" max="122" width="17.88671875" style="54" bestFit="1" customWidth="1"/>
    <col min="123" max="123" width="16.33203125" style="54" bestFit="1" customWidth="1"/>
    <col min="124" max="124" width="15.33203125" style="54" bestFit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0" style="54" bestFit="1" customWidth="1"/>
    <col min="131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U1" s="53"/>
      <c r="V1" s="1"/>
      <c r="W1" s="53"/>
      <c r="X1" s="1"/>
      <c r="Y1" s="122"/>
      <c r="Z1" s="1"/>
      <c r="AA1" s="53"/>
      <c r="AF1" s="1"/>
      <c r="AG1" s="1"/>
      <c r="AH1" s="1"/>
      <c r="AI1" s="1"/>
      <c r="AJ1" s="1"/>
      <c r="AK1" s="1"/>
      <c r="AL1" s="1"/>
      <c r="AN1" s="119" t="s">
        <v>100</v>
      </c>
      <c r="AO1" s="120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5" t="s">
        <v>0</v>
      </c>
      <c r="CC1" s="150" t="s">
        <v>1</v>
      </c>
      <c r="CF1" s="1"/>
      <c r="CG1" s="1"/>
      <c r="CH1" s="1"/>
      <c r="CI1" s="1"/>
      <c r="CJ1" s="1"/>
      <c r="CK1" s="1"/>
      <c r="CL1" s="1"/>
      <c r="CO1" s="135" t="s">
        <v>0</v>
      </c>
      <c r="CQ1" s="150" t="s">
        <v>1</v>
      </c>
      <c r="CS1" s="54"/>
      <c r="CT1" s="54"/>
      <c r="CU1" s="54"/>
      <c r="CV1" s="54"/>
      <c r="CW1" s="54"/>
      <c r="CX1" s="54"/>
      <c r="CY1" s="54"/>
      <c r="DF1" s="142"/>
      <c r="DG1" s="58"/>
      <c r="DH1" s="58"/>
      <c r="DI1" s="58"/>
      <c r="DJ1" s="58"/>
      <c r="DK1" s="58"/>
      <c r="DL1" s="58"/>
      <c r="DM1" s="58"/>
      <c r="DN1" s="58"/>
      <c r="DO1" s="58"/>
      <c r="DP1" s="58"/>
      <c r="DZ1" s="133"/>
    </row>
    <row r="2" spans="1:134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</v>
      </c>
      <c r="J2" s="1"/>
      <c r="K2" s="53"/>
      <c r="L2" s="1"/>
      <c r="M2" s="53"/>
      <c r="U2" s="102" t="s">
        <v>0</v>
      </c>
      <c r="V2" s="1"/>
      <c r="W2" s="103" t="s">
        <v>1</v>
      </c>
      <c r="X2" s="2"/>
      <c r="Y2" s="123" t="s">
        <v>1</v>
      </c>
      <c r="Z2" s="1"/>
      <c r="AA2" s="101" t="s">
        <v>0</v>
      </c>
      <c r="AF2" s="30"/>
      <c r="AG2" s="40" t="s">
        <v>0</v>
      </c>
      <c r="AH2" s="44" t="s">
        <v>1</v>
      </c>
      <c r="AI2" s="71" t="s">
        <v>1</v>
      </c>
      <c r="AJ2" s="77" t="s">
        <v>0</v>
      </c>
      <c r="AK2" s="71" t="s">
        <v>0</v>
      </c>
      <c r="AL2" s="72" t="s">
        <v>0</v>
      </c>
      <c r="BE2" s="102" t="s">
        <v>0</v>
      </c>
      <c r="BF2" s="1"/>
      <c r="BG2" s="103" t="s">
        <v>1</v>
      </c>
      <c r="BH2" s="2"/>
      <c r="BI2" s="104" t="s">
        <v>1</v>
      </c>
      <c r="BJ2" s="1"/>
      <c r="BK2" s="105" t="s">
        <v>0</v>
      </c>
      <c r="BM2" s="106" t="s">
        <v>0</v>
      </c>
      <c r="BO2" s="101" t="s">
        <v>0</v>
      </c>
      <c r="BR2" s="30"/>
      <c r="BS2" s="135" t="s">
        <v>0</v>
      </c>
      <c r="BT2" s="150" t="s">
        <v>1</v>
      </c>
      <c r="CA2" s="129" cm="1">
        <f t="array" ref="CA2:CB132">_xll.BDH(BS4, "LAST_PRICE", "01/01/2025 15:00:00", "01/01/2035 16:00:00", "BarSize=60", "BarType=T", "RecurDaily=True", "TZ=New_York")</f>
        <v>45751.625</v>
      </c>
      <c r="CB2" s="54">
        <v>102.50579999999999</v>
      </c>
      <c r="CC2" s="129" cm="1">
        <f t="array" ref="CC2:CD132">_xll.BDH(BT4, "LAST_PRICE", "01/01/2025 15:00:00", "01/01/2035 16:00:00", "BarSize=60", "BarType=T", "RecurDaily=True", "TZ=New_York")</f>
        <v>45751.625</v>
      </c>
      <c r="CD2" s="54">
        <v>72.096999999999994</v>
      </c>
      <c r="CF2" s="30"/>
      <c r="CG2" s="135" t="s">
        <v>0</v>
      </c>
      <c r="CH2" s="150" t="s">
        <v>1</v>
      </c>
      <c r="CO2" s="129" cm="1">
        <f t="array" ref="CO2:CP137">_xll.BDH(CG4, "LAST_PRICE", "01/01/2025 15:00:00", "01/01/2035 16:00:00", "BarSize=60", "BarType=T", "RecurDaily=True", "TZ=London")</f>
        <v>45751.625</v>
      </c>
      <c r="CP2" s="54">
        <v>392.07299999999998</v>
      </c>
      <c r="CQ2" s="129" cm="1">
        <f t="array" ref="CQ2:CR137">_xll.BDH(CH4, "LAST_PRICE", "01/01/2025 15:00:00", "01/01/2035 16:00:00", "BarSize=60", "BarType=T", "RecurDaily=True", "TZ=London")</f>
        <v>45751.625</v>
      </c>
      <c r="CR2" s="54">
        <v>78.040000000000006</v>
      </c>
      <c r="CS2" s="54"/>
      <c r="CT2" s="54"/>
      <c r="CU2" s="54"/>
      <c r="CV2" s="54"/>
      <c r="CW2" s="54"/>
      <c r="CX2" s="54"/>
      <c r="CY2" s="54"/>
      <c r="DF2" s="142"/>
      <c r="DG2" s="58"/>
      <c r="DH2" s="58"/>
      <c r="DI2" s="58"/>
      <c r="DJ2" s="58"/>
      <c r="DK2" s="58"/>
      <c r="DL2" s="58"/>
      <c r="DM2" s="58"/>
      <c r="DN2" s="58"/>
      <c r="DO2" s="58"/>
      <c r="DP2" s="58"/>
      <c r="DZ2" s="133"/>
    </row>
    <row r="3" spans="1:134" ht="15" thickBot="1" x14ac:dyDescent="0.35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144" t="s">
        <v>108</v>
      </c>
      <c r="H3" s="1"/>
      <c r="I3" s="53"/>
      <c r="J3" s="1"/>
      <c r="K3" s="53"/>
      <c r="L3" s="1"/>
      <c r="M3" s="53"/>
      <c r="U3" s="52" cm="1">
        <f t="array" ref="U3:V137">_xll.BDH(B4, "LAST_PRICE", "01/01/2025 15:00:00", "01/01/2035 16:00:00", "BarSize=60", "BarType=T", "RecurDaily=True", "TZ=London")</f>
        <v>45751.625</v>
      </c>
      <c r="V3" s="1">
        <v>90.08</v>
      </c>
      <c r="W3" s="52" cm="1">
        <f t="array" ref="W3:X140">_xll.BDH(C4, "LAST_PRICE", "01/01/2025 15:00:00", "01/01/2035 16:00:00", "BarSize=60", "BarType=T", "RecurDaily=True", "TZ=London")</f>
        <v>45751.625</v>
      </c>
      <c r="X3" s="46">
        <v>101.578</v>
      </c>
      <c r="Y3" s="124" cm="1">
        <f t="array" ref="Y3:Z129">_xll.BDH(D4, "LAST_PRICE", "01/01/2025 15:00:00", "01/01/2035 16:00:00", "BarSize=60", "BarType=T", "RecurDaily=True", "TZ=London")</f>
        <v>45751.625</v>
      </c>
      <c r="Z3" s="1">
        <v>119.31</v>
      </c>
      <c r="AA3" s="52" cm="1">
        <f t="array" ref="AA3:AB76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4" t="s">
        <v>64</v>
      </c>
      <c r="AH3" s="73" t="s">
        <v>66</v>
      </c>
      <c r="AI3" s="73" t="s">
        <v>67</v>
      </c>
      <c r="AJ3" s="73" t="s">
        <v>66</v>
      </c>
      <c r="AK3" s="73" t="s">
        <v>68</v>
      </c>
      <c r="AL3" s="65" t="s">
        <v>69</v>
      </c>
      <c r="AN3" s="94" t="s">
        <v>80</v>
      </c>
      <c r="AO3" s="86" t="s">
        <v>64</v>
      </c>
      <c r="AP3" s="87" t="s">
        <v>67</v>
      </c>
      <c r="BE3" s="52" cm="1">
        <f t="array" ref="BE3:BF137">_xll.BDH(AG4, "LAST_PRICE", "01/01/2025 15:00:00", "01/01/2035 16:00:00", "BarSize=60", "BarType=T", "RecurDaily=True", "TZ=New_York")</f>
        <v>45751.625</v>
      </c>
      <c r="BF3" s="1">
        <v>76.8</v>
      </c>
      <c r="BG3" s="52" cm="1">
        <f t="array" ref="BG3:BH39">_xll.BDH(AH4, "LAST_PRICE", "01/01/2025 15:00:00", "01/01/2035 16:00:00", "BarSize=60", "BarType=T", "RecurDaily=True", "TZ=New_York")</f>
        <v>45896.625</v>
      </c>
      <c r="BH3" s="46">
        <v>99.6484375</v>
      </c>
      <c r="BI3" s="52" cm="1">
        <f t="array" ref="BI3:BJ137">_xll.BDH(AI4, "LAST_PRICE", "01/01/2025 15:00:00", "01/01/2035 16:00:00", "BarSize=60", "BarType=T", "RecurDaily=True", "TZ=New_York")</f>
        <v>45751.625</v>
      </c>
      <c r="BJ3" s="1">
        <v>108.78</v>
      </c>
      <c r="BK3" s="52" cm="1">
        <f t="array" ref="BK3:BL39">_xll.BDH(AJ4, "LAST_PRICE", "01/01/2025 15:00:00", "01/01/2035 16:00:00", "BarSize=60", "BarType=T", "RecurDaily=True", "TZ=New_York")</f>
        <v>45896.625</v>
      </c>
      <c r="BL3" s="54">
        <v>99.6484375</v>
      </c>
      <c r="BM3" s="52" cm="1">
        <f t="array" ref="BM3:BN54">_xll.BDH(AK4, "LAST_PRICE", "01/01/2025 15:00:00", "01/01/2035 16:00:00", "BarSize=60", "BarType=T", "RecurDaily=True", "TZ=New_York")</f>
        <v>45875.625</v>
      </c>
      <c r="BN3" s="54">
        <v>100.140625</v>
      </c>
      <c r="BO3" s="52" cm="1">
        <f t="array" ref="BO3:BP53">_xll.BDH(AL4, "LAST_PRICE", "01/01/2025 15:00:00", "01/01/2035 16:00:00", "BarSize=60", "BarType=T", "RecurDaily=True", "TZ=New_York")</f>
        <v>45876.625</v>
      </c>
      <c r="BP3" s="54">
        <v>98.9375</v>
      </c>
      <c r="BR3" s="15" t="s">
        <v>32</v>
      </c>
      <c r="BS3" s="64" t="s">
        <v>122</v>
      </c>
      <c r="BT3" s="65" t="s">
        <v>103</v>
      </c>
      <c r="BU3" s="41"/>
      <c r="BV3" s="41"/>
      <c r="CA3" s="129">
        <v>45754.625</v>
      </c>
      <c r="CB3" s="54">
        <v>101.8361</v>
      </c>
      <c r="CC3" s="129">
        <v>45754.625</v>
      </c>
      <c r="CD3" s="54">
        <v>76.41</v>
      </c>
      <c r="CF3" s="15" t="s">
        <v>32</v>
      </c>
      <c r="CG3" s="64" t="s">
        <v>125</v>
      </c>
      <c r="CH3" s="65" t="s">
        <v>126</v>
      </c>
      <c r="CI3" s="41"/>
      <c r="CJ3" s="41"/>
      <c r="CO3" s="129">
        <v>45754.625</v>
      </c>
      <c r="CP3" s="54">
        <v>399.05599999999998</v>
      </c>
      <c r="CQ3" s="129">
        <v>45754.625</v>
      </c>
      <c r="CR3" s="54">
        <v>78.236000000000004</v>
      </c>
      <c r="CS3" s="54"/>
      <c r="CT3" s="54"/>
      <c r="CU3" s="54"/>
      <c r="CV3" s="54"/>
      <c r="CW3" s="54"/>
      <c r="CX3" s="54"/>
      <c r="CY3" s="54"/>
      <c r="DF3" s="142"/>
      <c r="DG3" s="58"/>
      <c r="DH3" s="58"/>
      <c r="DI3" s="58"/>
      <c r="DJ3" s="58"/>
      <c r="DK3" s="58"/>
      <c r="DL3" s="58"/>
      <c r="DM3" s="58"/>
      <c r="DN3" s="58"/>
      <c r="DO3" s="58"/>
      <c r="DP3" s="58"/>
      <c r="DZ3" s="133"/>
    </row>
    <row r="4" spans="1:134" ht="32.25" customHeight="1" thickBot="1" x14ac:dyDescent="0.35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146" t="s">
        <v>56</v>
      </c>
      <c r="H4" s="147" t="s">
        <v>58</v>
      </c>
      <c r="I4" s="53"/>
      <c r="J4" s="1"/>
      <c r="K4" s="53"/>
      <c r="L4" s="1"/>
      <c r="M4" s="53"/>
      <c r="U4" s="75">
        <v>45754.625</v>
      </c>
      <c r="V4" s="54">
        <v>89.41</v>
      </c>
      <c r="W4" s="75">
        <v>45754.625</v>
      </c>
      <c r="X4" s="54">
        <v>101.506</v>
      </c>
      <c r="Y4" s="125">
        <v>45754.625</v>
      </c>
      <c r="Z4" s="54">
        <v>118.7</v>
      </c>
      <c r="AA4" s="75">
        <v>45847.625</v>
      </c>
      <c r="AB4" s="54">
        <v>99.84</v>
      </c>
      <c r="AF4" s="15" t="s">
        <v>33</v>
      </c>
      <c r="AG4" s="66" t="s">
        <v>65</v>
      </c>
      <c r="AH4" s="41" t="s">
        <v>73</v>
      </c>
      <c r="AI4" s="41" t="s">
        <v>70</v>
      </c>
      <c r="AJ4" s="41" t="s">
        <v>73</v>
      </c>
      <c r="AK4" s="41" t="s">
        <v>72</v>
      </c>
      <c r="AL4" s="42" t="s">
        <v>71</v>
      </c>
      <c r="AN4" s="88"/>
      <c r="AO4" s="89">
        <f>AG5/AG14</f>
        <v>432258.86130665679</v>
      </c>
      <c r="AP4" s="90">
        <f>AI5/AM14</f>
        <v>327183.49541034264</v>
      </c>
      <c r="BE4" s="75">
        <v>45754.625</v>
      </c>
      <c r="BF4" s="54">
        <v>76.099999999999994</v>
      </c>
      <c r="BG4" s="75">
        <v>45897.625</v>
      </c>
      <c r="BH4" s="54">
        <v>99.6953125</v>
      </c>
      <c r="BI4" s="75">
        <v>45754.625</v>
      </c>
      <c r="BJ4" s="54">
        <v>106.66</v>
      </c>
      <c r="BK4" s="75">
        <v>45897.625</v>
      </c>
      <c r="BL4" s="54">
        <v>99.6953125</v>
      </c>
      <c r="BM4" s="75">
        <v>45876.625</v>
      </c>
      <c r="BN4" s="54">
        <v>100.0625</v>
      </c>
      <c r="BO4" s="75">
        <v>45877.625</v>
      </c>
      <c r="BP4" s="54">
        <v>98.4375</v>
      </c>
      <c r="BR4" s="15" t="s">
        <v>33</v>
      </c>
      <c r="BS4" s="66" t="s">
        <v>123</v>
      </c>
      <c r="BT4" s="42" t="s">
        <v>124</v>
      </c>
      <c r="BU4" s="41"/>
      <c r="BV4" s="151">
        <v>0.625</v>
      </c>
      <c r="BW4" s="41"/>
      <c r="CA4" s="129">
        <v>45755.625</v>
      </c>
      <c r="CB4" s="54">
        <v>101.12439999999999</v>
      </c>
      <c r="CC4" s="129">
        <v>45755.625</v>
      </c>
      <c r="CD4" s="54">
        <v>80.424999999999997</v>
      </c>
      <c r="CF4" s="15" t="s">
        <v>33</v>
      </c>
      <c r="CG4" s="66" t="s">
        <v>127</v>
      </c>
      <c r="CH4" s="42" t="s">
        <v>128</v>
      </c>
      <c r="CI4" s="41"/>
      <c r="CJ4" s="151">
        <v>0.625</v>
      </c>
      <c r="CK4" s="41"/>
      <c r="CO4" s="129">
        <v>45755.625</v>
      </c>
      <c r="CP4" s="54">
        <v>393.24900000000002</v>
      </c>
      <c r="CQ4" s="129">
        <v>45755.625</v>
      </c>
      <c r="CR4" s="54">
        <v>77.082999999999998</v>
      </c>
      <c r="CS4" s="54"/>
      <c r="CT4" s="54"/>
      <c r="CU4" s="54"/>
      <c r="CV4" s="54"/>
      <c r="CW4" s="54"/>
      <c r="CX4" s="54"/>
      <c r="CY4" s="54"/>
      <c r="DF4" s="142"/>
      <c r="DG4" s="58"/>
      <c r="DH4" s="58"/>
      <c r="DI4" s="58"/>
      <c r="DJ4" s="58"/>
      <c r="DK4" s="58"/>
      <c r="DL4" s="58"/>
      <c r="DM4" s="58"/>
      <c r="DN4" s="58"/>
      <c r="DO4" s="58"/>
      <c r="DP4" s="58"/>
      <c r="DZ4" s="133"/>
    </row>
    <row r="5" spans="1:134" ht="15" thickBot="1" x14ac:dyDescent="0.35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45">
        <f>ROUND(B5/B14,0)</f>
        <v>266241</v>
      </c>
      <c r="H5" s="22">
        <f>ROUND(D5/H14,0)</f>
        <v>352748</v>
      </c>
      <c r="I5" s="1"/>
      <c r="J5" s="1"/>
      <c r="K5" s="1"/>
      <c r="L5" s="1"/>
      <c r="M5" s="1"/>
      <c r="U5" s="75">
        <v>45755.625</v>
      </c>
      <c r="V5" s="54">
        <v>90.07</v>
      </c>
      <c r="W5" s="75">
        <v>45755.625</v>
      </c>
      <c r="X5" s="54">
        <v>101.324</v>
      </c>
      <c r="Y5" s="125">
        <v>45755.625</v>
      </c>
      <c r="Z5" s="54">
        <v>119.1</v>
      </c>
      <c r="AA5" s="75">
        <v>45848.625</v>
      </c>
      <c r="AB5" s="54">
        <v>99.671999999999997</v>
      </c>
      <c r="AF5" s="15" t="s">
        <v>8</v>
      </c>
      <c r="AG5" s="67">
        <f>35*10^6</f>
        <v>35000000</v>
      </c>
      <c r="AH5" s="7">
        <f>19.5*10^6</f>
        <v>19500000</v>
      </c>
      <c r="AI5" s="7">
        <f>36*10^6</f>
        <v>36000000</v>
      </c>
      <c r="AJ5" s="7">
        <f>17*10^6</f>
        <v>17000000</v>
      </c>
      <c r="AK5" s="7">
        <f>7.5*10^6</f>
        <v>7500000</v>
      </c>
      <c r="AL5" s="8">
        <f>10.5*10^6</f>
        <v>10500000</v>
      </c>
      <c r="AN5" s="53"/>
      <c r="AO5" s="1"/>
      <c r="AP5" s="53"/>
      <c r="BE5" s="75">
        <v>45755.625</v>
      </c>
      <c r="BF5" s="54">
        <v>75.75</v>
      </c>
      <c r="BG5" s="75">
        <v>45898.625</v>
      </c>
      <c r="BH5" s="54">
        <v>99.703125</v>
      </c>
      <c r="BI5" s="75">
        <v>45755.625</v>
      </c>
      <c r="BJ5" s="54">
        <v>105.31</v>
      </c>
      <c r="BK5" s="75">
        <v>45898.625</v>
      </c>
      <c r="BL5" s="54">
        <v>99.703125</v>
      </c>
      <c r="BM5" s="75">
        <v>45877.625</v>
      </c>
      <c r="BN5" s="54">
        <v>99.734375</v>
      </c>
      <c r="BO5" s="75">
        <v>45880.625</v>
      </c>
      <c r="BP5" s="54">
        <v>98.53125</v>
      </c>
      <c r="BR5" s="15" t="s">
        <v>8</v>
      </c>
      <c r="BS5" s="67">
        <f>2*10^6</f>
        <v>2000000</v>
      </c>
      <c r="BT5" s="8">
        <f>10*10^6</f>
        <v>10000000</v>
      </c>
      <c r="BU5" s="7"/>
      <c r="BV5" s="7"/>
      <c r="BW5" s="7"/>
      <c r="CA5" s="129">
        <v>45756.625</v>
      </c>
      <c r="CB5" s="54">
        <v>103.8849</v>
      </c>
      <c r="CC5" s="129">
        <v>45756.625</v>
      </c>
      <c r="CD5" s="54">
        <v>66.811999999999998</v>
      </c>
      <c r="CF5" s="15" t="s">
        <v>8</v>
      </c>
      <c r="CG5" s="67">
        <f>10*10^6/4.5</f>
        <v>2222222.222222222</v>
      </c>
      <c r="CH5" s="8">
        <f>10*10^6</f>
        <v>10000000</v>
      </c>
      <c r="CI5" s="7"/>
      <c r="CJ5" s="7"/>
      <c r="CK5" s="7"/>
      <c r="CO5" s="129">
        <v>45756.625</v>
      </c>
      <c r="CP5" s="54">
        <v>429.77499999999998</v>
      </c>
      <c r="CQ5" s="129">
        <v>45756.625</v>
      </c>
      <c r="CR5" s="54">
        <v>85.578999999999994</v>
      </c>
      <c r="CS5" s="54"/>
      <c r="CT5" s="54"/>
      <c r="CU5" s="54"/>
      <c r="CV5" s="54"/>
      <c r="CW5" s="54"/>
      <c r="CX5" s="54"/>
      <c r="CY5" s="54"/>
      <c r="DF5" s="142"/>
      <c r="DG5" s="58"/>
      <c r="DH5" s="58"/>
      <c r="DI5" s="58"/>
      <c r="DJ5" s="58"/>
      <c r="DK5" s="58"/>
      <c r="DL5" s="58"/>
      <c r="DM5" s="58"/>
      <c r="DN5" s="58"/>
      <c r="DO5" s="58"/>
      <c r="DP5" s="58"/>
      <c r="DZ5" s="133"/>
    </row>
    <row r="6" spans="1:134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5">
        <v>45756.625</v>
      </c>
      <c r="V6" s="54">
        <v>89.53</v>
      </c>
      <c r="W6" s="75">
        <v>45756.625</v>
      </c>
      <c r="X6" s="54">
        <v>101.774</v>
      </c>
      <c r="Y6" s="125">
        <v>45756.625</v>
      </c>
      <c r="Z6" s="54">
        <v>118.82</v>
      </c>
      <c r="AA6" s="75">
        <v>45849.625</v>
      </c>
      <c r="AB6" s="54">
        <v>99.567999999999998</v>
      </c>
      <c r="AF6" s="15" t="s">
        <v>10</v>
      </c>
      <c r="AG6" s="69">
        <v>0</v>
      </c>
      <c r="AH6" s="74">
        <f>(3+5/8)*0.01</f>
        <v>3.6249999999999998E-2</v>
      </c>
      <c r="AI6" s="74">
        <v>0</v>
      </c>
      <c r="AJ6" s="74">
        <f>(3+5/8)*0.01</f>
        <v>3.6249999999999998E-2</v>
      </c>
      <c r="AK6" s="74">
        <v>4.2500000000000003E-2</v>
      </c>
      <c r="AL6" s="10">
        <v>4.7500000000000001E-2</v>
      </c>
      <c r="BE6" s="75">
        <v>45756.625</v>
      </c>
      <c r="BF6" s="54">
        <v>77.78</v>
      </c>
      <c r="BG6" s="75">
        <v>45901.625</v>
      </c>
      <c r="BH6" s="54">
        <v>99.6796875</v>
      </c>
      <c r="BI6" s="75">
        <v>45756.625</v>
      </c>
      <c r="BJ6" s="54">
        <v>107.07</v>
      </c>
      <c r="BK6" s="75">
        <v>45901.625</v>
      </c>
      <c r="BL6" s="54">
        <v>99.6796875</v>
      </c>
      <c r="BM6" s="75">
        <v>45880.625</v>
      </c>
      <c r="BN6" s="54">
        <v>99.8125</v>
      </c>
      <c r="BO6" s="75">
        <v>45881.625</v>
      </c>
      <c r="BP6" s="54">
        <v>98</v>
      </c>
      <c r="BR6" s="15" t="s">
        <v>10</v>
      </c>
      <c r="BS6" s="69">
        <v>0.05</v>
      </c>
      <c r="BT6" s="10">
        <v>0.01</v>
      </c>
      <c r="BU6" s="74"/>
      <c r="BV6" s="74"/>
      <c r="BW6" s="74"/>
      <c r="CA6" s="129">
        <v>45757.625</v>
      </c>
      <c r="CB6" s="54">
        <v>102.41</v>
      </c>
      <c r="CC6" s="129">
        <v>45757.625</v>
      </c>
      <c r="CD6" s="54">
        <v>74.572999999999993</v>
      </c>
      <c r="CF6" s="15" t="s">
        <v>10</v>
      </c>
      <c r="CG6" s="69">
        <v>0.05</v>
      </c>
      <c r="CH6" s="10">
        <v>0.01</v>
      </c>
      <c r="CI6" s="74"/>
      <c r="CJ6" s="74"/>
      <c r="CK6" s="74"/>
      <c r="CO6" s="129">
        <v>45757.625</v>
      </c>
      <c r="CP6" s="54">
        <v>382.76</v>
      </c>
      <c r="CQ6" s="129">
        <v>45757.625</v>
      </c>
      <c r="CR6" s="54">
        <v>75.415000000000006</v>
      </c>
      <c r="CS6" s="54"/>
      <c r="CT6" s="54"/>
      <c r="CU6" s="54"/>
      <c r="CV6" s="54"/>
      <c r="CW6" s="54"/>
      <c r="CX6" s="54"/>
      <c r="CY6" s="54"/>
      <c r="DF6" s="142"/>
      <c r="DG6" s="58"/>
      <c r="DH6" s="58"/>
      <c r="DI6" s="58"/>
      <c r="DJ6" s="58"/>
      <c r="DK6" s="58"/>
      <c r="DL6" s="58"/>
      <c r="DM6" s="58"/>
      <c r="DN6" s="58"/>
      <c r="DO6" s="58"/>
      <c r="DP6" s="58"/>
      <c r="DZ6" s="133"/>
    </row>
    <row r="7" spans="1:134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O7" s="1"/>
      <c r="P7" s="1"/>
      <c r="Q7" s="1"/>
      <c r="U7" s="75">
        <v>45757.625</v>
      </c>
      <c r="V7" s="54">
        <v>90.4</v>
      </c>
      <c r="W7" s="75">
        <v>45757.625</v>
      </c>
      <c r="X7" s="54">
        <v>101.46299999999999</v>
      </c>
      <c r="Y7" s="125">
        <v>45757.625</v>
      </c>
      <c r="Z7" s="54">
        <v>119.32</v>
      </c>
      <c r="AA7" s="75">
        <v>45852.625</v>
      </c>
      <c r="AB7" s="54">
        <v>99.611999999999995</v>
      </c>
      <c r="AF7" s="15" t="s">
        <v>12</v>
      </c>
      <c r="AG7" s="69">
        <v>4.2299999999999997E-2</v>
      </c>
      <c r="AH7" s="74">
        <v>4.2299999999999997E-2</v>
      </c>
      <c r="AI7" s="74">
        <v>4.2299999999999997E-2</v>
      </c>
      <c r="AJ7" s="74">
        <v>4.2299999999999997E-2</v>
      </c>
      <c r="AK7" s="74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5">
        <v>45757.625</v>
      </c>
      <c r="BF7" s="54">
        <v>76.510000000000005</v>
      </c>
      <c r="BG7" s="75">
        <v>45902.625</v>
      </c>
      <c r="BH7" s="54">
        <v>99.53125</v>
      </c>
      <c r="BI7" s="75">
        <v>45757.625</v>
      </c>
      <c r="BJ7" s="54">
        <v>105.25</v>
      </c>
      <c r="BK7" s="75">
        <v>45902.625</v>
      </c>
      <c r="BL7" s="54">
        <v>99.53125</v>
      </c>
      <c r="BM7" s="75">
        <v>45881.625</v>
      </c>
      <c r="BN7" s="54">
        <v>99.6875</v>
      </c>
      <c r="BO7" s="75">
        <v>45882.625</v>
      </c>
      <c r="BP7" s="54">
        <v>98.796875</v>
      </c>
      <c r="BR7" s="15" t="s">
        <v>12</v>
      </c>
      <c r="BS7" s="69">
        <v>0</v>
      </c>
      <c r="BT7" s="10">
        <v>0</v>
      </c>
      <c r="BU7" s="74"/>
      <c r="BV7" s="74"/>
      <c r="BW7" s="74"/>
      <c r="CA7" s="129">
        <v>45758.625</v>
      </c>
      <c r="CB7" s="54">
        <v>102.86199999999999</v>
      </c>
      <c r="CC7" s="129">
        <v>45758.625</v>
      </c>
      <c r="CD7" s="54">
        <v>72.879000000000005</v>
      </c>
      <c r="CF7" s="15" t="s">
        <v>12</v>
      </c>
      <c r="CG7" s="69">
        <v>0</v>
      </c>
      <c r="CH7" s="10">
        <v>0</v>
      </c>
      <c r="CI7" s="74"/>
      <c r="CJ7" s="74"/>
      <c r="CK7" s="74"/>
      <c r="CO7" s="129">
        <v>45758.625</v>
      </c>
      <c r="CP7" s="54">
        <v>394.57299999999998</v>
      </c>
      <c r="CQ7" s="129">
        <v>45758.625</v>
      </c>
      <c r="CR7" s="54">
        <v>78.287000000000006</v>
      </c>
      <c r="CS7" s="54"/>
      <c r="CT7" s="54"/>
      <c r="CU7" s="54"/>
      <c r="CV7" s="54"/>
      <c r="CW7" s="54"/>
      <c r="CX7" s="54"/>
      <c r="CY7" s="54"/>
      <c r="DF7" s="142"/>
      <c r="DG7" s="58"/>
      <c r="DH7" s="58"/>
      <c r="DI7" s="58"/>
      <c r="DJ7" s="58"/>
      <c r="DK7" s="58"/>
      <c r="DL7" s="58"/>
      <c r="DM7" s="58"/>
      <c r="DN7" s="58"/>
      <c r="DO7" s="58"/>
      <c r="DP7" s="58"/>
      <c r="DZ7" s="133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5">
        <v>45758.625</v>
      </c>
      <c r="V8" s="54">
        <v>89.87</v>
      </c>
      <c r="W8" s="75">
        <v>45758.625</v>
      </c>
      <c r="X8" s="54">
        <v>101.64700000000001</v>
      </c>
      <c r="Y8" s="125">
        <v>45758.625</v>
      </c>
      <c r="Z8" s="54">
        <v>119.4</v>
      </c>
      <c r="AA8" s="75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5">
        <v>45758.625</v>
      </c>
      <c r="BF8" s="54">
        <v>76.739999999999995</v>
      </c>
      <c r="BG8" s="75">
        <v>45903.625</v>
      </c>
      <c r="BH8" s="54">
        <v>99.6796875</v>
      </c>
      <c r="BI8" s="75">
        <v>45758.625</v>
      </c>
      <c r="BJ8" s="54">
        <v>105.23</v>
      </c>
      <c r="BK8" s="75">
        <v>45903.625</v>
      </c>
      <c r="BL8" s="54">
        <v>99.6796875</v>
      </c>
      <c r="BM8" s="75">
        <v>45882.625</v>
      </c>
      <c r="BN8" s="54">
        <v>100.125</v>
      </c>
      <c r="BO8" s="75">
        <v>45883.625</v>
      </c>
      <c r="BP8" s="54">
        <v>98.03125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9">
        <v>45761.625</v>
      </c>
      <c r="CB8" s="54">
        <v>103.191</v>
      </c>
      <c r="CC8" s="129">
        <v>45761.625</v>
      </c>
      <c r="CD8" s="54">
        <v>70.346999999999994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9">
        <v>45761.625</v>
      </c>
      <c r="CP8" s="54">
        <v>368.839</v>
      </c>
      <c r="CQ8" s="129">
        <v>45761.625</v>
      </c>
      <c r="CR8" s="54">
        <v>72.742999999999995</v>
      </c>
      <c r="CS8" s="54"/>
      <c r="CT8" s="54"/>
      <c r="CU8" s="54"/>
      <c r="CV8" s="54"/>
      <c r="CW8" s="54"/>
      <c r="CX8" s="54"/>
      <c r="CY8" s="54"/>
      <c r="DF8" s="142"/>
      <c r="DG8" s="58"/>
      <c r="DH8" s="58"/>
      <c r="DI8" s="58"/>
      <c r="DJ8" s="58"/>
      <c r="DK8" s="58"/>
      <c r="DL8" s="58"/>
      <c r="DM8" s="58"/>
      <c r="DN8" s="58"/>
      <c r="DO8" s="58"/>
      <c r="DP8" s="58"/>
      <c r="DZ8" s="133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5">
        <v>45761.625</v>
      </c>
      <c r="V9" s="54">
        <v>90.77</v>
      </c>
      <c r="W9" s="75">
        <v>45761.625</v>
      </c>
      <c r="X9" s="54">
        <v>101.59</v>
      </c>
      <c r="Y9" s="125">
        <v>45761.625</v>
      </c>
      <c r="Z9" s="54">
        <v>119.64</v>
      </c>
      <c r="AA9" s="75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5">
        <v>45761.625</v>
      </c>
      <c r="BF9" s="54">
        <v>77.12</v>
      </c>
      <c r="BG9" s="75">
        <v>45904.625</v>
      </c>
      <c r="BH9" s="54">
        <v>99.9140625</v>
      </c>
      <c r="BI9" s="75">
        <v>45761.625</v>
      </c>
      <c r="BJ9" s="54">
        <v>105.89</v>
      </c>
      <c r="BK9" s="75">
        <v>45904.625</v>
      </c>
      <c r="BL9" s="54">
        <v>99.9140625</v>
      </c>
      <c r="BM9" s="75">
        <v>45883.625</v>
      </c>
      <c r="BN9" s="54">
        <v>99.703125</v>
      </c>
      <c r="BO9" s="75">
        <v>45884.625</v>
      </c>
      <c r="BP9" s="54">
        <v>97.375</v>
      </c>
      <c r="BR9" s="15" t="s">
        <v>15</v>
      </c>
      <c r="BS9" s="4" t="s">
        <v>23</v>
      </c>
      <c r="BT9" s="5"/>
      <c r="BU9" s="1"/>
      <c r="BV9" s="1"/>
      <c r="BW9" s="1"/>
      <c r="CA9" s="129">
        <v>45762.625</v>
      </c>
      <c r="CB9" s="54">
        <v>103.2236</v>
      </c>
      <c r="CC9" s="129">
        <v>45762.625</v>
      </c>
      <c r="CD9" s="54">
        <v>69.921000000000006</v>
      </c>
      <c r="CF9" s="15" t="s">
        <v>15</v>
      </c>
      <c r="CG9" s="4" t="s">
        <v>23</v>
      </c>
      <c r="CH9" s="5"/>
      <c r="CI9" s="1"/>
      <c r="CJ9" s="1"/>
      <c r="CK9" s="1"/>
      <c r="CO9" s="129">
        <v>45762.625</v>
      </c>
      <c r="CP9" s="54">
        <v>366.65199999999999</v>
      </c>
      <c r="CQ9" s="129">
        <v>45762.625</v>
      </c>
      <c r="CR9" s="54">
        <v>71.917000000000002</v>
      </c>
      <c r="CS9" s="54"/>
      <c r="CT9" s="54"/>
      <c r="CU9" s="54"/>
      <c r="CV9" s="54"/>
      <c r="CW9" s="54"/>
      <c r="CX9" s="54"/>
      <c r="CY9" s="54"/>
      <c r="DF9" s="142"/>
      <c r="DG9" s="58"/>
      <c r="DH9" s="58"/>
      <c r="DI9" s="58"/>
      <c r="DJ9" s="58"/>
      <c r="DK9" s="58"/>
      <c r="DL9" s="58"/>
      <c r="DM9" s="58"/>
      <c r="DN9" s="58"/>
      <c r="DO9" s="58"/>
      <c r="DP9" s="58"/>
      <c r="DZ9" s="133"/>
    </row>
    <row r="10" spans="1:134" ht="15" thickBot="1" x14ac:dyDescent="0.35">
      <c r="A10" s="16" t="s">
        <v>28</v>
      </c>
      <c r="B10" s="11" cm="1">
        <f t="array" ref="B10">_xll.BDP(B4,"px_last")</f>
        <v>92.06</v>
      </c>
      <c r="C10" s="21" cm="1">
        <f t="array" ref="C10">_xll.BDP(C4,"px_last")</f>
        <v>101.251</v>
      </c>
      <c r="D10" s="21" cm="1">
        <f t="array" ref="D10">_xll.BDP(D4,"px_last")</f>
        <v>121.45</v>
      </c>
      <c r="E10" s="22" cm="1">
        <f t="array" ref="E10">_xll.BDP(E4,"px_last")</f>
        <v>100.146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5">
        <v>45762.625</v>
      </c>
      <c r="V10" s="54">
        <v>91.01</v>
      </c>
      <c r="W10" s="75">
        <v>45762.625</v>
      </c>
      <c r="X10" s="54">
        <v>101.6</v>
      </c>
      <c r="Y10" s="125">
        <v>45762.625</v>
      </c>
      <c r="Z10" s="54">
        <v>119.88</v>
      </c>
      <c r="AA10" s="75">
        <v>45855.625</v>
      </c>
      <c r="AB10" s="54">
        <v>99.9</v>
      </c>
      <c r="AF10" s="16" t="s">
        <v>28</v>
      </c>
      <c r="AG10" s="11" cm="1">
        <f t="array" ref="AG10">_xll.BDP(AG4,"px_last")</f>
        <v>80.545000000000002</v>
      </c>
      <c r="AH10" s="21" cm="1">
        <f t="array" ref="AH10">_xll.BDP(AH4,"px_last")</f>
        <v>100.203125</v>
      </c>
      <c r="AI10" s="21" cm="1">
        <f t="array" ref="AI10">_xll.BDP(AI4,"px_last")</f>
        <v>112.23</v>
      </c>
      <c r="AJ10" s="21" cm="1">
        <f t="array" ref="AJ10">_xll.BDP(AJ4,"px_last")</f>
        <v>100.203125</v>
      </c>
      <c r="AK10" s="21" cm="1">
        <f t="array" ref="AK10">_xll.BDP(AK4,"px_last")</f>
        <v>102.046875</v>
      </c>
      <c r="AL10" s="22" cm="1">
        <f t="array" ref="AL10">_xll.BDP(AL4,"px_last")</f>
        <v>102.484375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5">
        <v>45762.625</v>
      </c>
      <c r="BF10" s="54">
        <v>77.33</v>
      </c>
      <c r="BG10" s="75">
        <v>45905.625</v>
      </c>
      <c r="BH10" s="54">
        <v>100.1328125</v>
      </c>
      <c r="BI10" s="75">
        <v>45762.625</v>
      </c>
      <c r="BJ10" s="54">
        <v>106.45</v>
      </c>
      <c r="BK10" s="75">
        <v>45905.625</v>
      </c>
      <c r="BL10" s="54">
        <v>100.1328125</v>
      </c>
      <c r="BM10" s="75">
        <v>45884.625</v>
      </c>
      <c r="BN10" s="54">
        <v>99.4375</v>
      </c>
      <c r="BO10" s="75">
        <v>45887.625</v>
      </c>
      <c r="BP10" s="54">
        <v>97.078125</v>
      </c>
      <c r="BR10" s="16" t="s">
        <v>28</v>
      </c>
      <c r="BS10" s="11"/>
      <c r="BT10" s="22"/>
      <c r="BU10" s="41"/>
      <c r="BV10" s="41"/>
      <c r="BY10" s="1"/>
      <c r="CA10" s="129">
        <v>45763.625</v>
      </c>
      <c r="CB10" s="54">
        <v>102.81019999999999</v>
      </c>
      <c r="CC10" s="129">
        <v>45763.625</v>
      </c>
      <c r="CD10" s="54">
        <v>71.418999999999997</v>
      </c>
      <c r="CF10" s="16" t="s">
        <v>28</v>
      </c>
      <c r="CG10" s="11"/>
      <c r="CH10" s="22"/>
      <c r="CI10" s="41"/>
      <c r="CJ10" s="41"/>
      <c r="CM10" s="1"/>
      <c r="CO10" s="129">
        <v>45763.625</v>
      </c>
      <c r="CP10" s="54">
        <v>366.89800000000002</v>
      </c>
      <c r="CQ10" s="129">
        <v>45763.625</v>
      </c>
      <c r="CR10" s="54">
        <v>71.715000000000003</v>
      </c>
      <c r="CS10" s="54"/>
      <c r="CT10" s="54"/>
      <c r="CU10" s="54"/>
      <c r="CV10" s="54"/>
      <c r="CW10" s="54"/>
      <c r="CX10" s="54"/>
      <c r="CY10" s="54"/>
      <c r="DF10" s="149" t="s">
        <v>116</v>
      </c>
      <c r="DK10" s="58">
        <f>_xlfn.STDEV.P(DG13:DG49)</f>
        <v>89871.764980712222</v>
      </c>
      <c r="DL10" s="58">
        <f>_xlfn.STDEV.P(DH13:DH49)</f>
        <v>95551.626628972663</v>
      </c>
      <c r="DM10" s="58">
        <f>_xlfn.STDEV.P(DI13:DI49)</f>
        <v>1605.4685510604218</v>
      </c>
      <c r="DN10" s="58">
        <f>_xlfn.STDEV.P(DJ13:DJ49)</f>
        <v>2563.5983634075237</v>
      </c>
      <c r="DP10" s="58"/>
      <c r="DQ10" s="58"/>
      <c r="DR10" s="58"/>
      <c r="DZ10" s="133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5">
        <v>45763.625</v>
      </c>
      <c r="V11" s="54">
        <v>91.18</v>
      </c>
      <c r="W11" s="75">
        <v>45763.625</v>
      </c>
      <c r="X11" s="54">
        <v>101.705</v>
      </c>
      <c r="Y11" s="125">
        <v>45763.625</v>
      </c>
      <c r="Z11" s="54">
        <v>120.07</v>
      </c>
      <c r="AA11" s="75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5">
        <v>45763.625</v>
      </c>
      <c r="BF11" s="54">
        <v>77.319999999999993</v>
      </c>
      <c r="BG11" s="75">
        <v>45908.625</v>
      </c>
      <c r="BH11" s="54">
        <v>100.265625</v>
      </c>
      <c r="BI11" s="75">
        <v>45763.625</v>
      </c>
      <c r="BJ11" s="54">
        <v>106.9</v>
      </c>
      <c r="BK11" s="75">
        <v>45908.625</v>
      </c>
      <c r="BL11" s="54">
        <v>100.265625</v>
      </c>
      <c r="BM11" s="75">
        <v>45887.625</v>
      </c>
      <c r="BN11" s="54">
        <v>99.3125</v>
      </c>
      <c r="BO11" s="75">
        <v>45888.625</v>
      </c>
      <c r="BP11" s="54">
        <v>97.640625</v>
      </c>
      <c r="BR11" s="54"/>
      <c r="BT11" s="1"/>
      <c r="BU11" s="41"/>
      <c r="BV11" s="41"/>
      <c r="BX11" s="1"/>
      <c r="BY11" s="1"/>
      <c r="CA11" s="129">
        <v>45768.625</v>
      </c>
      <c r="CB11" s="54">
        <v>102.39749999999999</v>
      </c>
      <c r="CC11" s="129">
        <v>45768.625</v>
      </c>
      <c r="CD11" s="54">
        <v>73.872</v>
      </c>
      <c r="CH11" s="1"/>
      <c r="CI11" s="41"/>
      <c r="CJ11" s="41"/>
      <c r="CL11" s="1"/>
      <c r="CM11" s="1"/>
      <c r="CO11" s="129">
        <v>45764.625</v>
      </c>
      <c r="CP11" s="54">
        <v>368.10199999999998</v>
      </c>
      <c r="CQ11" s="129">
        <v>45764.625</v>
      </c>
      <c r="CR11" s="54">
        <v>72.084000000000003</v>
      </c>
      <c r="CS11" s="54"/>
      <c r="CT11" s="54"/>
      <c r="CU11" s="54"/>
      <c r="CV11" s="54"/>
      <c r="CW11" s="54"/>
      <c r="CX11" s="54"/>
      <c r="CY11" s="54"/>
      <c r="DF11" s="142" t="s">
        <v>117</v>
      </c>
      <c r="DG11" s="58"/>
      <c r="DH11" s="58"/>
      <c r="DI11" s="58"/>
      <c r="DJ11" s="58"/>
      <c r="DK11" s="58">
        <f>$DK$10/DK10</f>
        <v>1</v>
      </c>
      <c r="DL11" s="58">
        <f t="shared" ref="DL11:DN11" si="0">$DK$10/DL10</f>
        <v>0.94055714330939266</v>
      </c>
      <c r="DM11" s="58">
        <f t="shared" si="0"/>
        <v>55.978527216463611</v>
      </c>
      <c r="DN11" s="58">
        <f t="shared" si="0"/>
        <v>35.05688186711707</v>
      </c>
      <c r="DO11" s="149"/>
      <c r="DP11" s="149"/>
      <c r="DQ11" s="149"/>
      <c r="DR11" s="149"/>
      <c r="DZ11" s="133"/>
    </row>
    <row r="12" spans="1:134" ht="15" thickBot="1" x14ac:dyDescent="0.35">
      <c r="A12" s="39" t="s">
        <v>22</v>
      </c>
      <c r="B12" s="153" t="s">
        <v>0</v>
      </c>
      <c r="C12" s="154"/>
      <c r="D12" s="154"/>
      <c r="E12" s="159" t="s">
        <v>1</v>
      </c>
      <c r="F12" s="160"/>
      <c r="G12" s="161"/>
      <c r="H12" s="156" t="s">
        <v>1</v>
      </c>
      <c r="I12" s="157"/>
      <c r="J12" s="158"/>
      <c r="K12" s="162" t="s">
        <v>0</v>
      </c>
      <c r="L12" s="163"/>
      <c r="M12" s="164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5">
        <v>45764.625</v>
      </c>
      <c r="V12" s="54">
        <v>91.48</v>
      </c>
      <c r="W12" s="75">
        <v>45764.625</v>
      </c>
      <c r="X12" s="54">
        <v>101.895</v>
      </c>
      <c r="Y12" s="125">
        <v>45764.625</v>
      </c>
      <c r="Z12" s="54">
        <v>120.5</v>
      </c>
      <c r="AA12" s="75">
        <v>45859.625</v>
      </c>
      <c r="AB12" s="54">
        <v>100.142</v>
      </c>
      <c r="AF12" s="39" t="s">
        <v>22</v>
      </c>
      <c r="AG12" s="153" t="s">
        <v>0</v>
      </c>
      <c r="AH12" s="154"/>
      <c r="AI12" s="154"/>
      <c r="AJ12" s="159" t="s">
        <v>1</v>
      </c>
      <c r="AK12" s="160"/>
      <c r="AL12" s="161"/>
      <c r="AM12" s="156" t="s">
        <v>1</v>
      </c>
      <c r="AN12" s="167"/>
      <c r="AO12" s="158"/>
      <c r="AP12" s="168" t="s">
        <v>0</v>
      </c>
      <c r="AQ12" s="169"/>
      <c r="AR12" s="170"/>
      <c r="AS12" s="156" t="s">
        <v>0</v>
      </c>
      <c r="AT12" s="167"/>
      <c r="AU12" s="158"/>
      <c r="AV12" s="165" t="s">
        <v>0</v>
      </c>
      <c r="AW12" s="163"/>
      <c r="AX12" s="166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5">
        <v>45764.625</v>
      </c>
      <c r="BF12" s="54">
        <v>77.77</v>
      </c>
      <c r="BG12" s="75">
        <v>45909.625</v>
      </c>
      <c r="BH12" s="54">
        <v>100.09375</v>
      </c>
      <c r="BI12" s="75">
        <v>45764.625</v>
      </c>
      <c r="BJ12" s="54">
        <v>106.75</v>
      </c>
      <c r="BK12" s="75">
        <v>45909.625</v>
      </c>
      <c r="BL12" s="54">
        <v>100.09375</v>
      </c>
      <c r="BM12" s="75">
        <v>45888.625</v>
      </c>
      <c r="BN12" s="54">
        <v>99.59375</v>
      </c>
      <c r="BO12" s="75">
        <v>45889.625</v>
      </c>
      <c r="BP12" s="54">
        <v>97.796875</v>
      </c>
      <c r="BR12" s="39" t="s">
        <v>22</v>
      </c>
      <c r="BS12" s="153" t="s">
        <v>0</v>
      </c>
      <c r="BT12" s="154"/>
      <c r="BU12" s="154"/>
      <c r="BV12" s="159" t="s">
        <v>1</v>
      </c>
      <c r="BW12" s="160"/>
      <c r="BX12" s="161"/>
      <c r="BY12" s="39" t="s">
        <v>16</v>
      </c>
      <c r="CA12" s="129">
        <v>45769.625</v>
      </c>
      <c r="CB12" s="54">
        <v>102.7501</v>
      </c>
      <c r="CC12" s="129">
        <v>45769.625</v>
      </c>
      <c r="CD12" s="54">
        <v>72.203999999999994</v>
      </c>
      <c r="CF12" s="39" t="s">
        <v>22</v>
      </c>
      <c r="CG12" s="153" t="s">
        <v>0</v>
      </c>
      <c r="CH12" s="154"/>
      <c r="CI12" s="154"/>
      <c r="CJ12" s="159" t="s">
        <v>1</v>
      </c>
      <c r="CK12" s="160"/>
      <c r="CL12" s="161"/>
      <c r="CM12" s="39" t="s">
        <v>16</v>
      </c>
      <c r="CO12" s="129">
        <v>45769.625</v>
      </c>
      <c r="CP12" s="54">
        <v>368.15899999999999</v>
      </c>
      <c r="CQ12" s="129">
        <v>45769.625</v>
      </c>
      <c r="CR12" s="54">
        <v>72.263000000000005</v>
      </c>
      <c r="CS12" s="54"/>
      <c r="CT12" s="54"/>
      <c r="CU12" s="54"/>
      <c r="CV12" s="54"/>
      <c r="CW12" s="54"/>
      <c r="CX12" s="54"/>
      <c r="CY12" s="54"/>
      <c r="DF12" s="148" t="s">
        <v>22</v>
      </c>
      <c r="DG12" s="149" t="s">
        <v>112</v>
      </c>
      <c r="DH12" s="149" t="s">
        <v>113</v>
      </c>
      <c r="DI12" s="149" t="s">
        <v>129</v>
      </c>
      <c r="DJ12" s="149" t="s">
        <v>130</v>
      </c>
      <c r="DK12" s="149" t="s">
        <v>114</v>
      </c>
      <c r="DL12" s="149" t="s">
        <v>115</v>
      </c>
      <c r="DM12" s="149" t="s">
        <v>131</v>
      </c>
      <c r="DN12" s="149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3" t="s">
        <v>22</v>
      </c>
      <c r="EA12" s="54" t="s">
        <v>120</v>
      </c>
      <c r="EB12" s="54" t="s">
        <v>121</v>
      </c>
      <c r="EC12" s="54" t="s">
        <v>135</v>
      </c>
      <c r="ED12" s="54" t="s">
        <v>136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O13" s="99"/>
      <c r="P13" s="99"/>
      <c r="Q13" s="99"/>
      <c r="R13" s="99"/>
      <c r="S13" s="143"/>
      <c r="U13" s="75">
        <v>45769.625</v>
      </c>
      <c r="V13" s="54">
        <v>91.4</v>
      </c>
      <c r="W13" s="75">
        <v>45769.625</v>
      </c>
      <c r="X13" s="54">
        <v>101.94</v>
      </c>
      <c r="Y13" s="125">
        <v>45769.625</v>
      </c>
      <c r="Z13" s="54">
        <v>120.54</v>
      </c>
      <c r="AA13" s="75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8" t="s">
        <v>21</v>
      </c>
      <c r="AO13" s="22" t="s">
        <v>20</v>
      </c>
      <c r="AP13" s="79" t="s">
        <v>17</v>
      </c>
      <c r="AQ13" s="21" t="s">
        <v>21</v>
      </c>
      <c r="AR13" s="80" t="s">
        <v>20</v>
      </c>
      <c r="AS13" s="11" t="s">
        <v>17</v>
      </c>
      <c r="AT13" s="78" t="s">
        <v>21</v>
      </c>
      <c r="AU13" s="22" t="s">
        <v>20</v>
      </c>
      <c r="AV13" s="79" t="s">
        <v>17</v>
      </c>
      <c r="AW13" s="21" t="s">
        <v>21</v>
      </c>
      <c r="AX13" s="80" t="s">
        <v>20</v>
      </c>
      <c r="AY13" s="99"/>
      <c r="AZ13" s="99"/>
      <c r="BA13" s="99"/>
      <c r="BB13" s="99"/>
      <c r="BC13" s="99"/>
      <c r="BE13" s="75">
        <v>45768.625</v>
      </c>
      <c r="BF13" s="54">
        <v>77.31</v>
      </c>
      <c r="BG13" s="75">
        <v>45910.625</v>
      </c>
      <c r="BH13" s="54">
        <v>100.1640625</v>
      </c>
      <c r="BI13" s="75">
        <v>45768.625</v>
      </c>
      <c r="BJ13" s="54">
        <v>105.6</v>
      </c>
      <c r="BK13" s="75">
        <v>45910.625</v>
      </c>
      <c r="BL13" s="54">
        <v>100.1640625</v>
      </c>
      <c r="BM13" s="75">
        <v>45889.625</v>
      </c>
      <c r="BN13" s="54">
        <v>99.71875</v>
      </c>
      <c r="BO13" s="75">
        <v>45890.625</v>
      </c>
      <c r="BP13" s="54">
        <v>97.328125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9"/>
      <c r="CA13" s="129">
        <v>45770.625</v>
      </c>
      <c r="CB13" s="54">
        <v>103.4188</v>
      </c>
      <c r="CC13" s="129">
        <v>45770.625</v>
      </c>
      <c r="CD13" s="54">
        <v>69.2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9"/>
      <c r="CO13" s="129">
        <v>45770.625</v>
      </c>
      <c r="CP13" s="54">
        <v>345.98099999999999</v>
      </c>
      <c r="CQ13" s="129">
        <v>45770.625</v>
      </c>
      <c r="CR13" s="54">
        <v>67.436999999999998</v>
      </c>
      <c r="CS13" s="54"/>
      <c r="CT13" s="54"/>
      <c r="CU13" s="54"/>
      <c r="CV13" s="54"/>
      <c r="CW13" s="54"/>
      <c r="CX13" s="54"/>
      <c r="CY13" s="54"/>
      <c r="DF13" s="142">
        <f t="shared" ref="DF13:DF49" si="1">VLOOKUP(AF14,$A$14:$A$86,1)</f>
        <v>45896.625</v>
      </c>
      <c r="DG13" s="58">
        <f t="shared" ref="DG13:DG49" si="2">VLOOKUP(DF13,A14:R86,18)</f>
        <v>140849.48499550507</v>
      </c>
      <c r="DH13" s="58">
        <f t="shared" ref="DH13:DH49" si="3">VLOOKUP(DF13,AF14:BC50,24)</f>
        <v>0</v>
      </c>
      <c r="DI13" s="58">
        <v>0</v>
      </c>
      <c r="DJ13" s="58">
        <v>0</v>
      </c>
      <c r="DK13" s="58"/>
      <c r="DL13" s="58"/>
      <c r="DM13" s="58"/>
      <c r="DN13" s="58"/>
      <c r="DO13" s="58">
        <f>DK$11*DK13</f>
        <v>0</v>
      </c>
      <c r="DP13" s="58">
        <f t="shared" ref="DP13:DR28" si="4">DL$11*DL13</f>
        <v>0</v>
      </c>
      <c r="DQ13" s="58">
        <f t="shared" si="4"/>
        <v>0</v>
      </c>
      <c r="DR13" s="58">
        <f t="shared" si="4"/>
        <v>0</v>
      </c>
      <c r="DS13" s="58"/>
      <c r="DT13" s="58"/>
      <c r="DU13" s="58"/>
      <c r="DV13" s="58"/>
      <c r="DZ13" s="133">
        <v>45896.625</v>
      </c>
      <c r="EA13" s="54">
        <v>0</v>
      </c>
      <c r="EB13" s="54">
        <v>0</v>
      </c>
      <c r="EC13" s="54">
        <v>0</v>
      </c>
      <c r="ED13" s="54">
        <v>0</v>
      </c>
    </row>
    <row r="14" spans="1:134" x14ac:dyDescent="0.3">
      <c r="A14" s="139">
        <v>45846.625</v>
      </c>
      <c r="B14" s="76">
        <f>VLOOKUP($A14+$I$2,U$3:V$500,2)</f>
        <v>93.9</v>
      </c>
      <c r="C14" s="46"/>
      <c r="D14" s="47"/>
      <c r="E14" s="76">
        <f>VLOOKUP($A14+$I$2,W$3:X$500,2)</f>
        <v>101.241</v>
      </c>
      <c r="F14" s="1"/>
      <c r="G14" s="5"/>
      <c r="H14" s="76">
        <f>VLOOKUP($A14+$I$2,Y$3:Z$500,2)</f>
        <v>121.9</v>
      </c>
      <c r="I14" s="1"/>
      <c r="J14" s="5"/>
      <c r="K14" s="76">
        <f>VLOOKUP($A14+$I$2,AA$3:AB$500,2)</f>
        <v>99.76</v>
      </c>
      <c r="L14" s="1"/>
      <c r="M14" s="5"/>
      <c r="N14" s="82">
        <v>0</v>
      </c>
      <c r="O14" s="82"/>
      <c r="P14" s="82"/>
      <c r="Q14" s="82">
        <f>$G$5*SUM($O$14:O14)-$H$5*SUM($P$14:P14)</f>
        <v>0</v>
      </c>
      <c r="R14" s="82">
        <f>N14+Q14</f>
        <v>0</v>
      </c>
      <c r="S14" s="143"/>
      <c r="U14" s="75">
        <v>45770.625</v>
      </c>
      <c r="V14" s="54">
        <v>92.29</v>
      </c>
      <c r="W14" s="75">
        <v>45770.625</v>
      </c>
      <c r="X14" s="54">
        <v>101.694</v>
      </c>
      <c r="Y14" s="125">
        <v>45770.625</v>
      </c>
      <c r="Z14" s="54">
        <v>120.5</v>
      </c>
      <c r="AA14" s="75">
        <v>45861.625</v>
      </c>
      <c r="AB14" s="54">
        <v>100.22499999999999</v>
      </c>
      <c r="AF14" s="131">
        <v>45896.625</v>
      </c>
      <c r="AG14" s="45">
        <f>VLOOKUP($AF14+$J$1,BE:BF,2)</f>
        <v>80.97</v>
      </c>
      <c r="AH14" s="46"/>
      <c r="AI14" s="46"/>
      <c r="AJ14" s="45">
        <f>VLOOKUP($AF14+$J$1,BG:BH,2)</f>
        <v>99.6484375</v>
      </c>
      <c r="AK14" s="46"/>
      <c r="AL14" s="47"/>
      <c r="AM14" s="45">
        <f>VLOOKUP($AF14+$J$1,BI:BJ,2)</f>
        <v>110.03</v>
      </c>
      <c r="AN14" s="46"/>
      <c r="AO14" s="47"/>
      <c r="AP14" s="45">
        <f>VLOOKUP($AF14+$J$1,BK:BL,2)</f>
        <v>99.6484375</v>
      </c>
      <c r="AQ14" s="46"/>
      <c r="AR14" s="47"/>
      <c r="AS14" s="45">
        <f>VLOOKUP($AF14+$J$1,BM:BN,2)</f>
        <v>100.125</v>
      </c>
      <c r="AT14" s="46"/>
      <c r="AU14" s="47"/>
      <c r="AV14" s="45">
        <f>VLOOKUP($AF14+$J$1,BO:BP,2)</f>
        <v>97.453125</v>
      </c>
      <c r="AW14" s="46"/>
      <c r="AX14" s="47"/>
      <c r="AY14" s="82">
        <v>0</v>
      </c>
      <c r="AZ14" s="82"/>
      <c r="BA14" s="82"/>
      <c r="BB14" s="82">
        <f>$AO$4*SUM($AZ$14:AZ14)-$AP$4*SUM($BA$14:BA14)</f>
        <v>0</v>
      </c>
      <c r="BC14" s="82">
        <f>AY14-BB14</f>
        <v>0</v>
      </c>
      <c r="BE14" s="75">
        <v>45769.625</v>
      </c>
      <c r="BF14" s="54">
        <v>77.61</v>
      </c>
      <c r="BG14" s="75">
        <v>45911.625</v>
      </c>
      <c r="BH14" s="54">
        <v>100.1640625</v>
      </c>
      <c r="BI14" s="75">
        <v>45769.625</v>
      </c>
      <c r="BJ14" s="54">
        <v>105.86</v>
      </c>
      <c r="BK14" s="75">
        <v>45911.625</v>
      </c>
      <c r="BL14" s="54">
        <v>100.1640625</v>
      </c>
      <c r="BM14" s="75">
        <v>45890.625</v>
      </c>
      <c r="BN14" s="54">
        <v>99.390625</v>
      </c>
      <c r="BO14" s="75">
        <v>45891.625</v>
      </c>
      <c r="BP14" s="54">
        <v>97.953125</v>
      </c>
      <c r="BR14" s="131">
        <v>45896.625</v>
      </c>
      <c r="BS14" s="45">
        <f>VLOOKUP(BR14+BV$4,CA:CB,2)</f>
        <v>107.3715</v>
      </c>
      <c r="BT14" s="46"/>
      <c r="BU14" s="46"/>
      <c r="BV14" s="45">
        <f>VLOOKUP(BR14+BV$4,CC:CD,2)</f>
        <v>50.168999999999997</v>
      </c>
      <c r="BW14" s="46"/>
      <c r="BX14" s="47"/>
      <c r="BY14" s="82">
        <v>0</v>
      </c>
      <c r="CA14" s="129">
        <v>45771.625</v>
      </c>
      <c r="CB14" s="54">
        <v>103.9344</v>
      </c>
      <c r="CC14" s="129">
        <v>45771.625</v>
      </c>
      <c r="CD14" s="54">
        <v>66.697999999999993</v>
      </c>
      <c r="CF14" s="131">
        <v>45896.625</v>
      </c>
      <c r="CG14" s="45">
        <f>VLOOKUP(CF14+CJ$4,CO:CP,2)</f>
        <v>274.23899999999998</v>
      </c>
      <c r="CH14" s="46"/>
      <c r="CI14" s="46"/>
      <c r="CJ14" s="45">
        <f>VLOOKUP(CF14+CJ$4,CQ:CR,2)</f>
        <v>54.777000000000001</v>
      </c>
      <c r="CK14" s="46"/>
      <c r="CL14" s="47"/>
      <c r="CM14" s="82">
        <v>0</v>
      </c>
      <c r="CO14" s="129">
        <v>45771.625</v>
      </c>
      <c r="CP14" s="54">
        <v>345.03100000000001</v>
      </c>
      <c r="CQ14" s="129">
        <v>45771.625</v>
      </c>
      <c r="CR14" s="54">
        <v>67.173000000000002</v>
      </c>
      <c r="CS14" s="54"/>
      <c r="CT14" s="54"/>
      <c r="CU14" s="54"/>
      <c r="CV14" s="54"/>
      <c r="CW14" s="54"/>
      <c r="CX14" s="54"/>
      <c r="CY14" s="54"/>
      <c r="DF14" s="142">
        <f t="shared" si="1"/>
        <v>45897.625</v>
      </c>
      <c r="DG14" s="58">
        <f t="shared" si="2"/>
        <v>109511.05092858453</v>
      </c>
      <c r="DH14" s="58">
        <f t="shared" si="3"/>
        <v>45216.920247701892</v>
      </c>
      <c r="DI14" s="58">
        <v>91.49999999991104</v>
      </c>
      <c r="DJ14" s="58">
        <v>9227.6197530863719</v>
      </c>
      <c r="DK14" s="58">
        <f>DG14-DG13</f>
        <v>-31338.434066920541</v>
      </c>
      <c r="DL14" s="58">
        <f>DH14-DH13</f>
        <v>45216.920247701892</v>
      </c>
      <c r="DM14" s="58">
        <f>DI14-DI13</f>
        <v>91.49999999991104</v>
      </c>
      <c r="DN14" s="58">
        <f>DJ14-DJ13</f>
        <v>9227.6197530863719</v>
      </c>
      <c r="DO14" s="58">
        <f t="shared" ref="DO14:DR49" si="5">DK$11*DK14</f>
        <v>-31338.434066920541</v>
      </c>
      <c r="DP14" s="58">
        <f t="shared" si="4"/>
        <v>42529.097337427127</v>
      </c>
      <c r="DQ14" s="58">
        <f t="shared" si="4"/>
        <v>5122.0352403014404</v>
      </c>
      <c r="DR14" s="58">
        <f t="shared" si="4"/>
        <v>323491.57559862494</v>
      </c>
      <c r="DS14" s="58"/>
      <c r="DT14" s="58"/>
      <c r="DU14" s="58"/>
      <c r="DV14" s="58"/>
      <c r="DZ14" s="133">
        <v>45897.625</v>
      </c>
      <c r="EA14" s="54">
        <v>0</v>
      </c>
      <c r="EB14" s="54">
        <v>0</v>
      </c>
      <c r="EC14" s="54">
        <v>0</v>
      </c>
      <c r="ED14" s="54">
        <v>0</v>
      </c>
    </row>
    <row r="15" spans="1:134" x14ac:dyDescent="0.3">
      <c r="A15" s="139">
        <v>45847.625</v>
      </c>
      <c r="B15" s="76">
        <f>VLOOKUP($A15+$I$2,U$3:V$500,2)</f>
        <v>94.17</v>
      </c>
      <c r="C15" s="31">
        <f t="shared" ref="C15:C78" si="6">(B15/$B$14-1)*$B$5</f>
        <v>71884.984025555314</v>
      </c>
      <c r="D15" s="32">
        <f t="shared" ref="D15:D78" si="7">-1*(A15-$A$14)/360*$B$7*$B$5</f>
        <v>-2937.5</v>
      </c>
      <c r="E15" s="76">
        <f>VLOOKUP($A15+$I$2,W$3:X$500,2)</f>
        <v>101.289</v>
      </c>
      <c r="F15" s="31">
        <f t="shared" ref="F15:F78" si="8">(E15-$E$14)/100*$C$5</f>
        <v>9600.0000000003638</v>
      </c>
      <c r="G15" s="32">
        <f t="shared" ref="G15:G78" si="9">(A15-$A$14)/360*$C$6*$C$5-(A15-$A$14)/360*$C$7*$C$5*$E$14/100</f>
        <v>-1045.8301666666666</v>
      </c>
      <c r="H15" s="76">
        <f>VLOOKUP($A15+$I$2,Y$3:Z$500,2)</f>
        <v>122</v>
      </c>
      <c r="I15" s="31">
        <f t="shared" ref="I15:I78" si="10">(H15/$H$14-1)*$D$5</f>
        <v>35274.815422478678</v>
      </c>
      <c r="J15" s="32">
        <f t="shared" ref="J15:J78" si="11">-1*(A15-$A$14)/360*$D$7*$D$5</f>
        <v>-5052.5</v>
      </c>
      <c r="K15" s="76">
        <f>VLOOKUP($A15+$I$2,AA$3:AB$500,2)</f>
        <v>99.84</v>
      </c>
      <c r="L15" s="31">
        <f t="shared" ref="L15:L78" si="12">(K15-$K$14)/100*$E$5</f>
        <v>32799.999999999302</v>
      </c>
      <c r="M15" s="32">
        <f t="shared" ref="M15:M78" si="13">(A15-$A$14)/360*$E$6*$E$5-(A15-$A$14)/360*$E$7*$E$5*$K$14/100</f>
        <v>-2300.3824444444449</v>
      </c>
      <c r="N15" s="82">
        <f t="shared" ref="N15:N78" si="14">C15+D15-F15-G15-I15-J15+L15+M15</f>
        <v>60670.616325297793</v>
      </c>
      <c r="O15" s="82"/>
      <c r="P15" s="82"/>
      <c r="Q15" s="82">
        <f>$G$5*SUM($O$14:O15)-$H$5*SUM($P$14:P15)</f>
        <v>0</v>
      </c>
      <c r="R15" s="82">
        <f t="shared" ref="R15:R78" si="15">N15+Q15</f>
        <v>60670.616325297793</v>
      </c>
      <c r="S15" s="143"/>
      <c r="U15" s="75">
        <v>45771.625</v>
      </c>
      <c r="V15" s="54">
        <v>92.32</v>
      </c>
      <c r="W15" s="75">
        <v>45771.625</v>
      </c>
      <c r="X15" s="54">
        <v>101.90300000000001</v>
      </c>
      <c r="Y15" s="125">
        <v>45771.625</v>
      </c>
      <c r="Z15" s="54">
        <v>120.87</v>
      </c>
      <c r="AA15" s="75">
        <v>45862.625</v>
      </c>
      <c r="AB15" s="54">
        <v>99.679000000000002</v>
      </c>
      <c r="AF15" s="131">
        <v>45897.625</v>
      </c>
      <c r="AG15" s="45">
        <f>VLOOKUP($AF15+$J$1,BE:BF,2)</f>
        <v>81.010000000000005</v>
      </c>
      <c r="AH15" s="46">
        <f>(AG15/$AG$14-1)*$AG$5</f>
        <v>17290.354452270672</v>
      </c>
      <c r="AI15" s="46">
        <f>-1*(AF15-$AF$14)/360*$AG$5*$AG$7</f>
        <v>-4112.5</v>
      </c>
      <c r="AJ15" s="45">
        <f>VLOOKUP($AF15+$J$1,BG:BH,2)</f>
        <v>99.6953125</v>
      </c>
      <c r="AK15" s="46">
        <f>(AJ15-$AJ$14)/100*$AH$5</f>
        <v>9140.625</v>
      </c>
      <c r="AL15" s="47">
        <f>(AF15-$AF$14)/360*$AH$5*$AH$6-(AF15-$AF$14)/360*$AH$5*$AH$7*$AJ$14/100</f>
        <v>-319.65315755208326</v>
      </c>
      <c r="AM15" s="45">
        <f>VLOOKUP($AF15+$J$1,BI:BJ,2)</f>
        <v>110.2</v>
      </c>
      <c r="AN15" s="46">
        <f>(AM15/$AM$14-1)*$AI$5</f>
        <v>55621.194219759753</v>
      </c>
      <c r="AO15" s="47">
        <f>-1*(AF15-$AF$14)/360*$AI$5*$AI$7</f>
        <v>-4230</v>
      </c>
      <c r="AP15" s="45">
        <f>VLOOKUP($AF15+$J$1,BK:BL,2)</f>
        <v>99.6953125</v>
      </c>
      <c r="AQ15" s="46">
        <f>(AP15-$AP$14)/100*$AJ$5</f>
        <v>7968.75</v>
      </c>
      <c r="AR15" s="47">
        <f>(AF15-$AF$14)/360*$AJ$5*$AJ$6-(AF15-$AF$14)/360*$AJ$5*$AJ$7*$AP$14/100</f>
        <v>-278.67198350694434</v>
      </c>
      <c r="AS15" s="45">
        <f>VLOOKUP($AF15+$J$1,BM:BN,2)</f>
        <v>100.375</v>
      </c>
      <c r="AT15" s="46">
        <f>(AS15-$AS$14)/100*$AK$5</f>
        <v>18750</v>
      </c>
      <c r="AU15" s="47">
        <f>(AF15-$AF$14)/360*$AK$5*$AK$6-(AF15-$AF$14)/360*$AK$5*$AK$7*$AS$14/100</f>
        <v>3.0651041666668561</v>
      </c>
      <c r="AV15" s="45">
        <f>VLOOKUP($AF15+$J$1,BO:BP,2)</f>
        <v>98.078125</v>
      </c>
      <c r="AW15" s="46">
        <f>(AV15-$AV$14)/100*$AL$5</f>
        <v>65625</v>
      </c>
      <c r="AX15" s="47">
        <f>(AF15-$AF$14)/360*$AL$5*$AL$6-(AF15-$AF$14)/360*$AL$5*$AL$7*$AV$14/100</f>
        <v>183.0887369791667</v>
      </c>
      <c r="AY15" s="82">
        <f>AH15+AI15-AK15-AL15-AN15-AO15+AQ15+AR15+AT15+AU15+AW15+AX15</f>
        <v>45216.920247701892</v>
      </c>
      <c r="AZ15" s="82"/>
      <c r="BA15" s="82"/>
      <c r="BB15" s="82">
        <f>$AO$4*SUM($AZ$14:AZ15)-$AP$4*SUM($BA$14:BA15)</f>
        <v>0</v>
      </c>
      <c r="BC15" s="82">
        <f t="shared" ref="BC15:BC50" si="16">AY15-BB15</f>
        <v>45216.920247701892</v>
      </c>
      <c r="BE15" s="75">
        <v>45770.625</v>
      </c>
      <c r="BF15" s="54">
        <v>78</v>
      </c>
      <c r="BG15" s="75">
        <v>45912.625</v>
      </c>
      <c r="BH15" s="54">
        <v>99.9921875</v>
      </c>
      <c r="BI15" s="75">
        <v>45770.625</v>
      </c>
      <c r="BJ15" s="54">
        <v>106.33</v>
      </c>
      <c r="BK15" s="75">
        <v>45912.625</v>
      </c>
      <c r="BL15" s="54">
        <v>99.9921875</v>
      </c>
      <c r="BM15" s="75">
        <v>45891.625</v>
      </c>
      <c r="BN15" s="54">
        <v>99.953125</v>
      </c>
      <c r="BO15" s="75">
        <v>45894.625</v>
      </c>
      <c r="BP15" s="54">
        <v>97.71875</v>
      </c>
      <c r="BR15" s="131">
        <v>45897.625</v>
      </c>
      <c r="BS15" s="45">
        <f t="shared" ref="BS15:BS50" si="17">VLOOKUP(BR15+BV$4,CA:CB,2)</f>
        <v>107.40689999999999</v>
      </c>
      <c r="BT15" s="46">
        <f>(BS15-$BS$14)/100*$BS$5</f>
        <v>707.99999999991314</v>
      </c>
      <c r="BU15" s="46">
        <f>(BR15-BR$14)/360*$BS$5*$BS$6</f>
        <v>277.77777777777777</v>
      </c>
      <c r="BV15" s="45">
        <f>VLOOKUP(BR15+BV$4,CC:CD,2)</f>
        <v>50.031999999999996</v>
      </c>
      <c r="BW15" s="46">
        <f>-1*(BV15-$BV$14)*10^-4*$BT$8*$BT$5</f>
        <v>616.50000000000216</v>
      </c>
      <c r="BX15" s="47">
        <f>(BR15-BR$14)/360*$BT$5*$BT$6</f>
        <v>277.77777777777777</v>
      </c>
      <c r="BY15" s="45">
        <f>BT15+BU15-BW15-BX15</f>
        <v>91.49999999991104</v>
      </c>
      <c r="CA15" s="129">
        <v>45772.625</v>
      </c>
      <c r="CB15" s="54">
        <v>103.9329</v>
      </c>
      <c r="CC15" s="129">
        <v>45772.625</v>
      </c>
      <c r="CD15" s="54">
        <v>66.552999999999997</v>
      </c>
      <c r="CF15" s="131">
        <v>45897.625</v>
      </c>
      <c r="CG15" s="45">
        <f t="shared" ref="CG15:CG50" si="18">VLOOKUP(CF15+CJ$4,CO:CP,2)</f>
        <v>264.39100000000002</v>
      </c>
      <c r="CH15" s="46">
        <f>-1*(CG15-$CG$14)*$CG$8*10^-4*$CG$5</f>
        <v>9629.1555555555133</v>
      </c>
      <c r="CI15" s="46">
        <f>(CF15-CF$14)/360*$CG$5*$CG$6</f>
        <v>308.64197530864197</v>
      </c>
      <c r="CJ15" s="45">
        <f>VLOOKUP(CF15+CJ$4,CQ:CR,2)</f>
        <v>54.683</v>
      </c>
      <c r="CK15" s="46">
        <f>-1*(CJ15-$CJ$14)*10^-4*$CH$8*$CH$5</f>
        <v>432.40000000000549</v>
      </c>
      <c r="CL15" s="47">
        <f>(CF15-CF$14)/360*$CH$5*$CH$6</f>
        <v>277.77777777777777</v>
      </c>
      <c r="CM15" s="45">
        <f>CH15+CI15-CK15-CL15</f>
        <v>9227.6197530863719</v>
      </c>
      <c r="CO15" s="129">
        <v>45772.625</v>
      </c>
      <c r="CP15" s="54">
        <v>341.92700000000002</v>
      </c>
      <c r="CQ15" s="129">
        <v>45772.625</v>
      </c>
      <c r="CR15" s="54">
        <v>66.277000000000001</v>
      </c>
      <c r="CS15" s="54"/>
      <c r="CT15" s="54"/>
      <c r="CU15" s="54"/>
      <c r="CV15" s="54"/>
      <c r="CW15" s="54"/>
      <c r="CX15" s="54"/>
      <c r="CY15" s="54"/>
      <c r="DF15" s="142">
        <f t="shared" si="1"/>
        <v>45898.625</v>
      </c>
      <c r="DG15" s="58">
        <f t="shared" si="2"/>
        <v>123023.9432775483</v>
      </c>
      <c r="DH15" s="58">
        <f t="shared" si="3"/>
        <v>12757.181868719301</v>
      </c>
      <c r="DI15" s="58">
        <v>87.999999999973284</v>
      </c>
      <c r="DJ15" s="58">
        <v>9467.5506172839578</v>
      </c>
      <c r="DK15" s="58">
        <f t="shared" ref="DK15:DN49" si="19">DG15-DG14</f>
        <v>13512.892348963767</v>
      </c>
      <c r="DL15" s="58">
        <f t="shared" si="19"/>
        <v>-32459.738378982591</v>
      </c>
      <c r="DM15" s="58">
        <f t="shared" si="19"/>
        <v>-3.4999999999377565</v>
      </c>
      <c r="DN15" s="58">
        <f t="shared" si="19"/>
        <v>239.93086419758583</v>
      </c>
      <c r="DO15" s="58">
        <f t="shared" si="5"/>
        <v>13512.892348963767</v>
      </c>
      <c r="DP15" s="58">
        <f t="shared" si="4"/>
        <v>-30530.238802306121</v>
      </c>
      <c r="DQ15" s="58">
        <f t="shared" si="4"/>
        <v>-195.92484525413835</v>
      </c>
      <c r="DR15" s="58">
        <f t="shared" si="4"/>
        <v>8411.2279624500752</v>
      </c>
      <c r="DS15" s="58">
        <f>SUM(DO$15:DO15)</f>
        <v>13512.892348963767</v>
      </c>
      <c r="DT15" s="58">
        <f>SUM(DP$15:DP15)</f>
        <v>-30530.238802306121</v>
      </c>
      <c r="DU15" s="58">
        <f>SUM(DQ$15:DQ15)</f>
        <v>-195.92484525413835</v>
      </c>
      <c r="DV15" s="58">
        <f>SUM(DR$15:DR15)</f>
        <v>8411.2279624500752</v>
      </c>
      <c r="DZ15" s="133">
        <v>45898.625</v>
      </c>
      <c r="EA15" s="54">
        <v>13512.892348963767</v>
      </c>
      <c r="EB15" s="54">
        <v>-30530.238802306121</v>
      </c>
      <c r="EC15" s="54">
        <v>-195.92484525413835</v>
      </c>
      <c r="ED15" s="54">
        <v>8411.2279624500752</v>
      </c>
    </row>
    <row r="16" spans="1:134" x14ac:dyDescent="0.3">
      <c r="A16" s="139">
        <v>45848.625</v>
      </c>
      <c r="B16" s="76">
        <f t="shared" ref="B16:B79" si="20">VLOOKUP($A16+$I$2,U$3:V$500,2)</f>
        <v>94.22</v>
      </c>
      <c r="C16" s="31">
        <f t="shared" si="6"/>
        <v>85197.018104365969</v>
      </c>
      <c r="D16" s="32">
        <f t="shared" si="7"/>
        <v>-5875</v>
      </c>
      <c r="E16" s="76">
        <f t="shared" ref="E16:E79" si="21">VLOOKUP($A16+$I$2,W$3:X$500,2)</f>
        <v>101.181</v>
      </c>
      <c r="F16" s="31">
        <f t="shared" si="8"/>
        <v>-12000.000000000455</v>
      </c>
      <c r="G16" s="32">
        <f t="shared" si="9"/>
        <v>-2091.6603333333333</v>
      </c>
      <c r="H16" s="76">
        <f t="shared" ref="H16:H79" si="22">VLOOKUP($A16+$I$2,Y$3:Z$500,2)</f>
        <v>121.86</v>
      </c>
      <c r="I16" s="31">
        <f t="shared" si="10"/>
        <v>-14109.926168992426</v>
      </c>
      <c r="J16" s="32">
        <f t="shared" si="11"/>
        <v>-10105</v>
      </c>
      <c r="K16" s="76">
        <f t="shared" ref="K16:K79" si="23">VLOOKUP($A16+$I$2,AA$3:AB$500,2)</f>
        <v>99.671999999999997</v>
      </c>
      <c r="L16" s="31">
        <f t="shared" si="12"/>
        <v>-36080.000000003311</v>
      </c>
      <c r="M16" s="32">
        <f t="shared" si="13"/>
        <v>-4600.7648888888898</v>
      </c>
      <c r="N16" s="82">
        <f t="shared" si="14"/>
        <v>76947.839717799972</v>
      </c>
      <c r="O16" s="82"/>
      <c r="P16" s="82"/>
      <c r="Q16" s="82">
        <f>$G$5*SUM($O$14:O16)-$H$5*SUM($P$14:P16)</f>
        <v>0</v>
      </c>
      <c r="R16" s="82">
        <f t="shared" si="15"/>
        <v>76947.839717799972</v>
      </c>
      <c r="S16" s="143"/>
      <c r="U16" s="75">
        <v>45772.625</v>
      </c>
      <c r="V16" s="54">
        <v>92.35</v>
      </c>
      <c r="W16" s="75">
        <v>45772.625</v>
      </c>
      <c r="X16" s="54">
        <v>101.78100000000001</v>
      </c>
      <c r="Y16" s="125">
        <v>45772.625</v>
      </c>
      <c r="Z16" s="54">
        <v>120.71</v>
      </c>
      <c r="AA16" s="75">
        <v>45863.625</v>
      </c>
      <c r="AB16" s="54">
        <v>99.524000000000001</v>
      </c>
      <c r="AF16" s="131">
        <v>45898.625</v>
      </c>
      <c r="AG16" s="45">
        <f t="shared" ref="AG16:AG50" si="24">VLOOKUP($AF16+$J$1,BE:BF,2)</f>
        <v>80.86</v>
      </c>
      <c r="AH16" s="46">
        <f t="shared" ref="AH16:AH50" si="25">(AG16/$AG$14-1)*$AG$5</f>
        <v>-47548.474743732695</v>
      </c>
      <c r="AI16" s="46">
        <f t="shared" ref="AI16:AI38" si="26">-1*(AF16-$AF$14)/360*$AG$5*$AG$7</f>
        <v>-8225</v>
      </c>
      <c r="AJ16" s="45">
        <f t="shared" ref="AJ16:AJ50" si="27">VLOOKUP($AF16+$J$1,BG:BH,2)</f>
        <v>99.703125</v>
      </c>
      <c r="AK16" s="46">
        <f t="shared" ref="AK16:AK50" si="28">(AJ16-$AJ$14)/100*$AH$5</f>
        <v>10664.062500000002</v>
      </c>
      <c r="AL16" s="47">
        <f t="shared" ref="AL16:AL38" si="29">(AF16-$AF$14)/360*$AH$5*$AH$6-(AF16-$AF$14)/360*$AH$5*$AH$7*$AJ$14/100</f>
        <v>-639.30631510416652</v>
      </c>
      <c r="AM16" s="45">
        <f t="shared" ref="AM16:AM50" si="30">VLOOKUP($AF16+$J$1,BI:BJ,2)</f>
        <v>109.83</v>
      </c>
      <c r="AN16" s="46">
        <f t="shared" ref="AN16:AN50" si="31">(AM16/$AM$14-1)*$AI$5</f>
        <v>-65436.699082070059</v>
      </c>
      <c r="AO16" s="47">
        <f t="shared" ref="AO16:AO38" si="32">-1*(AF16-$AF$14)/360*$AI$5*$AI$7</f>
        <v>-8460</v>
      </c>
      <c r="AP16" s="45">
        <f t="shared" ref="AP16:AP50" si="33">VLOOKUP($AF16+$J$1,BK:BL,2)</f>
        <v>99.703125</v>
      </c>
      <c r="AQ16" s="46">
        <f t="shared" ref="AQ16:AQ50" si="34">(AP16-$AP$14)/100*$AJ$5</f>
        <v>9296.875</v>
      </c>
      <c r="AR16" s="47">
        <f t="shared" ref="AR16:AR38" si="35">(AF16-$AF$14)/360*$AJ$5*$AJ$6-(AF16-$AF$14)/360*$AJ$5*$AJ$7*$AP$14/100</f>
        <v>-557.34396701388869</v>
      </c>
      <c r="AS16" s="45">
        <f t="shared" ref="AS16:AS50" si="36">VLOOKUP($AF16+$J$1,BM:BN,2)</f>
        <v>100.21875</v>
      </c>
      <c r="AT16" s="46">
        <f t="shared" ref="AT16:AT50" si="37">(AS16-$AS$14)/100*$AK$5</f>
        <v>7031.25</v>
      </c>
      <c r="AU16" s="47">
        <f t="shared" ref="AU16:AU38" si="38">(AF16-$AF$14)/360*$AK$5*$AK$6-(AF16-$AF$14)/360*$AK$5*$AK$7*$AS$14/100</f>
        <v>6.1302083333337123</v>
      </c>
      <c r="AV16" s="45">
        <f t="shared" ref="AV16:AV50" si="39">VLOOKUP($AF16+$J$1,BO:BP,2)</f>
        <v>97.34375</v>
      </c>
      <c r="AW16" s="46">
        <f t="shared" ref="AW16:AW50" si="40">(AV16-$AV$14)/100*$AL$5</f>
        <v>-11484.375000000002</v>
      </c>
      <c r="AX16" s="47">
        <f t="shared" ref="AX16:AX38" si="41">(AF16-$AF$14)/360*$AL$5*$AL$6-(AF16-$AF$14)/360*$AL$5*$AL$7*$AV$14/100</f>
        <v>366.17747395833339</v>
      </c>
      <c r="AY16" s="82">
        <f t="shared" ref="AY16:AY38" si="42">AH16+AI16-AK16-AL16-AN16-AO16+AQ16+AR16+AT16+AU16+AW16+AX16</f>
        <v>12757.181868719301</v>
      </c>
      <c r="AZ16" s="82"/>
      <c r="BA16" s="82"/>
      <c r="BB16" s="82">
        <f>$AO$4*SUM($AZ$14:AZ16)-$AP$4*SUM($BA$14:BA16)</f>
        <v>0</v>
      </c>
      <c r="BC16" s="82">
        <f t="shared" si="16"/>
        <v>12757.181868719301</v>
      </c>
      <c r="BE16" s="75">
        <v>45771.625</v>
      </c>
      <c r="BF16" s="54">
        <v>78.62</v>
      </c>
      <c r="BG16" s="75">
        <v>45915.625</v>
      </c>
      <c r="BH16" s="54">
        <v>100.09375</v>
      </c>
      <c r="BI16" s="75">
        <v>45771.625</v>
      </c>
      <c r="BJ16" s="54">
        <v>107.38</v>
      </c>
      <c r="BK16" s="75">
        <v>45915.625</v>
      </c>
      <c r="BL16" s="54">
        <v>100.09375</v>
      </c>
      <c r="BM16" s="75">
        <v>45894.625</v>
      </c>
      <c r="BN16" s="54">
        <v>99.765625</v>
      </c>
      <c r="BO16" s="75">
        <v>45895.625</v>
      </c>
      <c r="BP16" s="54">
        <v>97.59375</v>
      </c>
      <c r="BR16" s="131">
        <v>45898.625</v>
      </c>
      <c r="BS16" s="45">
        <f t="shared" si="17"/>
        <v>107.20489999999999</v>
      </c>
      <c r="BT16" s="46">
        <f t="shared" ref="BT16:BT50" si="43">(BS16-$BS$14)/100*$BS$5</f>
        <v>-3332.0000000000505</v>
      </c>
      <c r="BU16" s="46">
        <f t="shared" ref="BU16:BU50" si="44">(BR16-BR$14)/360*$BS$5*$BS$6</f>
        <v>555.55555555555554</v>
      </c>
      <c r="BV16" s="45">
        <f t="shared" ref="BV16:BV50" si="45">VLOOKUP(BR16+BV$4,CC:CD,2)</f>
        <v>50.929000000000002</v>
      </c>
      <c r="BW16" s="46">
        <f t="shared" ref="BW16:BW50" si="46">-1*(BV16-$BV$14)*10^-4*$BT$8*$BT$5</f>
        <v>-3420.0000000000236</v>
      </c>
      <c r="BX16" s="47">
        <f t="shared" ref="BX16:BX50" si="47">(BR16-BR$14)/360*$BT$5*$BT$6</f>
        <v>555.55555555555554</v>
      </c>
      <c r="BY16" s="45">
        <f t="shared" ref="BY16:BY50" si="48">BT16+BU16-BW16-BX16</f>
        <v>87.999999999973284</v>
      </c>
      <c r="CA16" s="129">
        <v>45775.625</v>
      </c>
      <c r="CB16" s="54">
        <v>103.898</v>
      </c>
      <c r="CC16" s="129">
        <v>45775.625</v>
      </c>
      <c r="CD16" s="54">
        <v>67.087000000000003</v>
      </c>
      <c r="CF16" s="131">
        <v>45898.625</v>
      </c>
      <c r="CG16" s="45">
        <f t="shared" si="18"/>
        <v>267.71499999999997</v>
      </c>
      <c r="CH16" s="46">
        <f t="shared" ref="CH16:CH50" si="49">-1*(CG16-$CG$14)*$CG$8*10^-4*$CG$5</f>
        <v>6379.0222222222228</v>
      </c>
      <c r="CI16" s="46">
        <f t="shared" ref="CI16:CI50" si="50">(CF16-CF$14)/360*$CG$5*$CG$6</f>
        <v>617.28395061728395</v>
      </c>
      <c r="CJ16" s="45">
        <f t="shared" ref="CJ16:CJ50" si="51">VLOOKUP(CF16+CJ$4,CQ:CR,2)</f>
        <v>55.435000000000002</v>
      </c>
      <c r="CK16" s="46">
        <f t="shared" ref="CK16:CK50" si="52">-1*(CJ16-$CJ$14)*10^-4*$CH$8*$CH$5</f>
        <v>-3026.8000000000052</v>
      </c>
      <c r="CL16" s="47">
        <f t="shared" ref="CL16:CL50" si="53">(CF16-CF$14)/360*$CH$5*$CH$6</f>
        <v>555.55555555555554</v>
      </c>
      <c r="CM16" s="45">
        <f t="shared" ref="CM16:CM50" si="54">CH16+CI16-CK16-CL16</f>
        <v>9467.5506172839578</v>
      </c>
      <c r="CO16" s="129">
        <v>45775.625</v>
      </c>
      <c r="CP16" s="54">
        <v>338.5</v>
      </c>
      <c r="CQ16" s="129">
        <v>45775.625</v>
      </c>
      <c r="CR16" s="54">
        <v>65.525000000000006</v>
      </c>
      <c r="CS16" s="54"/>
      <c r="CT16" s="54"/>
      <c r="CU16" s="54"/>
      <c r="CV16" s="54"/>
      <c r="CW16" s="54"/>
      <c r="CX16" s="54"/>
      <c r="CY16" s="54"/>
      <c r="DF16" s="142">
        <f t="shared" si="1"/>
        <v>45901.625</v>
      </c>
      <c r="DG16" s="58">
        <f t="shared" si="2"/>
        <v>121357.88231489121</v>
      </c>
      <c r="DH16" s="58">
        <f t="shared" si="3"/>
        <v>-622.97558570776073</v>
      </c>
      <c r="DI16" s="58">
        <v>87.999999999973397</v>
      </c>
      <c r="DJ16" s="58">
        <v>9485.3432098765297</v>
      </c>
      <c r="DK16" s="58">
        <f t="shared" si="19"/>
        <v>-1666.0609626570949</v>
      </c>
      <c r="DL16" s="58">
        <f t="shared" si="19"/>
        <v>-13380.157454427062</v>
      </c>
      <c r="DM16" s="58">
        <f t="shared" si="19"/>
        <v>1.1368683772161603E-13</v>
      </c>
      <c r="DN16" s="58">
        <f t="shared" si="19"/>
        <v>17.792592592571964</v>
      </c>
      <c r="DO16" s="58">
        <f t="shared" si="5"/>
        <v>-1666.0609626570949</v>
      </c>
      <c r="DP16" s="58">
        <f t="shared" si="4"/>
        <v>-12584.802672365793</v>
      </c>
      <c r="DQ16" s="58">
        <f t="shared" si="4"/>
        <v>6.3640217395531648E-12</v>
      </c>
      <c r="DR16" s="58">
        <f t="shared" si="4"/>
        <v>623.75281662753764</v>
      </c>
      <c r="DS16" s="58">
        <f>SUM(DO$15:DO16)</f>
        <v>11846.831386306672</v>
      </c>
      <c r="DT16" s="58">
        <f>SUM(DP$15:DP16)</f>
        <v>-43115.041474671918</v>
      </c>
      <c r="DU16" s="58">
        <f>SUM(DQ$15:DQ16)</f>
        <v>-195.92484525413198</v>
      </c>
      <c r="DV16" s="58">
        <f>SUM(DR$15:DR16)</f>
        <v>9034.9807790776122</v>
      </c>
      <c r="DZ16" s="133">
        <v>45901.625</v>
      </c>
      <c r="EA16" s="54">
        <v>11846.831386306672</v>
      </c>
      <c r="EB16" s="54">
        <v>-43115.041474671918</v>
      </c>
      <c r="EC16" s="54">
        <v>-195.92484525413198</v>
      </c>
      <c r="ED16" s="54">
        <v>9034.9807790776122</v>
      </c>
    </row>
    <row r="17" spans="1:134" x14ac:dyDescent="0.3">
      <c r="A17" s="139">
        <v>45849.625</v>
      </c>
      <c r="B17" s="76">
        <f t="shared" si="20"/>
        <v>94.12</v>
      </c>
      <c r="C17" s="31">
        <f t="shared" si="6"/>
        <v>58572.949946750217</v>
      </c>
      <c r="D17" s="32">
        <f t="shared" si="7"/>
        <v>-8812.4999999999982</v>
      </c>
      <c r="E17" s="76">
        <f t="shared" si="21"/>
        <v>101.123</v>
      </c>
      <c r="F17" s="31">
        <f t="shared" si="8"/>
        <v>-23599.999999999</v>
      </c>
      <c r="G17" s="32">
        <f t="shared" si="9"/>
        <v>-3137.490499999999</v>
      </c>
      <c r="H17" s="76">
        <f t="shared" si="22"/>
        <v>121.72</v>
      </c>
      <c r="I17" s="31">
        <f t="shared" si="10"/>
        <v>-63494.667760463533</v>
      </c>
      <c r="J17" s="32">
        <f t="shared" si="11"/>
        <v>-15157.499999999998</v>
      </c>
      <c r="K17" s="76">
        <f t="shared" si="23"/>
        <v>99.567999999999998</v>
      </c>
      <c r="L17" s="31">
        <f t="shared" si="12"/>
        <v>-78720.000000002983</v>
      </c>
      <c r="M17" s="32">
        <f t="shared" si="13"/>
        <v>-6901.1473333333324</v>
      </c>
      <c r="N17" s="82">
        <f t="shared" si="14"/>
        <v>69528.960873876451</v>
      </c>
      <c r="O17" s="82"/>
      <c r="P17" s="82"/>
      <c r="Q17" s="82">
        <f>$G$5*SUM($O$14:O17)-$H$5*SUM($P$14:P17)</f>
        <v>0</v>
      </c>
      <c r="R17" s="82">
        <f t="shared" si="15"/>
        <v>69528.960873876451</v>
      </c>
      <c r="S17" s="143"/>
      <c r="U17" s="75">
        <v>45776.625</v>
      </c>
      <c r="V17" s="54">
        <v>92.23</v>
      </c>
      <c r="W17" s="75">
        <v>45775.625</v>
      </c>
      <c r="X17" s="54">
        <v>101.74299999999999</v>
      </c>
      <c r="Y17" s="125">
        <v>45775.625</v>
      </c>
      <c r="Z17" s="54">
        <v>120.57</v>
      </c>
      <c r="AA17" s="75">
        <v>45866.625</v>
      </c>
      <c r="AB17" s="54">
        <v>99.715000000000003</v>
      </c>
      <c r="AF17" s="131">
        <v>45901.625</v>
      </c>
      <c r="AG17" s="45">
        <f t="shared" si="24"/>
        <v>80.86</v>
      </c>
      <c r="AH17" s="46">
        <f t="shared" si="25"/>
        <v>-47548.474743732695</v>
      </c>
      <c r="AI17" s="46">
        <f t="shared" si="26"/>
        <v>-20562.499999999996</v>
      </c>
      <c r="AJ17" s="45">
        <f t="shared" si="27"/>
        <v>99.6796875</v>
      </c>
      <c r="AK17" s="46">
        <f t="shared" si="28"/>
        <v>6093.75</v>
      </c>
      <c r="AL17" s="47">
        <f t="shared" si="29"/>
        <v>-1598.2657877604161</v>
      </c>
      <c r="AM17" s="45">
        <f t="shared" si="30"/>
        <v>109.83</v>
      </c>
      <c r="AN17" s="46">
        <f t="shared" si="31"/>
        <v>-65436.699082070059</v>
      </c>
      <c r="AO17" s="47">
        <f t="shared" si="32"/>
        <v>-21150</v>
      </c>
      <c r="AP17" s="45">
        <f t="shared" si="33"/>
        <v>99.6796875</v>
      </c>
      <c r="AQ17" s="46">
        <f t="shared" si="34"/>
        <v>5312.5</v>
      </c>
      <c r="AR17" s="47">
        <f t="shared" si="35"/>
        <v>-1393.3599175347208</v>
      </c>
      <c r="AS17" s="45">
        <f t="shared" si="36"/>
        <v>100.171875</v>
      </c>
      <c r="AT17" s="46">
        <f t="shared" si="37"/>
        <v>3515.625</v>
      </c>
      <c r="AU17" s="47">
        <f t="shared" si="38"/>
        <v>15.32552083333394</v>
      </c>
      <c r="AV17" s="45">
        <f t="shared" si="39"/>
        <v>97.234375</v>
      </c>
      <c r="AW17" s="46">
        <f t="shared" si="40"/>
        <v>-22968.750000000004</v>
      </c>
      <c r="AX17" s="47">
        <f t="shared" si="41"/>
        <v>915.44368489583303</v>
      </c>
      <c r="AY17" s="82">
        <f t="shared" si="42"/>
        <v>-622.97558570776073</v>
      </c>
      <c r="AZ17" s="82"/>
      <c r="BA17" s="82"/>
      <c r="BB17" s="82">
        <f>$AO$4*SUM($AZ$14:AZ17)-$AP$4*SUM($BA$14:BA17)</f>
        <v>0</v>
      </c>
      <c r="BC17" s="82">
        <f t="shared" si="16"/>
        <v>-622.97558570776073</v>
      </c>
      <c r="BE17" s="75">
        <v>45772.625</v>
      </c>
      <c r="BF17" s="54">
        <v>78.77</v>
      </c>
      <c r="BG17" s="75">
        <v>45916.625</v>
      </c>
      <c r="BH17" s="54">
        <v>100.15625</v>
      </c>
      <c r="BI17" s="75">
        <v>45772.625</v>
      </c>
      <c r="BJ17" s="54">
        <v>107.99</v>
      </c>
      <c r="BK17" s="75">
        <v>45916.625</v>
      </c>
      <c r="BL17" s="54">
        <v>100.15625</v>
      </c>
      <c r="BM17" s="75">
        <v>45895.625</v>
      </c>
      <c r="BN17" s="54">
        <v>99.984375</v>
      </c>
      <c r="BO17" s="75">
        <v>45896.625</v>
      </c>
      <c r="BP17" s="54">
        <v>97.453125</v>
      </c>
      <c r="BR17" s="131">
        <v>45901.625</v>
      </c>
      <c r="BS17" s="45">
        <f t="shared" si="17"/>
        <v>107.20489999999999</v>
      </c>
      <c r="BT17" s="46">
        <f t="shared" si="43"/>
        <v>-3332.0000000000505</v>
      </c>
      <c r="BU17" s="46">
        <f t="shared" si="44"/>
        <v>1388.8888888888889</v>
      </c>
      <c r="BV17" s="45">
        <f t="shared" si="45"/>
        <v>50.929000000000002</v>
      </c>
      <c r="BW17" s="46">
        <f t="shared" si="46"/>
        <v>-3420.0000000000236</v>
      </c>
      <c r="BX17" s="47">
        <f t="shared" si="47"/>
        <v>1388.8888888888887</v>
      </c>
      <c r="BY17" s="45">
        <f t="shared" si="48"/>
        <v>87.999999999973397</v>
      </c>
      <c r="CA17" s="129">
        <v>45776.625</v>
      </c>
      <c r="CB17" s="54">
        <v>103.99760000000001</v>
      </c>
      <c r="CC17" s="129">
        <v>45776.625</v>
      </c>
      <c r="CD17" s="54">
        <v>66.930999999999997</v>
      </c>
      <c r="CF17" s="131">
        <v>45901.625</v>
      </c>
      <c r="CG17" s="45">
        <f t="shared" si="18"/>
        <v>268.10199999999998</v>
      </c>
      <c r="CH17" s="46">
        <f t="shared" si="49"/>
        <v>6000.6222222222232</v>
      </c>
      <c r="CI17" s="46">
        <f t="shared" si="50"/>
        <v>1543.2098765432097</v>
      </c>
      <c r="CJ17" s="45">
        <f t="shared" si="51"/>
        <v>55.500999999999998</v>
      </c>
      <c r="CK17" s="46">
        <f t="shared" si="52"/>
        <v>-3330.3999999999846</v>
      </c>
      <c r="CL17" s="47">
        <f t="shared" si="53"/>
        <v>1388.8888888888887</v>
      </c>
      <c r="CM17" s="45">
        <f t="shared" si="54"/>
        <v>9485.3432098765297</v>
      </c>
      <c r="CO17" s="129">
        <v>45776.625</v>
      </c>
      <c r="CP17" s="54">
        <v>341.74400000000003</v>
      </c>
      <c r="CQ17" s="129">
        <v>45776.625</v>
      </c>
      <c r="CR17" s="54">
        <v>66.52</v>
      </c>
      <c r="CS17" s="54"/>
      <c r="CT17" s="54"/>
      <c r="CU17" s="54"/>
      <c r="CV17" s="54"/>
      <c r="CW17" s="54"/>
      <c r="CX17" s="54"/>
      <c r="CY17" s="54"/>
      <c r="DF17" s="142">
        <f t="shared" si="1"/>
        <v>45902.625</v>
      </c>
      <c r="DG17" s="58">
        <f t="shared" si="2"/>
        <v>129016.78571010823</v>
      </c>
      <c r="DH17" s="58">
        <f t="shared" si="3"/>
        <v>-68580.005564924082</v>
      </c>
      <c r="DI17" s="58">
        <v>394.00000000013688</v>
      </c>
      <c r="DJ17" s="58">
        <v>10067.718518518474</v>
      </c>
      <c r="DK17" s="58">
        <f t="shared" si="19"/>
        <v>7658.9033952170284</v>
      </c>
      <c r="DL17" s="58">
        <f t="shared" si="19"/>
        <v>-67957.029979216328</v>
      </c>
      <c r="DM17" s="58">
        <f t="shared" si="19"/>
        <v>306.00000000016348</v>
      </c>
      <c r="DN17" s="58">
        <f t="shared" si="19"/>
        <v>582.37530864194378</v>
      </c>
      <c r="DO17" s="58">
        <f t="shared" si="5"/>
        <v>7658.9033952170284</v>
      </c>
      <c r="DP17" s="58">
        <f t="shared" si="4"/>
        <v>-63917.469985042466</v>
      </c>
      <c r="DQ17" s="58">
        <f t="shared" si="4"/>
        <v>17129.429328247017</v>
      </c>
      <c r="DR17" s="58">
        <f t="shared" si="4"/>
        <v>20416.262397386465</v>
      </c>
      <c r="DS17" s="58">
        <f>SUM(DO$15:DO17)</f>
        <v>19505.734781523701</v>
      </c>
      <c r="DT17" s="58">
        <f>SUM(DP$15:DP17)</f>
        <v>-107032.51145971438</v>
      </c>
      <c r="DU17" s="58">
        <f>SUM(DQ$15:DQ17)</f>
        <v>16933.504482992885</v>
      </c>
      <c r="DV17" s="58">
        <f>SUM(DR$15:DR17)</f>
        <v>29451.243176464079</v>
      </c>
      <c r="DZ17" s="133">
        <v>45902.625</v>
      </c>
      <c r="EA17" s="54">
        <v>19505.734781523701</v>
      </c>
      <c r="EB17" s="54">
        <v>-107032.51145971438</v>
      </c>
      <c r="EC17" s="54">
        <v>16933.504482992885</v>
      </c>
      <c r="ED17" s="54">
        <v>29451.243176464079</v>
      </c>
    </row>
    <row r="18" spans="1:134" x14ac:dyDescent="0.3">
      <c r="A18" s="139">
        <v>45852.625</v>
      </c>
      <c r="B18" s="76">
        <f t="shared" si="20"/>
        <v>94.05</v>
      </c>
      <c r="C18" s="31">
        <f t="shared" si="6"/>
        <v>39936.102236420855</v>
      </c>
      <c r="D18" s="32">
        <f t="shared" si="7"/>
        <v>-17624.999999999996</v>
      </c>
      <c r="E18" s="76">
        <f t="shared" si="21"/>
        <v>101.181</v>
      </c>
      <c r="F18" s="31">
        <f t="shared" si="8"/>
        <v>-12000.000000000455</v>
      </c>
      <c r="G18" s="32">
        <f t="shared" si="9"/>
        <v>-6274.9809999999979</v>
      </c>
      <c r="H18" s="76">
        <f t="shared" si="22"/>
        <v>121.74</v>
      </c>
      <c r="I18" s="31">
        <f t="shared" si="10"/>
        <v>-56439.704675969704</v>
      </c>
      <c r="J18" s="32">
        <f t="shared" si="11"/>
        <v>-30314.999999999996</v>
      </c>
      <c r="K18" s="76">
        <f t="shared" si="23"/>
        <v>99.611999999999995</v>
      </c>
      <c r="L18" s="31">
        <f t="shared" si="12"/>
        <v>-60680.000000004242</v>
      </c>
      <c r="M18" s="32">
        <f t="shared" si="13"/>
        <v>-13802.294666666665</v>
      </c>
      <c r="N18" s="82">
        <f t="shared" si="14"/>
        <v>52858.493245720092</v>
      </c>
      <c r="O18" s="82"/>
      <c r="P18" s="82"/>
      <c r="Q18" s="82">
        <f>$G$5*SUM($O$14:O18)-$H$5*SUM($P$14:P18)</f>
        <v>0</v>
      </c>
      <c r="R18" s="82">
        <f t="shared" si="15"/>
        <v>52858.493245720092</v>
      </c>
      <c r="S18" s="143"/>
      <c r="U18" s="75">
        <v>45777.625</v>
      </c>
      <c r="V18" s="54">
        <v>91.86</v>
      </c>
      <c r="W18" s="75">
        <v>45776.625</v>
      </c>
      <c r="X18" s="54">
        <v>101.75</v>
      </c>
      <c r="Y18" s="125">
        <v>45777.625</v>
      </c>
      <c r="Z18" s="54">
        <v>120.56</v>
      </c>
      <c r="AA18" s="75">
        <v>45867.625</v>
      </c>
      <c r="AB18" s="54">
        <v>99.623999999999995</v>
      </c>
      <c r="AF18" s="131">
        <v>45902.625</v>
      </c>
      <c r="AG18" s="45">
        <f t="shared" si="24"/>
        <v>80.39</v>
      </c>
      <c r="AH18" s="46">
        <f t="shared" si="25"/>
        <v>-250710.1395578587</v>
      </c>
      <c r="AI18" s="46">
        <f t="shared" si="26"/>
        <v>-24675</v>
      </c>
      <c r="AJ18" s="45">
        <f t="shared" si="27"/>
        <v>99.53125</v>
      </c>
      <c r="AK18" s="46">
        <f t="shared" si="28"/>
        <v>-22851.5625</v>
      </c>
      <c r="AL18" s="47">
        <f t="shared" si="29"/>
        <v>-1917.9189453125</v>
      </c>
      <c r="AM18" s="45">
        <f t="shared" si="30"/>
        <v>109.05</v>
      </c>
      <c r="AN18" s="46">
        <f t="shared" si="31"/>
        <v>-320639.82550213812</v>
      </c>
      <c r="AO18" s="47">
        <f t="shared" si="32"/>
        <v>-25380</v>
      </c>
      <c r="AP18" s="45">
        <f t="shared" si="33"/>
        <v>99.53125</v>
      </c>
      <c r="AQ18" s="46">
        <f t="shared" si="34"/>
        <v>-19921.875</v>
      </c>
      <c r="AR18" s="47">
        <f t="shared" si="35"/>
        <v>-1672.0319010416661</v>
      </c>
      <c r="AS18" s="45">
        <f t="shared" si="36"/>
        <v>99.859375</v>
      </c>
      <c r="AT18" s="46">
        <f t="shared" si="37"/>
        <v>-19921.875</v>
      </c>
      <c r="AU18" s="47">
        <f t="shared" si="38"/>
        <v>18.390625</v>
      </c>
      <c r="AV18" s="45">
        <f t="shared" si="39"/>
        <v>96.65625</v>
      </c>
      <c r="AW18" s="46">
        <f t="shared" si="40"/>
        <v>-83671.875</v>
      </c>
      <c r="AX18" s="47">
        <f t="shared" si="41"/>
        <v>1098.5324218750011</v>
      </c>
      <c r="AY18" s="82">
        <f t="shared" si="42"/>
        <v>-28666.566464574746</v>
      </c>
      <c r="AZ18" s="82">
        <v>0.38332100000000002</v>
      </c>
      <c r="BA18" s="82">
        <v>0.384434</v>
      </c>
      <c r="BB18" s="82">
        <f>$AO$4*SUM($AZ$14:AZ18)-$AP$4*SUM($BA$14:BA18)</f>
        <v>39913.439100349337</v>
      </c>
      <c r="BC18" s="82">
        <f t="shared" si="16"/>
        <v>-68580.005564924082</v>
      </c>
      <c r="BE18" s="75">
        <v>45775.625</v>
      </c>
      <c r="BF18" s="54">
        <v>78.81</v>
      </c>
      <c r="BG18" s="75">
        <v>45917.625</v>
      </c>
      <c r="BH18" s="54">
        <v>99.953125</v>
      </c>
      <c r="BI18" s="75">
        <v>45775.625</v>
      </c>
      <c r="BJ18" s="54">
        <v>108.24</v>
      </c>
      <c r="BK18" s="75">
        <v>45917.625</v>
      </c>
      <c r="BL18" s="54">
        <v>99.953125</v>
      </c>
      <c r="BM18" s="75">
        <v>45896.625</v>
      </c>
      <c r="BN18" s="54">
        <v>100.125</v>
      </c>
      <c r="BO18" s="75">
        <v>45897.625</v>
      </c>
      <c r="BP18" s="54">
        <v>98.078125</v>
      </c>
      <c r="BR18" s="131">
        <v>45902.625</v>
      </c>
      <c r="BS18" s="45">
        <f t="shared" si="17"/>
        <v>107.1491</v>
      </c>
      <c r="BT18" s="46">
        <f t="shared" si="43"/>
        <v>-4447.9999999998654</v>
      </c>
      <c r="BU18" s="46">
        <f t="shared" si="44"/>
        <v>1666.666666666667</v>
      </c>
      <c r="BV18" s="45">
        <f t="shared" si="45"/>
        <v>51.244999999999997</v>
      </c>
      <c r="BW18" s="46">
        <f t="shared" si="46"/>
        <v>-4842.0000000000018</v>
      </c>
      <c r="BX18" s="47">
        <f t="shared" si="47"/>
        <v>1666.6666666666665</v>
      </c>
      <c r="BY18" s="45">
        <f t="shared" si="48"/>
        <v>394.00000000013688</v>
      </c>
      <c r="CA18" s="129">
        <v>45777.625</v>
      </c>
      <c r="CB18" s="54">
        <v>103.62090000000001</v>
      </c>
      <c r="CC18" s="129">
        <v>45777.625</v>
      </c>
      <c r="CD18" s="54">
        <v>68.186000000000007</v>
      </c>
      <c r="CF18" s="131">
        <v>45902.625</v>
      </c>
      <c r="CG18" s="45">
        <f t="shared" si="18"/>
        <v>274.209</v>
      </c>
      <c r="CH18" s="46">
        <f t="shared" si="49"/>
        <v>29.333333333306655</v>
      </c>
      <c r="CI18" s="46">
        <f t="shared" si="50"/>
        <v>1851.851851851852</v>
      </c>
      <c r="CJ18" s="45">
        <f t="shared" si="51"/>
        <v>56.918999999999997</v>
      </c>
      <c r="CK18" s="46">
        <f t="shared" si="52"/>
        <v>-9853.1999999999807</v>
      </c>
      <c r="CL18" s="47">
        <f t="shared" si="53"/>
        <v>1666.6666666666665</v>
      </c>
      <c r="CM18" s="45">
        <f t="shared" si="54"/>
        <v>10067.718518518474</v>
      </c>
      <c r="CO18" s="129">
        <v>45777.625</v>
      </c>
      <c r="CP18" s="54">
        <v>350.83699999999999</v>
      </c>
      <c r="CQ18" s="129">
        <v>45777.625</v>
      </c>
      <c r="CR18" s="54">
        <v>68.284000000000006</v>
      </c>
      <c r="CS18" s="54"/>
      <c r="CT18" s="54"/>
      <c r="CU18" s="54"/>
      <c r="CV18" s="54"/>
      <c r="CW18" s="54"/>
      <c r="CX18" s="54"/>
      <c r="CY18" s="54"/>
      <c r="DF18" s="142">
        <f t="shared" si="1"/>
        <v>45903.625</v>
      </c>
      <c r="DG18" s="58">
        <f t="shared" si="2"/>
        <v>106248.92721230641</v>
      </c>
      <c r="DH18" s="58">
        <f t="shared" si="3"/>
        <v>-54753.005578996301</v>
      </c>
      <c r="DI18" s="58">
        <v>-896.49999999981128</v>
      </c>
      <c r="DJ18" s="58">
        <v>9402.0938271604828</v>
      </c>
      <c r="DK18" s="58">
        <f t="shared" si="19"/>
        <v>-22767.858497801819</v>
      </c>
      <c r="DL18" s="58">
        <f t="shared" si="19"/>
        <v>13826.999985927781</v>
      </c>
      <c r="DM18" s="58">
        <f t="shared" si="19"/>
        <v>-1290.4999999999482</v>
      </c>
      <c r="DN18" s="58">
        <f t="shared" si="19"/>
        <v>-665.62469135799074</v>
      </c>
      <c r="DO18" s="58">
        <f t="shared" si="5"/>
        <v>-22767.858497801819</v>
      </c>
      <c r="DP18" s="58">
        <f t="shared" si="4"/>
        <v>13005.083607303246</v>
      </c>
      <c r="DQ18" s="58">
        <f t="shared" si="4"/>
        <v>-72240.289372843385</v>
      </c>
      <c r="DR18" s="58">
        <f t="shared" si="4"/>
        <v>-23334.726172773342</v>
      </c>
      <c r="DS18" s="58">
        <f>SUM(DO$15:DO18)</f>
        <v>-3262.1237162781181</v>
      </c>
      <c r="DT18" s="58">
        <f>SUM(DP$15:DP18)</f>
        <v>-94027.427852411143</v>
      </c>
      <c r="DU18" s="58">
        <f>SUM(DQ$15:DQ18)</f>
        <v>-55306.784889850504</v>
      </c>
      <c r="DV18" s="58">
        <f>SUM(DR$15:DR18)</f>
        <v>6116.5170036907366</v>
      </c>
      <c r="DZ18" s="133">
        <v>45903.625</v>
      </c>
      <c r="EA18" s="54">
        <v>-3262.1237162781181</v>
      </c>
      <c r="EB18" s="54">
        <v>-94027.427852411143</v>
      </c>
      <c r="EC18" s="54">
        <v>-55306.784889850504</v>
      </c>
      <c r="ED18" s="54">
        <v>6116.5170036907366</v>
      </c>
    </row>
    <row r="19" spans="1:134" x14ac:dyDescent="0.3">
      <c r="A19" s="139">
        <v>45853.625</v>
      </c>
      <c r="B19" s="76">
        <f t="shared" si="20"/>
        <v>94.05</v>
      </c>
      <c r="C19" s="31">
        <f t="shared" si="6"/>
        <v>39936.102236420855</v>
      </c>
      <c r="D19" s="32">
        <f t="shared" si="7"/>
        <v>-20562.5</v>
      </c>
      <c r="E19" s="76">
        <f t="shared" si="21"/>
        <v>101.23699999999999</v>
      </c>
      <c r="F19" s="31">
        <f t="shared" si="8"/>
        <v>-800.00000000097771</v>
      </c>
      <c r="G19" s="32">
        <f t="shared" si="9"/>
        <v>-7320.8111666666646</v>
      </c>
      <c r="H19" s="76">
        <f t="shared" si="22"/>
        <v>121.85</v>
      </c>
      <c r="I19" s="31">
        <f t="shared" si="10"/>
        <v>-17637.407711244112</v>
      </c>
      <c r="J19" s="32">
        <f t="shared" si="11"/>
        <v>-35367.5</v>
      </c>
      <c r="K19" s="76">
        <f t="shared" si="23"/>
        <v>99.713999999999999</v>
      </c>
      <c r="L19" s="31">
        <f t="shared" si="12"/>
        <v>-18860.000000002656</v>
      </c>
      <c r="M19" s="32">
        <f t="shared" si="13"/>
        <v>-16102.677111111112</v>
      </c>
      <c r="N19" s="82">
        <f t="shared" si="14"/>
        <v>45536.64400321884</v>
      </c>
      <c r="O19" s="82"/>
      <c r="P19" s="82"/>
      <c r="Q19" s="82">
        <f>$G$5*SUM($O$14:O19)-$H$5*SUM($P$14:P19)</f>
        <v>0</v>
      </c>
      <c r="R19" s="82">
        <f t="shared" si="15"/>
        <v>45536.64400321884</v>
      </c>
      <c r="S19" s="143"/>
      <c r="U19" s="75">
        <v>45778.625</v>
      </c>
      <c r="V19" s="54">
        <v>92.17</v>
      </c>
      <c r="W19" s="75">
        <v>45777.625</v>
      </c>
      <c r="X19" s="54">
        <v>101.923</v>
      </c>
      <c r="Y19" s="125">
        <v>45778.625</v>
      </c>
      <c r="Z19" s="54">
        <v>120.75</v>
      </c>
      <c r="AA19" s="75">
        <v>45868.625</v>
      </c>
      <c r="AB19" s="54">
        <v>99.552999999999997</v>
      </c>
      <c r="AF19" s="131">
        <v>45903.625</v>
      </c>
      <c r="AG19" s="45">
        <f t="shared" si="24"/>
        <v>80.61</v>
      </c>
      <c r="AH19" s="46">
        <f t="shared" si="25"/>
        <v>-155613.19007039719</v>
      </c>
      <c r="AI19" s="46">
        <f t="shared" si="26"/>
        <v>-28787.5</v>
      </c>
      <c r="AJ19" s="45">
        <f t="shared" si="27"/>
        <v>99.6796875</v>
      </c>
      <c r="AK19" s="46">
        <f t="shared" si="28"/>
        <v>6093.75</v>
      </c>
      <c r="AL19" s="47">
        <f t="shared" si="29"/>
        <v>-2237.5721028645839</v>
      </c>
      <c r="AM19" s="45">
        <f t="shared" si="30"/>
        <v>109.7</v>
      </c>
      <c r="AN19" s="46">
        <f t="shared" si="31"/>
        <v>-107970.5534854134</v>
      </c>
      <c r="AO19" s="47">
        <f t="shared" si="32"/>
        <v>-29609.999999999996</v>
      </c>
      <c r="AP19" s="45">
        <f t="shared" si="33"/>
        <v>99.6796875</v>
      </c>
      <c r="AQ19" s="46">
        <f t="shared" si="34"/>
        <v>5312.5</v>
      </c>
      <c r="AR19" s="47">
        <f t="shared" si="35"/>
        <v>-1950.7038845486113</v>
      </c>
      <c r="AS19" s="45">
        <f t="shared" si="36"/>
        <v>100.234375</v>
      </c>
      <c r="AT19" s="46">
        <f t="shared" si="37"/>
        <v>8203.125</v>
      </c>
      <c r="AU19" s="47">
        <f t="shared" si="38"/>
        <v>21.455729166667879</v>
      </c>
      <c r="AV19" s="45">
        <f t="shared" si="39"/>
        <v>97.671875</v>
      </c>
      <c r="AW19" s="46">
        <f t="shared" si="40"/>
        <v>22968.750000000004</v>
      </c>
      <c r="AX19" s="47">
        <f t="shared" si="41"/>
        <v>1281.6211588541682</v>
      </c>
      <c r="AY19" s="82">
        <f t="shared" si="42"/>
        <v>-14839.566478646962</v>
      </c>
      <c r="AZ19" s="82"/>
      <c r="BA19" s="82"/>
      <c r="BB19" s="82">
        <f>$AO$4*SUM($AZ$14:AZ19)-$AP$4*SUM($BA$14:BA19)</f>
        <v>39913.439100349337</v>
      </c>
      <c r="BC19" s="82">
        <f t="shared" si="16"/>
        <v>-54753.005578996301</v>
      </c>
      <c r="BE19" s="75">
        <v>45776.625</v>
      </c>
      <c r="BF19" s="54">
        <v>79.02</v>
      </c>
      <c r="BG19" s="75">
        <v>45918.625</v>
      </c>
      <c r="BH19" s="54">
        <v>99.7890625</v>
      </c>
      <c r="BI19" s="75">
        <v>45776.625</v>
      </c>
      <c r="BJ19" s="54">
        <v>108.49</v>
      </c>
      <c r="BK19" s="75">
        <v>45918.625</v>
      </c>
      <c r="BL19" s="54">
        <v>99.7890625</v>
      </c>
      <c r="BM19" s="75">
        <v>45897.625</v>
      </c>
      <c r="BN19" s="54">
        <v>100.375</v>
      </c>
      <c r="BO19" s="75">
        <v>45898.625</v>
      </c>
      <c r="BP19" s="54">
        <v>97.34375</v>
      </c>
      <c r="BR19" s="131">
        <v>45903.625</v>
      </c>
      <c r="BS19" s="45">
        <f t="shared" si="17"/>
        <v>107.15860000000001</v>
      </c>
      <c r="BT19" s="46">
        <f t="shared" si="43"/>
        <v>-4257.9999999998108</v>
      </c>
      <c r="BU19" s="46">
        <f t="shared" si="44"/>
        <v>1944.4444444444446</v>
      </c>
      <c r="BV19" s="45">
        <f t="shared" si="45"/>
        <v>50.915999999999997</v>
      </c>
      <c r="BW19" s="46">
        <f t="shared" si="46"/>
        <v>-3361.4999999999995</v>
      </c>
      <c r="BX19" s="47">
        <f t="shared" si="47"/>
        <v>1944.4444444444443</v>
      </c>
      <c r="BY19" s="45">
        <f t="shared" si="48"/>
        <v>-896.49999999981128</v>
      </c>
      <c r="CA19" s="129">
        <v>45778.625</v>
      </c>
      <c r="CB19" s="54">
        <v>103.7897</v>
      </c>
      <c r="CC19" s="129">
        <v>45778.625</v>
      </c>
      <c r="CD19" s="54">
        <v>67.370999999999995</v>
      </c>
      <c r="CF19" s="131">
        <v>45903.625</v>
      </c>
      <c r="CG19" s="45">
        <f t="shared" si="18"/>
        <v>267.14</v>
      </c>
      <c r="CH19" s="46">
        <f t="shared" si="49"/>
        <v>6941.2444444444345</v>
      </c>
      <c r="CI19" s="46">
        <f t="shared" si="50"/>
        <v>2160.4938271604938</v>
      </c>
      <c r="CJ19" s="45">
        <f t="shared" si="51"/>
        <v>55.265000000000001</v>
      </c>
      <c r="CK19" s="46">
        <f t="shared" si="52"/>
        <v>-2244.7999999999979</v>
      </c>
      <c r="CL19" s="47">
        <f t="shared" si="53"/>
        <v>1944.4444444444443</v>
      </c>
      <c r="CM19" s="45">
        <f t="shared" si="54"/>
        <v>9402.0938271604828</v>
      </c>
      <c r="CO19" s="129">
        <v>45778.625</v>
      </c>
      <c r="CP19" s="54">
        <v>343.14400000000001</v>
      </c>
      <c r="CQ19" s="129">
        <v>45778.625</v>
      </c>
      <c r="CR19" s="54">
        <v>66.575999999999993</v>
      </c>
      <c r="CS19" s="54"/>
      <c r="CT19" s="54"/>
      <c r="CU19" s="54"/>
      <c r="CV19" s="54"/>
      <c r="CW19" s="54"/>
      <c r="CX19" s="54"/>
      <c r="CY19" s="54"/>
      <c r="DF19" s="142">
        <f t="shared" si="1"/>
        <v>45904.625</v>
      </c>
      <c r="DG19" s="58">
        <f t="shared" si="2"/>
        <v>90683.290057258215</v>
      </c>
      <c r="DH19" s="58">
        <f t="shared" si="3"/>
        <v>-112927.88124716537</v>
      </c>
      <c r="DI19" s="58">
        <v>-2325.9999999998727</v>
      </c>
      <c r="DJ19" s="58">
        <v>7675.446913580221</v>
      </c>
      <c r="DK19" s="58">
        <f t="shared" si="19"/>
        <v>-15565.6371550482</v>
      </c>
      <c r="DL19" s="58">
        <f t="shared" si="19"/>
        <v>-58174.875668169065</v>
      </c>
      <c r="DM19" s="58">
        <f t="shared" si="19"/>
        <v>-1429.5000000000614</v>
      </c>
      <c r="DN19" s="58">
        <f t="shared" si="19"/>
        <v>-1726.6469135802618</v>
      </c>
      <c r="DO19" s="58">
        <f t="shared" si="5"/>
        <v>-15565.6371550482</v>
      </c>
      <c r="DP19" s="58">
        <f t="shared" si="4"/>
        <v>-54716.794870832193</v>
      </c>
      <c r="DQ19" s="58">
        <f t="shared" si="4"/>
        <v>-80021.304655938162</v>
      </c>
      <c r="DR19" s="58">
        <f t="shared" si="4"/>
        <v>-60530.856875605532</v>
      </c>
      <c r="DS19" s="58">
        <f>SUM(DO$15:DO19)</f>
        <v>-18827.760871326318</v>
      </c>
      <c r="DT19" s="58">
        <f>SUM(DP$15:DP19)</f>
        <v>-148744.22272324335</v>
      </c>
      <c r="DU19" s="58">
        <f>SUM(DQ$15:DQ19)</f>
        <v>-135328.08954578865</v>
      </c>
      <c r="DV19" s="58">
        <f>SUM(DR$15:DR19)</f>
        <v>-54414.339871914795</v>
      </c>
      <c r="DZ19" s="133">
        <v>45904.625</v>
      </c>
      <c r="EA19" s="54">
        <v>-18827.760871326318</v>
      </c>
      <c r="EB19" s="54">
        <v>-148744.22272324335</v>
      </c>
      <c r="EC19" s="54">
        <v>-135328.08954578865</v>
      </c>
      <c r="ED19" s="54">
        <v>-54414.339871914795</v>
      </c>
    </row>
    <row r="20" spans="1:134" x14ac:dyDescent="0.3">
      <c r="A20" s="139">
        <v>45854.625</v>
      </c>
      <c r="B20" s="76">
        <f t="shared" si="20"/>
        <v>93.96</v>
      </c>
      <c r="C20" s="31">
        <f t="shared" si="6"/>
        <v>15974.440894567233</v>
      </c>
      <c r="D20" s="32">
        <f t="shared" si="7"/>
        <v>-23500</v>
      </c>
      <c r="E20" s="76">
        <f t="shared" si="21"/>
        <v>101.31</v>
      </c>
      <c r="F20" s="31">
        <f t="shared" si="8"/>
        <v>13800.000000000522</v>
      </c>
      <c r="G20" s="32">
        <f t="shared" si="9"/>
        <v>-8366.641333333333</v>
      </c>
      <c r="H20" s="76">
        <f t="shared" si="22"/>
        <v>121.87</v>
      </c>
      <c r="I20" s="31">
        <f t="shared" si="10"/>
        <v>-10582.444626745513</v>
      </c>
      <c r="J20" s="32">
        <f t="shared" si="11"/>
        <v>-40420</v>
      </c>
      <c r="K20" s="76">
        <f t="shared" si="23"/>
        <v>99.841999999999999</v>
      </c>
      <c r="L20" s="31">
        <f t="shared" si="12"/>
        <v>33619.999999997388</v>
      </c>
      <c r="M20" s="32">
        <f t="shared" si="13"/>
        <v>-18403.059555555559</v>
      </c>
      <c r="N20" s="82">
        <f t="shared" si="14"/>
        <v>53260.467299087381</v>
      </c>
      <c r="O20" s="82"/>
      <c r="P20" s="82"/>
      <c r="Q20" s="82">
        <f>$G$5*SUM($O$14:O20)-$H$5*SUM($P$14:P20)</f>
        <v>0</v>
      </c>
      <c r="R20" s="82">
        <f t="shared" si="15"/>
        <v>53260.467299087381</v>
      </c>
      <c r="S20" s="143"/>
      <c r="U20" s="75">
        <v>45779.625</v>
      </c>
      <c r="V20" s="54">
        <v>92.25</v>
      </c>
      <c r="W20" s="75">
        <v>45779.625</v>
      </c>
      <c r="X20" s="54">
        <v>101.658</v>
      </c>
      <c r="Y20" s="125">
        <v>45779.625</v>
      </c>
      <c r="Z20" s="54">
        <v>120.42</v>
      </c>
      <c r="AA20" s="75">
        <v>45869.625</v>
      </c>
      <c r="AB20" s="54">
        <v>99.549000000000007</v>
      </c>
      <c r="AF20" s="131">
        <v>45904.625</v>
      </c>
      <c r="AG20" s="45">
        <f t="shared" si="24"/>
        <v>80.819999999999993</v>
      </c>
      <c r="AH20" s="46">
        <f t="shared" si="25"/>
        <v>-64838.829195999482</v>
      </c>
      <c r="AI20" s="46">
        <f t="shared" si="26"/>
        <v>-32900</v>
      </c>
      <c r="AJ20" s="45">
        <f t="shared" si="27"/>
        <v>99.9140625</v>
      </c>
      <c r="AK20" s="46">
        <f t="shared" si="28"/>
        <v>51796.875000000007</v>
      </c>
      <c r="AL20" s="47">
        <f t="shared" si="29"/>
        <v>-2557.2252604166661</v>
      </c>
      <c r="AM20" s="45">
        <f t="shared" si="30"/>
        <v>110.45</v>
      </c>
      <c r="AN20" s="46">
        <f t="shared" si="31"/>
        <v>137417.06807234432</v>
      </c>
      <c r="AO20" s="47">
        <f t="shared" si="32"/>
        <v>-33840</v>
      </c>
      <c r="AP20" s="45">
        <f t="shared" si="33"/>
        <v>99.9140625</v>
      </c>
      <c r="AQ20" s="46">
        <f t="shared" si="34"/>
        <v>45156.25</v>
      </c>
      <c r="AR20" s="47">
        <f t="shared" si="35"/>
        <v>-2229.3758680555547</v>
      </c>
      <c r="AS20" s="45">
        <f t="shared" si="36"/>
        <v>100.71875</v>
      </c>
      <c r="AT20" s="46">
        <f t="shared" si="37"/>
        <v>44531.25</v>
      </c>
      <c r="AU20" s="47">
        <f t="shared" si="38"/>
        <v>24.520833333334849</v>
      </c>
      <c r="AV20" s="45">
        <f t="shared" si="39"/>
        <v>98.296875</v>
      </c>
      <c r="AW20" s="46">
        <f t="shared" si="40"/>
        <v>88593.75</v>
      </c>
      <c r="AX20" s="47">
        <f t="shared" si="41"/>
        <v>1464.7098958333336</v>
      </c>
      <c r="AY20" s="82">
        <f t="shared" si="42"/>
        <v>-73014.442146816029</v>
      </c>
      <c r="AZ20" s="82"/>
      <c r="BA20" s="82"/>
      <c r="BB20" s="82">
        <f>$AO$4*SUM($AZ$14:AZ20)-$AP$4*SUM($BA$14:BA20)</f>
        <v>39913.439100349337</v>
      </c>
      <c r="BC20" s="82">
        <f t="shared" si="16"/>
        <v>-112927.88124716537</v>
      </c>
      <c r="BE20" s="75">
        <v>45777.625</v>
      </c>
      <c r="BF20" s="54">
        <v>78.599999999999994</v>
      </c>
      <c r="BG20" s="75">
        <v>45919.625</v>
      </c>
      <c r="BH20" s="54">
        <v>99.7734375</v>
      </c>
      <c r="BI20" s="75">
        <v>45777.625</v>
      </c>
      <c r="BJ20" s="54">
        <v>108</v>
      </c>
      <c r="BK20" s="75">
        <v>45919.625</v>
      </c>
      <c r="BL20" s="54">
        <v>99.7734375</v>
      </c>
      <c r="BM20" s="75">
        <v>45898.625</v>
      </c>
      <c r="BN20" s="54">
        <v>100.21875</v>
      </c>
      <c r="BO20" s="75">
        <v>45901.625</v>
      </c>
      <c r="BP20" s="54">
        <v>97.234375</v>
      </c>
      <c r="BR20" s="131">
        <v>45904.625</v>
      </c>
      <c r="BS20" s="45">
        <f t="shared" si="17"/>
        <v>107.4136</v>
      </c>
      <c r="BT20" s="46">
        <f t="shared" si="43"/>
        <v>842.00000000009823</v>
      </c>
      <c r="BU20" s="46">
        <f t="shared" si="44"/>
        <v>2222.2222222222222</v>
      </c>
      <c r="BV20" s="45">
        <f t="shared" si="45"/>
        <v>49.465000000000003</v>
      </c>
      <c r="BW20" s="46">
        <f t="shared" si="46"/>
        <v>3167.9999999999709</v>
      </c>
      <c r="BX20" s="47">
        <f t="shared" si="47"/>
        <v>2222.2222222222222</v>
      </c>
      <c r="BY20" s="45">
        <f t="shared" si="48"/>
        <v>-2325.9999999998727</v>
      </c>
      <c r="CA20" s="129">
        <v>45779.625</v>
      </c>
      <c r="CB20" s="54">
        <v>104.4299</v>
      </c>
      <c r="CC20" s="129">
        <v>45779.625</v>
      </c>
      <c r="CD20" s="54">
        <v>64.525999999999996</v>
      </c>
      <c r="CF20" s="131">
        <v>45904.625</v>
      </c>
      <c r="CG20" s="45">
        <f t="shared" si="18"/>
        <v>264.74099999999999</v>
      </c>
      <c r="CH20" s="46">
        <f t="shared" si="49"/>
        <v>9286.9333333333234</v>
      </c>
      <c r="CI20" s="46">
        <f t="shared" si="50"/>
        <v>2469.1358024691358</v>
      </c>
      <c r="CJ20" s="45">
        <f t="shared" si="51"/>
        <v>54.372999999999998</v>
      </c>
      <c r="CK20" s="46">
        <f t="shared" si="52"/>
        <v>1858.400000000016</v>
      </c>
      <c r="CL20" s="47">
        <f t="shared" si="53"/>
        <v>2222.2222222222222</v>
      </c>
      <c r="CM20" s="45">
        <f t="shared" si="54"/>
        <v>7675.446913580221</v>
      </c>
      <c r="CO20" s="129">
        <v>45779.625</v>
      </c>
      <c r="CP20" s="54">
        <v>333.99900000000002</v>
      </c>
      <c r="CQ20" s="129">
        <v>45779.625</v>
      </c>
      <c r="CR20" s="54">
        <v>64.894000000000005</v>
      </c>
      <c r="CS20" s="54"/>
      <c r="CT20" s="54"/>
      <c r="CU20" s="54"/>
      <c r="CV20" s="54"/>
      <c r="CW20" s="54"/>
      <c r="CX20" s="54"/>
      <c r="CY20" s="54"/>
      <c r="DF20" s="142">
        <f t="shared" si="1"/>
        <v>45905.625</v>
      </c>
      <c r="DG20" s="58">
        <f t="shared" si="2"/>
        <v>74303.433500671643</v>
      </c>
      <c r="DH20" s="58">
        <f t="shared" si="3"/>
        <v>-141464.29486208732</v>
      </c>
      <c r="DI20" s="58">
        <v>-2571.9999999998749</v>
      </c>
      <c r="DJ20" s="58">
        <v>7580.9999999999818</v>
      </c>
      <c r="DK20" s="58">
        <f t="shared" si="19"/>
        <v>-16379.856556586572</v>
      </c>
      <c r="DL20" s="58">
        <f t="shared" si="19"/>
        <v>-28536.413614921956</v>
      </c>
      <c r="DM20" s="58">
        <f t="shared" si="19"/>
        <v>-246.00000000000227</v>
      </c>
      <c r="DN20" s="58">
        <f t="shared" si="19"/>
        <v>-94.446913580239197</v>
      </c>
      <c r="DO20" s="58">
        <f t="shared" si="5"/>
        <v>-16379.856556586572</v>
      </c>
      <c r="DP20" s="58">
        <f t="shared" si="4"/>
        <v>-26840.127669946254</v>
      </c>
      <c r="DQ20" s="58">
        <f t="shared" si="4"/>
        <v>-13770.717695250176</v>
      </c>
      <c r="DR20" s="58">
        <f t="shared" si="4"/>
        <v>-3311.0142920962603</v>
      </c>
      <c r="DS20" s="58">
        <f>SUM(DO$15:DO20)</f>
        <v>-35207.61742791289</v>
      </c>
      <c r="DT20" s="58">
        <f>SUM(DP$15:DP20)</f>
        <v>-175584.35039318961</v>
      </c>
      <c r="DU20" s="58">
        <f>SUM(DQ$15:DQ20)</f>
        <v>-149098.80724103883</v>
      </c>
      <c r="DV20" s="58">
        <f>SUM(DR$15:DR20)</f>
        <v>-57725.354164011056</v>
      </c>
      <c r="DZ20" s="133">
        <v>45905.625</v>
      </c>
      <c r="EA20" s="54">
        <v>-35207.61742791289</v>
      </c>
      <c r="EB20" s="54">
        <v>-175584.35039318961</v>
      </c>
      <c r="EC20" s="54">
        <v>-149098.80724103883</v>
      </c>
      <c r="ED20" s="54">
        <v>-57725.354164011056</v>
      </c>
    </row>
    <row r="21" spans="1:134" x14ac:dyDescent="0.3">
      <c r="A21" s="139">
        <v>45855.625</v>
      </c>
      <c r="B21" s="76">
        <f t="shared" si="20"/>
        <v>94.08</v>
      </c>
      <c r="C21" s="31">
        <f t="shared" si="6"/>
        <v>47923.322683701699</v>
      </c>
      <c r="D21" s="32">
        <f t="shared" si="7"/>
        <v>-26437.5</v>
      </c>
      <c r="E21" s="76">
        <f t="shared" si="21"/>
        <v>101.328</v>
      </c>
      <c r="F21" s="31">
        <f t="shared" si="8"/>
        <v>17400.000000000658</v>
      </c>
      <c r="G21" s="32">
        <f t="shared" si="9"/>
        <v>-9412.4714999999978</v>
      </c>
      <c r="H21" s="76">
        <f t="shared" si="22"/>
        <v>120.13</v>
      </c>
      <c r="I21" s="31">
        <f t="shared" si="10"/>
        <v>-624364.23297785642</v>
      </c>
      <c r="J21" s="32">
        <f t="shared" si="11"/>
        <v>-45472.5</v>
      </c>
      <c r="K21" s="76">
        <f t="shared" si="23"/>
        <v>99.9</v>
      </c>
      <c r="L21" s="31">
        <f t="shared" si="12"/>
        <v>57400.000000000233</v>
      </c>
      <c r="M21" s="32">
        <f t="shared" si="13"/>
        <v>-20703.442000000003</v>
      </c>
      <c r="N21" s="82">
        <f t="shared" si="14"/>
        <v>720031.58516155765</v>
      </c>
      <c r="O21" s="82"/>
      <c r="P21" s="82">
        <v>1.9446000000000001</v>
      </c>
      <c r="Q21" s="82">
        <f>$G$5*SUM($O$14:O21)-$H$5*SUM($P$14:P21)</f>
        <v>-685953.76080000005</v>
      </c>
      <c r="R21" s="82">
        <f t="shared" si="15"/>
        <v>34077.824361557607</v>
      </c>
      <c r="S21" s="143"/>
      <c r="U21" s="75">
        <v>45783.625</v>
      </c>
      <c r="V21" s="54">
        <v>92.25</v>
      </c>
      <c r="W21" s="75">
        <v>45782.625</v>
      </c>
      <c r="X21" s="54">
        <v>101.652</v>
      </c>
      <c r="Y21" s="125">
        <v>45783.625</v>
      </c>
      <c r="Z21" s="54">
        <v>120.4</v>
      </c>
      <c r="AA21" s="75">
        <v>45870.625</v>
      </c>
      <c r="AB21" s="54">
        <v>99.751000000000005</v>
      </c>
      <c r="AF21" s="131">
        <v>45905.625</v>
      </c>
      <c r="AG21" s="45">
        <f t="shared" si="24"/>
        <v>80.87</v>
      </c>
      <c r="AH21" s="46">
        <f t="shared" si="25"/>
        <v>-43225.886130665029</v>
      </c>
      <c r="AI21" s="46">
        <f t="shared" si="26"/>
        <v>-37012.5</v>
      </c>
      <c r="AJ21" s="45">
        <f t="shared" si="27"/>
        <v>100.1328125</v>
      </c>
      <c r="AK21" s="46">
        <f t="shared" si="28"/>
        <v>94453.125</v>
      </c>
      <c r="AL21" s="47">
        <f t="shared" si="29"/>
        <v>-2876.87841796875</v>
      </c>
      <c r="AM21" s="45">
        <f t="shared" si="30"/>
        <v>111.17</v>
      </c>
      <c r="AN21" s="46">
        <f t="shared" si="31"/>
        <v>372989.18476779177</v>
      </c>
      <c r="AO21" s="47">
        <f t="shared" si="32"/>
        <v>-38070</v>
      </c>
      <c r="AP21" s="45">
        <f t="shared" si="33"/>
        <v>100.1328125</v>
      </c>
      <c r="AQ21" s="46">
        <f t="shared" si="34"/>
        <v>82343.75</v>
      </c>
      <c r="AR21" s="47">
        <f t="shared" si="35"/>
        <v>-2508.0478515625018</v>
      </c>
      <c r="AS21" s="45">
        <f t="shared" si="36"/>
        <v>101.3125</v>
      </c>
      <c r="AT21" s="46">
        <f t="shared" si="37"/>
        <v>89062.5</v>
      </c>
      <c r="AU21" s="47">
        <f t="shared" si="38"/>
        <v>27.585937500001819</v>
      </c>
      <c r="AV21" s="45">
        <f t="shared" si="39"/>
        <v>99.6875</v>
      </c>
      <c r="AW21" s="46">
        <f t="shared" si="40"/>
        <v>234609.375</v>
      </c>
      <c r="AX21" s="47">
        <f t="shared" si="41"/>
        <v>1647.7986328125007</v>
      </c>
      <c r="AY21" s="82">
        <f t="shared" si="42"/>
        <v>-101550.85576173798</v>
      </c>
      <c r="AZ21" s="82"/>
      <c r="BA21" s="82"/>
      <c r="BB21" s="82">
        <f>$AO$4*SUM($AZ$14:AZ21)-$AP$4*SUM($BA$14:BA21)</f>
        <v>39913.439100349337</v>
      </c>
      <c r="BC21" s="82">
        <f t="shared" si="16"/>
        <v>-141464.29486208732</v>
      </c>
      <c r="BE21" s="75">
        <v>45778.625</v>
      </c>
      <c r="BF21" s="54">
        <v>78.3</v>
      </c>
      <c r="BG21" s="75">
        <v>45922.625</v>
      </c>
      <c r="BH21" s="54">
        <v>99.65625</v>
      </c>
      <c r="BI21" s="75">
        <v>45778.625</v>
      </c>
      <c r="BJ21" s="54">
        <v>107.17</v>
      </c>
      <c r="BK21" s="75">
        <v>45922.625</v>
      </c>
      <c r="BL21" s="54">
        <v>99.65625</v>
      </c>
      <c r="BM21" s="75">
        <v>45901.625</v>
      </c>
      <c r="BN21" s="54">
        <v>100.171875</v>
      </c>
      <c r="BO21" s="75">
        <v>45902.625</v>
      </c>
      <c r="BP21" s="54">
        <v>96.65625</v>
      </c>
      <c r="BR21" s="131">
        <v>45905.625</v>
      </c>
      <c r="BS21" s="45">
        <f t="shared" si="17"/>
        <v>107.2762</v>
      </c>
      <c r="BT21" s="46">
        <f t="shared" si="43"/>
        <v>-1905.9999999998922</v>
      </c>
      <c r="BU21" s="46">
        <f t="shared" si="44"/>
        <v>2500</v>
      </c>
      <c r="BV21" s="45">
        <f t="shared" si="45"/>
        <v>50.021000000000001</v>
      </c>
      <c r="BW21" s="46">
        <f t="shared" si="46"/>
        <v>665.99999999998261</v>
      </c>
      <c r="BX21" s="47">
        <f t="shared" si="47"/>
        <v>2500</v>
      </c>
      <c r="BY21" s="45">
        <f t="shared" si="48"/>
        <v>-2571.9999999998749</v>
      </c>
      <c r="CA21" s="129">
        <v>45782.625</v>
      </c>
      <c r="CB21" s="54">
        <v>104.6127</v>
      </c>
      <c r="CC21" s="129">
        <v>45782.625</v>
      </c>
      <c r="CD21" s="54">
        <v>63.378</v>
      </c>
      <c r="CF21" s="131">
        <v>45905.625</v>
      </c>
      <c r="CG21" s="45">
        <f t="shared" si="18"/>
        <v>263.56599999999997</v>
      </c>
      <c r="CH21" s="46">
        <f t="shared" si="49"/>
        <v>10435.822222222225</v>
      </c>
      <c r="CI21" s="46">
        <f t="shared" si="50"/>
        <v>2777.7777777777778</v>
      </c>
      <c r="CJ21" s="45">
        <f t="shared" si="51"/>
        <v>54.095999999999997</v>
      </c>
      <c r="CK21" s="46">
        <f t="shared" si="52"/>
        <v>3132.6000000000204</v>
      </c>
      <c r="CL21" s="47">
        <f t="shared" si="53"/>
        <v>2500</v>
      </c>
      <c r="CM21" s="45">
        <f t="shared" si="54"/>
        <v>7580.9999999999818</v>
      </c>
      <c r="CO21" s="129">
        <v>45783.625</v>
      </c>
      <c r="CP21" s="54">
        <v>331.04300000000001</v>
      </c>
      <c r="CQ21" s="129">
        <v>45783.625</v>
      </c>
      <c r="CR21" s="54">
        <v>64.090999999999994</v>
      </c>
      <c r="CS21" s="54"/>
      <c r="CT21" s="54"/>
      <c r="CU21" s="54"/>
      <c r="CV21" s="54"/>
      <c r="CW21" s="54"/>
      <c r="CX21" s="54"/>
      <c r="CY21" s="54"/>
      <c r="DF21" s="142">
        <f t="shared" si="1"/>
        <v>45908.625</v>
      </c>
      <c r="DG21" s="58">
        <f t="shared" si="2"/>
        <v>65592.368060628069</v>
      </c>
      <c r="DH21" s="58">
        <f t="shared" si="3"/>
        <v>-105414.76552654452</v>
      </c>
      <c r="DI21" s="58">
        <v>-3430.9999999998863</v>
      </c>
      <c r="DJ21" s="58">
        <v>6581.1481481481451</v>
      </c>
      <c r="DK21" s="58">
        <f t="shared" si="19"/>
        <v>-8711.0654400435742</v>
      </c>
      <c r="DL21" s="58">
        <f t="shared" si="19"/>
        <v>36049.5293355428</v>
      </c>
      <c r="DM21" s="58">
        <f t="shared" si="19"/>
        <v>-859.00000000001137</v>
      </c>
      <c r="DN21" s="58">
        <f t="shared" si="19"/>
        <v>-999.85185185183673</v>
      </c>
      <c r="DO21" s="58">
        <f t="shared" si="5"/>
        <v>-8711.0654400435742</v>
      </c>
      <c r="DP21" s="58">
        <f t="shared" si="4"/>
        <v>33906.642329486283</v>
      </c>
      <c r="DQ21" s="58">
        <f t="shared" si="4"/>
        <v>-48085.554878942879</v>
      </c>
      <c r="DR21" s="58">
        <f t="shared" si="4"/>
        <v>-35051.688254988076</v>
      </c>
      <c r="DS21" s="58">
        <f>SUM(DO$15:DO21)</f>
        <v>-43918.682867956464</v>
      </c>
      <c r="DT21" s="58">
        <f>SUM(DP$15:DP21)</f>
        <v>-141677.70806370332</v>
      </c>
      <c r="DU21" s="58">
        <f>SUM(DQ$15:DQ21)</f>
        <v>-197184.3621199817</v>
      </c>
      <c r="DV21" s="58">
        <f>SUM(DR$15:DR21)</f>
        <v>-92777.042418999132</v>
      </c>
      <c r="DZ21" s="133">
        <v>45908.625</v>
      </c>
      <c r="EA21" s="54">
        <v>-43918.682867956464</v>
      </c>
      <c r="EB21" s="54">
        <v>-141677.70806370332</v>
      </c>
      <c r="EC21" s="54">
        <v>-197184.3621199817</v>
      </c>
      <c r="ED21" s="54">
        <v>-92777.042418999132</v>
      </c>
    </row>
    <row r="22" spans="1:134" x14ac:dyDescent="0.3">
      <c r="A22" s="139">
        <v>45856.625</v>
      </c>
      <c r="B22" s="76">
        <f t="shared" si="20"/>
        <v>94.09</v>
      </c>
      <c r="C22" s="31">
        <f t="shared" si="6"/>
        <v>50585.72949946938</v>
      </c>
      <c r="D22" s="32">
        <f t="shared" si="7"/>
        <v>-29374.999999999996</v>
      </c>
      <c r="E22" s="76">
        <f t="shared" si="21"/>
        <v>101.28</v>
      </c>
      <c r="F22" s="31">
        <f t="shared" si="8"/>
        <v>7800.0000000002956</v>
      </c>
      <c r="G22" s="32">
        <f t="shared" si="9"/>
        <v>-10458.301666666663</v>
      </c>
      <c r="H22" s="76">
        <f t="shared" si="22"/>
        <v>120.01</v>
      </c>
      <c r="I22" s="31">
        <f t="shared" si="10"/>
        <v>-666694.01148482412</v>
      </c>
      <c r="J22" s="32">
        <f t="shared" si="11"/>
        <v>-50524.999999999993</v>
      </c>
      <c r="K22" s="76">
        <f t="shared" si="23"/>
        <v>99.805999999999997</v>
      </c>
      <c r="L22" s="31">
        <f t="shared" si="12"/>
        <v>18859.999999996831</v>
      </c>
      <c r="M22" s="32">
        <f t="shared" si="13"/>
        <v>-23003.824444444439</v>
      </c>
      <c r="N22" s="82">
        <f t="shared" si="14"/>
        <v>736944.21820651239</v>
      </c>
      <c r="O22" s="82"/>
      <c r="P22" s="82"/>
      <c r="Q22" s="82">
        <f>$G$5*SUM($O$14:O22)-$H$5*SUM($P$14:P22)</f>
        <v>-685953.76080000005</v>
      </c>
      <c r="R22" s="82">
        <f t="shared" si="15"/>
        <v>50990.457406512345</v>
      </c>
      <c r="S22" s="143"/>
      <c r="U22" s="75">
        <v>45784.625</v>
      </c>
      <c r="V22" s="54">
        <v>92.3</v>
      </c>
      <c r="W22" s="75">
        <v>45783.625</v>
      </c>
      <c r="X22" s="54">
        <v>101.666</v>
      </c>
      <c r="Y22" s="125">
        <v>45785.625</v>
      </c>
      <c r="Z22" s="54">
        <v>120.69</v>
      </c>
      <c r="AA22" s="75">
        <v>45873.625</v>
      </c>
      <c r="AB22" s="54">
        <v>99.884</v>
      </c>
      <c r="AF22" s="131">
        <v>45908.625</v>
      </c>
      <c r="AG22" s="45">
        <f t="shared" si="24"/>
        <v>80.87</v>
      </c>
      <c r="AH22" s="46">
        <f t="shared" si="25"/>
        <v>-43225.886130665029</v>
      </c>
      <c r="AI22" s="46">
        <f t="shared" si="26"/>
        <v>-49350</v>
      </c>
      <c r="AJ22" s="45">
        <f t="shared" si="27"/>
        <v>100.265625</v>
      </c>
      <c r="AK22" s="46">
        <f t="shared" si="28"/>
        <v>120351.5625</v>
      </c>
      <c r="AL22" s="47">
        <f t="shared" si="29"/>
        <v>-3835.837890625</v>
      </c>
      <c r="AM22" s="45">
        <f t="shared" si="30"/>
        <v>111.56</v>
      </c>
      <c r="AN22" s="46">
        <f t="shared" si="31"/>
        <v>500590.7479778218</v>
      </c>
      <c r="AO22" s="47">
        <f t="shared" si="32"/>
        <v>-50760</v>
      </c>
      <c r="AP22" s="45">
        <f t="shared" si="33"/>
        <v>100.265625</v>
      </c>
      <c r="AQ22" s="46">
        <f t="shared" si="34"/>
        <v>104921.875</v>
      </c>
      <c r="AR22" s="47">
        <f t="shared" si="35"/>
        <v>-3344.0638020833321</v>
      </c>
      <c r="AS22" s="45">
        <f t="shared" si="36"/>
        <v>101.6875</v>
      </c>
      <c r="AT22" s="46">
        <f t="shared" si="37"/>
        <v>117187.5</v>
      </c>
      <c r="AU22" s="47">
        <f t="shared" si="38"/>
        <v>36.78125</v>
      </c>
      <c r="AV22" s="45">
        <f t="shared" si="39"/>
        <v>101</v>
      </c>
      <c r="AW22" s="46">
        <f t="shared" si="40"/>
        <v>372421.875</v>
      </c>
      <c r="AX22" s="47">
        <f t="shared" si="41"/>
        <v>2197.0648437500022</v>
      </c>
      <c r="AY22" s="82">
        <f t="shared" si="42"/>
        <v>-65501.326426195184</v>
      </c>
      <c r="AZ22" s="82"/>
      <c r="BA22" s="82"/>
      <c r="BB22" s="82">
        <f>$AO$4*SUM($AZ$14:AZ22)-$AP$4*SUM($BA$14:BA22)</f>
        <v>39913.439100349337</v>
      </c>
      <c r="BC22" s="82">
        <f t="shared" si="16"/>
        <v>-105414.76552654452</v>
      </c>
      <c r="BE22" s="75">
        <v>45779.625</v>
      </c>
      <c r="BF22" s="54">
        <v>78.540000000000006</v>
      </c>
      <c r="BG22" s="75">
        <v>45923.625</v>
      </c>
      <c r="BH22" s="54">
        <v>99.796875</v>
      </c>
      <c r="BI22" s="75">
        <v>45779.625</v>
      </c>
      <c r="BJ22" s="54">
        <v>106.91</v>
      </c>
      <c r="BK22" s="75">
        <v>45923.625</v>
      </c>
      <c r="BL22" s="54">
        <v>99.796875</v>
      </c>
      <c r="BM22" s="75">
        <v>45902.625</v>
      </c>
      <c r="BN22" s="54">
        <v>99.859375</v>
      </c>
      <c r="BO22" s="75">
        <v>45903.625</v>
      </c>
      <c r="BP22" s="54">
        <v>97.671875</v>
      </c>
      <c r="BR22" s="131">
        <v>45908.625</v>
      </c>
      <c r="BS22" s="45">
        <f t="shared" si="17"/>
        <v>107.2625</v>
      </c>
      <c r="BT22" s="46">
        <f t="shared" si="43"/>
        <v>-2179.9999999998931</v>
      </c>
      <c r="BU22" s="46">
        <f t="shared" si="44"/>
        <v>3333.3333333333339</v>
      </c>
      <c r="BV22" s="45">
        <f t="shared" si="45"/>
        <v>49.890999999999998</v>
      </c>
      <c r="BW22" s="46">
        <f t="shared" si="46"/>
        <v>1250.9999999999941</v>
      </c>
      <c r="BX22" s="47">
        <f t="shared" si="47"/>
        <v>3333.333333333333</v>
      </c>
      <c r="BY22" s="45">
        <f t="shared" si="48"/>
        <v>-3430.9999999998863</v>
      </c>
      <c r="CA22" s="129">
        <v>45783.625</v>
      </c>
      <c r="CB22" s="54">
        <v>104.3732</v>
      </c>
      <c r="CC22" s="129">
        <v>45783.625</v>
      </c>
      <c r="CD22" s="54">
        <v>64.171999999999997</v>
      </c>
      <c r="CF22" s="131">
        <v>45908.625</v>
      </c>
      <c r="CG22" s="45">
        <f t="shared" si="18"/>
        <v>261.50299999999999</v>
      </c>
      <c r="CH22" s="46">
        <f t="shared" si="49"/>
        <v>12452.977777777769</v>
      </c>
      <c r="CI22" s="46">
        <f t="shared" si="50"/>
        <v>3703.7037037037039</v>
      </c>
      <c r="CJ22" s="45">
        <f t="shared" si="51"/>
        <v>53.42</v>
      </c>
      <c r="CK22" s="46">
        <f t="shared" si="52"/>
        <v>6242.1999999999962</v>
      </c>
      <c r="CL22" s="47">
        <f t="shared" si="53"/>
        <v>3333.333333333333</v>
      </c>
      <c r="CM22" s="45">
        <f t="shared" si="54"/>
        <v>6581.1481481481451</v>
      </c>
      <c r="CO22" s="129">
        <v>45784.625</v>
      </c>
      <c r="CP22" s="54">
        <v>331.15199999999999</v>
      </c>
      <c r="CQ22" s="129">
        <v>45784.625</v>
      </c>
      <c r="CR22" s="54">
        <v>64.108999999999995</v>
      </c>
      <c r="CS22" s="54"/>
      <c r="CT22" s="54"/>
      <c r="CU22" s="54"/>
      <c r="CV22" s="54"/>
      <c r="CW22" s="54"/>
      <c r="CX22" s="54"/>
      <c r="CY22" s="54"/>
      <c r="DF22" s="142">
        <f t="shared" si="1"/>
        <v>45909.625</v>
      </c>
      <c r="DG22" s="58">
        <f t="shared" si="2"/>
        <v>43316.193147450918</v>
      </c>
      <c r="DH22" s="58">
        <f t="shared" si="3"/>
        <v>-155567.97894688469</v>
      </c>
      <c r="DI22" s="58">
        <v>-4702.9999999998254</v>
      </c>
      <c r="DJ22" s="58">
        <v>5223.5679012345772</v>
      </c>
      <c r="DK22" s="58">
        <f t="shared" si="19"/>
        <v>-22276.17491317715</v>
      </c>
      <c r="DL22" s="58">
        <f t="shared" si="19"/>
        <v>-50153.213420340166</v>
      </c>
      <c r="DM22" s="58">
        <f t="shared" si="19"/>
        <v>-1271.9999999999391</v>
      </c>
      <c r="DN22" s="58">
        <f t="shared" si="19"/>
        <v>-1357.5802469135679</v>
      </c>
      <c r="DO22" s="58">
        <f t="shared" si="5"/>
        <v>-22276.17491317715</v>
      </c>
      <c r="DP22" s="58">
        <f t="shared" si="4"/>
        <v>-47171.963142421439</v>
      </c>
      <c r="DQ22" s="58">
        <f t="shared" si="4"/>
        <v>-71204.686619338303</v>
      </c>
      <c r="DR22" s="58">
        <f t="shared" si="4"/>
        <v>-47592.530341180573</v>
      </c>
      <c r="DS22" s="58">
        <f>SUM(DO$15:DO22)</f>
        <v>-66194.857781133614</v>
      </c>
      <c r="DT22" s="58">
        <f>SUM(DP$15:DP22)</f>
        <v>-188849.67120612477</v>
      </c>
      <c r="DU22" s="58">
        <f>SUM(DQ$15:DQ22)</f>
        <v>-268389.04873932002</v>
      </c>
      <c r="DV22" s="58">
        <f>SUM(DR$15:DR22)</f>
        <v>-140369.5727601797</v>
      </c>
      <c r="DZ22" s="133">
        <v>45909.625</v>
      </c>
      <c r="EA22" s="54">
        <v>-66194.857781133614</v>
      </c>
      <c r="EB22" s="54">
        <v>-188849.67120612477</v>
      </c>
      <c r="EC22" s="54">
        <v>-268389.04873932002</v>
      </c>
      <c r="ED22" s="54">
        <v>-140369.5727601797</v>
      </c>
    </row>
    <row r="23" spans="1:134" x14ac:dyDescent="0.3">
      <c r="A23" s="139">
        <v>45859.625</v>
      </c>
      <c r="B23" s="76">
        <f t="shared" si="20"/>
        <v>94.13</v>
      </c>
      <c r="C23" s="31">
        <f t="shared" si="6"/>
        <v>61235.356762512347</v>
      </c>
      <c r="D23" s="32">
        <f t="shared" si="7"/>
        <v>-38187.499999999993</v>
      </c>
      <c r="E23" s="76">
        <f t="shared" si="21"/>
        <v>101.45</v>
      </c>
      <c r="F23" s="31">
        <f t="shared" si="8"/>
        <v>41800.00000000064</v>
      </c>
      <c r="G23" s="32">
        <f t="shared" si="9"/>
        <v>-13595.792166666666</v>
      </c>
      <c r="H23" s="76">
        <f t="shared" si="22"/>
        <v>120.31</v>
      </c>
      <c r="I23" s="31">
        <f t="shared" si="10"/>
        <v>-560869.56521739287</v>
      </c>
      <c r="J23" s="32">
        <f t="shared" si="11"/>
        <v>-65682.499999999985</v>
      </c>
      <c r="K23" s="76">
        <f t="shared" si="23"/>
        <v>100.142</v>
      </c>
      <c r="L23" s="31">
        <f t="shared" si="12"/>
        <v>156619.99999999625</v>
      </c>
      <c r="M23" s="32">
        <f t="shared" si="13"/>
        <v>-29904.971777777781</v>
      </c>
      <c r="N23" s="82">
        <f t="shared" si="14"/>
        <v>748110.74236878974</v>
      </c>
      <c r="O23" s="82"/>
      <c r="P23" s="82"/>
      <c r="Q23" s="82">
        <f>$G$5*SUM($O$14:O23)-$H$5*SUM($P$14:P23)</f>
        <v>-685953.76080000005</v>
      </c>
      <c r="R23" s="82">
        <f t="shared" si="15"/>
        <v>62156.981568789692</v>
      </c>
      <c r="S23" s="143"/>
      <c r="U23" s="75">
        <v>45785.625</v>
      </c>
      <c r="V23" s="54">
        <v>92.52</v>
      </c>
      <c r="W23" s="75">
        <v>45784.625</v>
      </c>
      <c r="X23" s="54">
        <v>101.788</v>
      </c>
      <c r="Y23" s="125">
        <v>45786.625</v>
      </c>
      <c r="Z23" s="54">
        <v>120.68</v>
      </c>
      <c r="AA23" s="75">
        <v>45874.625</v>
      </c>
      <c r="AB23" s="54">
        <v>99.923000000000002</v>
      </c>
      <c r="AF23" s="131">
        <v>45909.625</v>
      </c>
      <c r="AG23" s="45">
        <f t="shared" si="24"/>
        <v>80.78</v>
      </c>
      <c r="AH23" s="46">
        <f t="shared" si="25"/>
        <v>-82129.183648262377</v>
      </c>
      <c r="AI23" s="46">
        <f t="shared" si="26"/>
        <v>-53462.499999999993</v>
      </c>
      <c r="AJ23" s="45">
        <f t="shared" si="27"/>
        <v>100.09375</v>
      </c>
      <c r="AK23" s="46">
        <f t="shared" si="28"/>
        <v>86835.937499999985</v>
      </c>
      <c r="AL23" s="47">
        <f t="shared" si="29"/>
        <v>-4155.4910481770821</v>
      </c>
      <c r="AM23" s="45">
        <f t="shared" si="30"/>
        <v>111.36</v>
      </c>
      <c r="AN23" s="46">
        <f t="shared" si="31"/>
        <v>435154.04889575572</v>
      </c>
      <c r="AO23" s="47">
        <f t="shared" si="32"/>
        <v>-54989.999999999985</v>
      </c>
      <c r="AP23" s="45">
        <f t="shared" si="33"/>
        <v>100.09375</v>
      </c>
      <c r="AQ23" s="46">
        <f t="shared" si="34"/>
        <v>75703.125</v>
      </c>
      <c r="AR23" s="47">
        <f t="shared" si="35"/>
        <v>-3622.7357855902774</v>
      </c>
      <c r="AS23" s="45">
        <f t="shared" si="36"/>
        <v>101.390625</v>
      </c>
      <c r="AT23" s="46">
        <f t="shared" si="37"/>
        <v>94921.875</v>
      </c>
      <c r="AU23" s="47">
        <f t="shared" si="38"/>
        <v>39.846354166667879</v>
      </c>
      <c r="AV23" s="45">
        <f t="shared" si="39"/>
        <v>100.4375</v>
      </c>
      <c r="AW23" s="46">
        <f t="shared" si="40"/>
        <v>313359.375</v>
      </c>
      <c r="AX23" s="47">
        <f t="shared" si="41"/>
        <v>2380.1535807291657</v>
      </c>
      <c r="AY23" s="82">
        <f t="shared" si="42"/>
        <v>-115654.53984653535</v>
      </c>
      <c r="AZ23" s="82"/>
      <c r="BA23" s="82"/>
      <c r="BB23" s="82">
        <f>$AO$4*SUM($AZ$14:AZ23)-$AP$4*SUM($BA$14:BA23)</f>
        <v>39913.439100349337</v>
      </c>
      <c r="BC23" s="82">
        <f t="shared" si="16"/>
        <v>-155567.97894688469</v>
      </c>
      <c r="BE23" s="75">
        <v>45782.625</v>
      </c>
      <c r="BF23" s="54">
        <v>78.510000000000005</v>
      </c>
      <c r="BG23" s="75">
        <v>45924.625</v>
      </c>
      <c r="BH23" s="54">
        <v>99.6015625</v>
      </c>
      <c r="BI23" s="75">
        <v>45782.625</v>
      </c>
      <c r="BJ23" s="54">
        <v>106.76</v>
      </c>
      <c r="BK23" s="75">
        <v>45924.625</v>
      </c>
      <c r="BL23" s="54">
        <v>99.6015625</v>
      </c>
      <c r="BM23" s="75">
        <v>45903.625</v>
      </c>
      <c r="BN23" s="54">
        <v>100.234375</v>
      </c>
      <c r="BO23" s="75">
        <v>45904.625</v>
      </c>
      <c r="BP23" s="54">
        <v>98.296875</v>
      </c>
      <c r="BR23" s="131">
        <v>45909.625</v>
      </c>
      <c r="BS23" s="45">
        <f t="shared" si="17"/>
        <v>107.24930000000001</v>
      </c>
      <c r="BT23" s="46">
        <f t="shared" si="43"/>
        <v>-2443.9999999998463</v>
      </c>
      <c r="BU23" s="46">
        <f t="shared" si="44"/>
        <v>3611.1111111111113</v>
      </c>
      <c r="BV23" s="45">
        <f t="shared" si="45"/>
        <v>49.667000000000002</v>
      </c>
      <c r="BW23" s="46">
        <f t="shared" si="46"/>
        <v>2258.9999999999791</v>
      </c>
      <c r="BX23" s="47">
        <f t="shared" si="47"/>
        <v>3611.1111111111109</v>
      </c>
      <c r="BY23" s="45">
        <f t="shared" si="48"/>
        <v>-4702.9999999998254</v>
      </c>
      <c r="CA23" s="129">
        <v>45784.625</v>
      </c>
      <c r="CB23" s="54">
        <v>104.47369999999999</v>
      </c>
      <c r="CC23" s="129">
        <v>45784.625</v>
      </c>
      <c r="CD23" s="54">
        <v>63.649000000000001</v>
      </c>
      <c r="CF23" s="131">
        <v>45909.625</v>
      </c>
      <c r="CG23" s="45">
        <f t="shared" si="18"/>
        <v>261.88799999999998</v>
      </c>
      <c r="CH23" s="46">
        <f t="shared" si="49"/>
        <v>12076.533333333333</v>
      </c>
      <c r="CI23" s="46">
        <f t="shared" si="50"/>
        <v>4012.345679012345</v>
      </c>
      <c r="CJ23" s="45">
        <f t="shared" si="51"/>
        <v>53.2</v>
      </c>
      <c r="CK23" s="46">
        <f t="shared" si="52"/>
        <v>7254.1999999999907</v>
      </c>
      <c r="CL23" s="47">
        <f t="shared" si="53"/>
        <v>3611.1111111111109</v>
      </c>
      <c r="CM23" s="45">
        <f t="shared" si="54"/>
        <v>5223.5679012345772</v>
      </c>
      <c r="CO23" s="129">
        <v>45785.625</v>
      </c>
      <c r="CP23" s="54">
        <v>326.08800000000002</v>
      </c>
      <c r="CQ23" s="129">
        <v>45785.625</v>
      </c>
      <c r="CR23" s="54">
        <v>62.965000000000003</v>
      </c>
      <c r="CS23" s="54"/>
      <c r="CT23" s="54"/>
      <c r="CU23" s="54"/>
      <c r="CV23" s="54"/>
      <c r="CW23" s="54"/>
      <c r="CX23" s="54"/>
      <c r="CY23" s="54"/>
      <c r="DF23" s="142">
        <f t="shared" si="1"/>
        <v>45910.625</v>
      </c>
      <c r="DG23" s="58">
        <f t="shared" si="2"/>
        <v>6506.9001736791106</v>
      </c>
      <c r="DH23" s="58">
        <f t="shared" si="3"/>
        <v>-162609.92823870503</v>
      </c>
      <c r="DI23" s="58">
        <v>-4960.4999999999382</v>
      </c>
      <c r="DJ23" s="58">
        <v>4782.5876543209688</v>
      </c>
      <c r="DK23" s="58">
        <f t="shared" si="19"/>
        <v>-36809.292973771808</v>
      </c>
      <c r="DL23" s="58">
        <f t="shared" si="19"/>
        <v>-7041.9492918203468</v>
      </c>
      <c r="DM23" s="58">
        <f t="shared" si="19"/>
        <v>-257.50000000011278</v>
      </c>
      <c r="DN23" s="58">
        <f t="shared" si="19"/>
        <v>-440.98024691360843</v>
      </c>
      <c r="DO23" s="58">
        <f t="shared" si="5"/>
        <v>-36809.292973771808</v>
      </c>
      <c r="DP23" s="58">
        <f t="shared" si="4"/>
        <v>-6623.3557092441461</v>
      </c>
      <c r="DQ23" s="58">
        <f t="shared" si="4"/>
        <v>-14414.470758245692</v>
      </c>
      <c r="DR23" s="58">
        <f t="shared" si="4"/>
        <v>-15459.392421782488</v>
      </c>
      <c r="DS23" s="58">
        <f>SUM(DO$15:DO23)</f>
        <v>-103004.15075490542</v>
      </c>
      <c r="DT23" s="58">
        <f>SUM(DP$15:DP23)</f>
        <v>-195473.02691536892</v>
      </c>
      <c r="DU23" s="58">
        <f>SUM(DQ$15:DQ23)</f>
        <v>-282803.51949756569</v>
      </c>
      <c r="DV23" s="58">
        <f>SUM(DR$15:DR23)</f>
        <v>-155828.96518196218</v>
      </c>
      <c r="DZ23" s="133">
        <v>45910.625</v>
      </c>
      <c r="EA23" s="54">
        <v>-103004.15075490542</v>
      </c>
      <c r="EB23" s="54">
        <v>-195473.02691536892</v>
      </c>
      <c r="EC23" s="54">
        <v>-282803.51949756569</v>
      </c>
      <c r="ED23" s="54">
        <v>-155828.96518196218</v>
      </c>
    </row>
    <row r="24" spans="1:134" x14ac:dyDescent="0.3">
      <c r="A24" s="139">
        <v>45860.625</v>
      </c>
      <c r="B24" s="76">
        <f t="shared" si="20"/>
        <v>94.13</v>
      </c>
      <c r="C24" s="31">
        <f t="shared" si="6"/>
        <v>61235.356762512347</v>
      </c>
      <c r="D24" s="32">
        <f t="shared" si="7"/>
        <v>-41125</v>
      </c>
      <c r="E24" s="76">
        <f t="shared" si="21"/>
        <v>101.5</v>
      </c>
      <c r="F24" s="31">
        <f t="shared" si="8"/>
        <v>51800.000000000065</v>
      </c>
      <c r="G24" s="32">
        <f t="shared" si="9"/>
        <v>-14641.622333333329</v>
      </c>
      <c r="H24" s="76">
        <f t="shared" si="22"/>
        <v>120.48</v>
      </c>
      <c r="I24" s="31">
        <f t="shared" si="10"/>
        <v>-500902.37899918098</v>
      </c>
      <c r="J24" s="32">
        <f t="shared" si="11"/>
        <v>-70735</v>
      </c>
      <c r="K24" s="76">
        <f t="shared" si="23"/>
        <v>100.247</v>
      </c>
      <c r="L24" s="31">
        <f t="shared" si="12"/>
        <v>199669.99999999785</v>
      </c>
      <c r="M24" s="32">
        <f t="shared" si="13"/>
        <v>-32205.354222222224</v>
      </c>
      <c r="N24" s="82">
        <f t="shared" si="14"/>
        <v>722054.00387280225</v>
      </c>
      <c r="O24" s="82"/>
      <c r="P24" s="82"/>
      <c r="Q24" s="82">
        <f>$G$5*SUM($O$14:O24)-$H$5*SUM($P$14:P24)</f>
        <v>-685953.76080000005</v>
      </c>
      <c r="R24" s="82">
        <f t="shared" si="15"/>
        <v>36100.243072802201</v>
      </c>
      <c r="S24" s="143"/>
      <c r="U24" s="75">
        <v>45786.625</v>
      </c>
      <c r="V24" s="54">
        <v>92.56</v>
      </c>
      <c r="W24" s="75">
        <v>45785.625</v>
      </c>
      <c r="X24" s="54">
        <v>101.69499999999999</v>
      </c>
      <c r="Y24" s="125">
        <v>45789.625</v>
      </c>
      <c r="Z24" s="54">
        <v>120.3</v>
      </c>
      <c r="AA24" s="75">
        <v>45875.625</v>
      </c>
      <c r="AB24" s="54">
        <v>99.869</v>
      </c>
      <c r="AF24" s="131">
        <v>45910.625</v>
      </c>
      <c r="AG24" s="45">
        <f t="shared" si="24"/>
        <v>80.84</v>
      </c>
      <c r="AH24" s="46">
        <f t="shared" si="25"/>
        <v>-56193.651969864142</v>
      </c>
      <c r="AI24" s="46">
        <f t="shared" si="26"/>
        <v>-57575</v>
      </c>
      <c r="AJ24" s="45">
        <f t="shared" si="27"/>
        <v>100.1640625</v>
      </c>
      <c r="AK24" s="46">
        <f t="shared" si="28"/>
        <v>100546.875</v>
      </c>
      <c r="AL24" s="47">
        <f t="shared" si="29"/>
        <v>-4475.1442057291679</v>
      </c>
      <c r="AM24" s="45">
        <f t="shared" si="30"/>
        <v>111.69</v>
      </c>
      <c r="AN24" s="46">
        <f t="shared" si="31"/>
        <v>543124.60238116514</v>
      </c>
      <c r="AO24" s="47">
        <f t="shared" si="32"/>
        <v>-59219.999999999993</v>
      </c>
      <c r="AP24" s="45">
        <f t="shared" si="33"/>
        <v>100.1640625</v>
      </c>
      <c r="AQ24" s="46">
        <f t="shared" si="34"/>
        <v>87656.25</v>
      </c>
      <c r="AR24" s="47">
        <f t="shared" si="35"/>
        <v>-3901.4077690972226</v>
      </c>
      <c r="AS24" s="45">
        <f t="shared" si="36"/>
        <v>101.6875</v>
      </c>
      <c r="AT24" s="46">
        <f t="shared" si="37"/>
        <v>117187.5</v>
      </c>
      <c r="AU24" s="47">
        <f t="shared" si="38"/>
        <v>42.911458333335759</v>
      </c>
      <c r="AV24" s="45">
        <f t="shared" si="39"/>
        <v>100.953125</v>
      </c>
      <c r="AW24" s="46">
        <f t="shared" si="40"/>
        <v>367500.00000000006</v>
      </c>
      <c r="AX24" s="47">
        <f t="shared" si="41"/>
        <v>2563.2423177083365</v>
      </c>
      <c r="AY24" s="82">
        <f t="shared" si="42"/>
        <v>-122696.4891383557</v>
      </c>
      <c r="AZ24" s="82"/>
      <c r="BA24" s="82"/>
      <c r="BB24" s="82">
        <f>$AO$4*SUM($AZ$14:AZ24)-$AP$4*SUM($BA$14:BA24)</f>
        <v>39913.439100349337</v>
      </c>
      <c r="BC24" s="82">
        <f t="shared" si="16"/>
        <v>-162609.92823870503</v>
      </c>
      <c r="BE24" s="75">
        <v>45783.625</v>
      </c>
      <c r="BF24" s="54">
        <v>78.45</v>
      </c>
      <c r="BG24" s="75">
        <v>45925.625</v>
      </c>
      <c r="BH24" s="54">
        <v>99.390625</v>
      </c>
      <c r="BI24" s="75">
        <v>45783.625</v>
      </c>
      <c r="BJ24" s="54">
        <v>106.97</v>
      </c>
      <c r="BK24" s="75">
        <v>45925.625</v>
      </c>
      <c r="BL24" s="54">
        <v>99.390625</v>
      </c>
      <c r="BM24" s="75">
        <v>45904.625</v>
      </c>
      <c r="BN24" s="54">
        <v>100.71875</v>
      </c>
      <c r="BO24" s="75">
        <v>45905.625</v>
      </c>
      <c r="BP24" s="54">
        <v>99.6875</v>
      </c>
      <c r="BR24" s="131">
        <v>45910.625</v>
      </c>
      <c r="BS24" s="45">
        <f t="shared" si="17"/>
        <v>107.3793</v>
      </c>
      <c r="BT24" s="46">
        <f t="shared" si="43"/>
        <v>156.00000000006276</v>
      </c>
      <c r="BU24" s="46">
        <f t="shared" si="44"/>
        <v>3888.8888888888891</v>
      </c>
      <c r="BV24" s="45">
        <f t="shared" si="45"/>
        <v>49.031999999999996</v>
      </c>
      <c r="BW24" s="46">
        <f t="shared" si="46"/>
        <v>5116.5000000000018</v>
      </c>
      <c r="BX24" s="47">
        <f t="shared" si="47"/>
        <v>3888.8888888888887</v>
      </c>
      <c r="BY24" s="45">
        <f t="shared" si="48"/>
        <v>-4960.4999999999382</v>
      </c>
      <c r="CA24" s="129">
        <v>45785.625</v>
      </c>
      <c r="CB24" s="54">
        <v>104.7473</v>
      </c>
      <c r="CC24" s="129">
        <v>45785.625</v>
      </c>
      <c r="CD24" s="54">
        <v>61.73</v>
      </c>
      <c r="CF24" s="131">
        <v>45910.625</v>
      </c>
      <c r="CG24" s="45">
        <f t="shared" si="18"/>
        <v>258.988</v>
      </c>
      <c r="CH24" s="46">
        <f t="shared" si="49"/>
        <v>14912.088888888866</v>
      </c>
      <c r="CI24" s="46">
        <f t="shared" si="50"/>
        <v>4320.9876543209875</v>
      </c>
      <c r="CJ24" s="45">
        <f t="shared" si="51"/>
        <v>52.481000000000002</v>
      </c>
      <c r="CK24" s="46">
        <f t="shared" si="52"/>
        <v>10561.599999999995</v>
      </c>
      <c r="CL24" s="47">
        <f t="shared" si="53"/>
        <v>3888.8888888888887</v>
      </c>
      <c r="CM24" s="45">
        <f t="shared" si="54"/>
        <v>4782.5876543209688</v>
      </c>
      <c r="CO24" s="129">
        <v>45786.625</v>
      </c>
      <c r="CP24" s="54">
        <v>322.20999999999998</v>
      </c>
      <c r="CQ24" s="129">
        <v>45786.625</v>
      </c>
      <c r="CR24" s="54">
        <v>61.750999999999998</v>
      </c>
      <c r="CS24" s="54"/>
      <c r="CT24" s="54"/>
      <c r="CU24" s="54"/>
      <c r="CV24" s="54"/>
      <c r="CW24" s="54"/>
      <c r="CX24" s="54"/>
      <c r="CY24" s="54"/>
      <c r="DF24" s="142">
        <f t="shared" si="1"/>
        <v>45911.625</v>
      </c>
      <c r="DG24" s="58">
        <f t="shared" si="2"/>
        <v>14395.108923095191</v>
      </c>
      <c r="DH24" s="58">
        <f t="shared" si="3"/>
        <v>-158527.06357556127</v>
      </c>
      <c r="DI24" s="58">
        <v>-4297.49999999998</v>
      </c>
      <c r="DJ24" s="58">
        <v>4505.7629629629282</v>
      </c>
      <c r="DK24" s="58">
        <f t="shared" si="19"/>
        <v>7888.2087494160805</v>
      </c>
      <c r="DL24" s="58">
        <f t="shared" si="19"/>
        <v>4082.8646631437587</v>
      </c>
      <c r="DM24" s="58">
        <f t="shared" si="19"/>
        <v>662.99999999995816</v>
      </c>
      <c r="DN24" s="58">
        <f t="shared" si="19"/>
        <v>-276.82469135804058</v>
      </c>
      <c r="DO24" s="58">
        <f t="shared" si="5"/>
        <v>7888.2087494160805</v>
      </c>
      <c r="DP24" s="58">
        <f t="shared" si="4"/>
        <v>3840.1675240853592</v>
      </c>
      <c r="DQ24" s="58">
        <f t="shared" si="4"/>
        <v>37113.763544513029</v>
      </c>
      <c r="DR24" s="58">
        <f t="shared" si="4"/>
        <v>-9704.6105028399725</v>
      </c>
      <c r="DS24" s="58">
        <f>SUM(DO$15:DO24)</f>
        <v>-95115.942005489342</v>
      </c>
      <c r="DT24" s="58">
        <f>SUM(DP$15:DP24)</f>
        <v>-191632.85939128356</v>
      </c>
      <c r="DU24" s="58">
        <f>SUM(DQ$15:DQ24)</f>
        <v>-245689.75595305266</v>
      </c>
      <c r="DV24" s="58">
        <f>SUM(DR$15:DR24)</f>
        <v>-165533.57568480214</v>
      </c>
      <c r="DZ24" s="133">
        <v>45911.625</v>
      </c>
      <c r="EA24" s="54">
        <v>-95115.942005489342</v>
      </c>
      <c r="EB24" s="54">
        <v>-191632.85939128356</v>
      </c>
      <c r="EC24" s="54">
        <v>-245689.75595305266</v>
      </c>
      <c r="ED24" s="54">
        <v>-165533.57568480214</v>
      </c>
    </row>
    <row r="25" spans="1:134" x14ac:dyDescent="0.3">
      <c r="A25" s="139">
        <v>45861.625</v>
      </c>
      <c r="B25" s="76">
        <f t="shared" si="20"/>
        <v>94.21</v>
      </c>
      <c r="C25" s="31">
        <f t="shared" si="6"/>
        <v>82534.611288603846</v>
      </c>
      <c r="D25" s="32">
        <f t="shared" si="7"/>
        <v>-44062.499999999993</v>
      </c>
      <c r="E25" s="76">
        <f t="shared" si="21"/>
        <v>101.505</v>
      </c>
      <c r="F25" s="31">
        <f t="shared" si="8"/>
        <v>52799.999999999156</v>
      </c>
      <c r="G25" s="32">
        <f t="shared" si="9"/>
        <v>-15687.452499999992</v>
      </c>
      <c r="H25" s="76">
        <f t="shared" si="22"/>
        <v>120.5</v>
      </c>
      <c r="I25" s="31">
        <f t="shared" si="10"/>
        <v>-493847.41591468715</v>
      </c>
      <c r="J25" s="32">
        <f t="shared" si="11"/>
        <v>-75787.499999999985</v>
      </c>
      <c r="K25" s="76">
        <f t="shared" si="23"/>
        <v>100.22499999999999</v>
      </c>
      <c r="L25" s="31">
        <f t="shared" si="12"/>
        <v>190649.99999999558</v>
      </c>
      <c r="M25" s="32">
        <f t="shared" si="13"/>
        <v>-34505.736666666664</v>
      </c>
      <c r="N25" s="82">
        <f t="shared" si="14"/>
        <v>727138.74303662067</v>
      </c>
      <c r="O25" s="82"/>
      <c r="P25" s="82"/>
      <c r="Q25" s="82">
        <f>$G$5*SUM($O$14:O25)-$H$5*SUM($P$14:P25)</f>
        <v>-685953.76080000005</v>
      </c>
      <c r="R25" s="82">
        <f t="shared" si="15"/>
        <v>41184.982236620621</v>
      </c>
      <c r="S25" s="143"/>
      <c r="U25" s="75">
        <v>45789.625</v>
      </c>
      <c r="V25" s="54">
        <v>92.85</v>
      </c>
      <c r="W25" s="75">
        <v>45786.625</v>
      </c>
      <c r="X25" s="54">
        <v>101.578</v>
      </c>
      <c r="Y25" s="125">
        <v>45790.625</v>
      </c>
      <c r="Z25" s="54">
        <v>120.31</v>
      </c>
      <c r="AA25" s="75">
        <v>45876.625</v>
      </c>
      <c r="AB25" s="54">
        <v>99.838999999999999</v>
      </c>
      <c r="AF25" s="131">
        <v>45911.625</v>
      </c>
      <c r="AG25" s="45">
        <f t="shared" si="24"/>
        <v>81.040000000000006</v>
      </c>
      <c r="AH25" s="46">
        <f t="shared" si="25"/>
        <v>30258.120291469793</v>
      </c>
      <c r="AI25" s="46">
        <f t="shared" si="26"/>
        <v>-61687.499999999993</v>
      </c>
      <c r="AJ25" s="45">
        <f t="shared" si="27"/>
        <v>100.1640625</v>
      </c>
      <c r="AK25" s="46">
        <f t="shared" si="28"/>
        <v>100546.875</v>
      </c>
      <c r="AL25" s="47">
        <f t="shared" si="29"/>
        <v>-4794.7973632812536</v>
      </c>
      <c r="AM25" s="45">
        <f t="shared" si="30"/>
        <v>112.21</v>
      </c>
      <c r="AN25" s="46">
        <f t="shared" si="31"/>
        <v>713260.01999454643</v>
      </c>
      <c r="AO25" s="47">
        <f t="shared" si="32"/>
        <v>-63449.999999999993</v>
      </c>
      <c r="AP25" s="45">
        <f t="shared" si="33"/>
        <v>100.1640625</v>
      </c>
      <c r="AQ25" s="46">
        <f t="shared" si="34"/>
        <v>87656.25</v>
      </c>
      <c r="AR25" s="47">
        <f t="shared" si="35"/>
        <v>-4180.0797526041679</v>
      </c>
      <c r="AS25" s="45">
        <f t="shared" si="36"/>
        <v>101.890625</v>
      </c>
      <c r="AT25" s="46">
        <f t="shared" si="37"/>
        <v>132421.875</v>
      </c>
      <c r="AU25" s="47">
        <f t="shared" si="38"/>
        <v>45.976562500001819</v>
      </c>
      <c r="AV25" s="45">
        <f t="shared" si="39"/>
        <v>101.640625</v>
      </c>
      <c r="AW25" s="46">
        <f t="shared" si="40"/>
        <v>439687.5</v>
      </c>
      <c r="AX25" s="47">
        <f t="shared" si="41"/>
        <v>2746.3310546875</v>
      </c>
      <c r="AY25" s="82">
        <f t="shared" si="42"/>
        <v>-118613.62447521195</v>
      </c>
      <c r="AZ25" s="82"/>
      <c r="BA25" s="82"/>
      <c r="BB25" s="82">
        <f>$AO$4*SUM($AZ$14:AZ25)-$AP$4*SUM($BA$14:BA25)</f>
        <v>39913.439100349337</v>
      </c>
      <c r="BC25" s="82">
        <f t="shared" si="16"/>
        <v>-158527.06357556127</v>
      </c>
      <c r="BE25" s="75">
        <v>45784.625</v>
      </c>
      <c r="BF25" s="54">
        <v>78.52</v>
      </c>
      <c r="BG25" s="75">
        <v>45926.625</v>
      </c>
      <c r="BH25" s="54">
        <v>99.3828125</v>
      </c>
      <c r="BI25" s="75">
        <v>45784.625</v>
      </c>
      <c r="BJ25" s="54">
        <v>107.19</v>
      </c>
      <c r="BK25" s="75">
        <v>45926.625</v>
      </c>
      <c r="BL25" s="54">
        <v>99.3828125</v>
      </c>
      <c r="BM25" s="75">
        <v>45905.625</v>
      </c>
      <c r="BN25" s="54">
        <v>101.3125</v>
      </c>
      <c r="BO25" s="75">
        <v>45908.625</v>
      </c>
      <c r="BP25" s="54">
        <v>101</v>
      </c>
      <c r="BR25" s="131">
        <v>45911.625</v>
      </c>
      <c r="BS25" s="45">
        <f t="shared" si="17"/>
        <v>107.7234</v>
      </c>
      <c r="BT25" s="46">
        <f t="shared" si="43"/>
        <v>7038.0000000000109</v>
      </c>
      <c r="BU25" s="46">
        <f t="shared" si="44"/>
        <v>4166.666666666667</v>
      </c>
      <c r="BV25" s="45">
        <f t="shared" si="45"/>
        <v>47.65</v>
      </c>
      <c r="BW25" s="46">
        <f t="shared" si="46"/>
        <v>11335.499999999993</v>
      </c>
      <c r="BX25" s="47">
        <f t="shared" si="47"/>
        <v>4166.6666666666661</v>
      </c>
      <c r="BY25" s="45">
        <f t="shared" si="48"/>
        <v>-4297.49999999998</v>
      </c>
      <c r="CA25" s="129">
        <v>45786.625</v>
      </c>
      <c r="CB25" s="54">
        <v>104.7522</v>
      </c>
      <c r="CC25" s="129">
        <v>45786.625</v>
      </c>
      <c r="CD25" s="54">
        <v>61.521999999999998</v>
      </c>
      <c r="CF25" s="131">
        <v>45911.625</v>
      </c>
      <c r="CG25" s="45">
        <f t="shared" si="18"/>
        <v>253.00800000000001</v>
      </c>
      <c r="CH25" s="46">
        <f t="shared" si="49"/>
        <v>20759.199999999968</v>
      </c>
      <c r="CI25" s="46">
        <f t="shared" si="50"/>
        <v>4629.6296296296296</v>
      </c>
      <c r="CJ25" s="45">
        <f t="shared" si="51"/>
        <v>51.143000000000001</v>
      </c>
      <c r="CK25" s="46">
        <f t="shared" si="52"/>
        <v>16716.400000000001</v>
      </c>
      <c r="CL25" s="47">
        <f t="shared" si="53"/>
        <v>4166.6666666666661</v>
      </c>
      <c r="CM25" s="45">
        <f t="shared" si="54"/>
        <v>4505.7629629629282</v>
      </c>
      <c r="CO25" s="129">
        <v>45789.625</v>
      </c>
      <c r="CP25" s="54">
        <v>307.27499999999998</v>
      </c>
      <c r="CQ25" s="129">
        <v>45789.625</v>
      </c>
      <c r="CR25" s="54">
        <v>58.206000000000003</v>
      </c>
      <c r="CS25" s="54"/>
      <c r="CT25" s="54"/>
      <c r="CU25" s="54"/>
      <c r="CV25" s="54"/>
      <c r="CW25" s="54"/>
      <c r="CX25" s="54"/>
      <c r="CY25" s="54"/>
      <c r="DF25" s="142">
        <f t="shared" si="1"/>
        <v>45912.625</v>
      </c>
      <c r="DG25" s="58">
        <f t="shared" si="2"/>
        <v>41613.732562482444</v>
      </c>
      <c r="DH25" s="58">
        <f t="shared" si="3"/>
        <v>-198029.56338284176</v>
      </c>
      <c r="DI25" s="58">
        <v>-4630.5000000000755</v>
      </c>
      <c r="DJ25" s="58">
        <v>4352.0271604937852</v>
      </c>
      <c r="DK25" s="58">
        <f t="shared" si="19"/>
        <v>27218.623639387253</v>
      </c>
      <c r="DL25" s="58">
        <f t="shared" si="19"/>
        <v>-39502.499807280488</v>
      </c>
      <c r="DM25" s="58">
        <f t="shared" si="19"/>
        <v>-333.0000000000955</v>
      </c>
      <c r="DN25" s="58">
        <f t="shared" si="19"/>
        <v>-153.73580246914298</v>
      </c>
      <c r="DO25" s="58">
        <f t="shared" si="5"/>
        <v>27218.623639387253</v>
      </c>
      <c r="DP25" s="58">
        <f t="shared" si="4"/>
        <v>-37154.358372315568</v>
      </c>
      <c r="DQ25" s="58">
        <f t="shared" si="4"/>
        <v>-18640.84956308773</v>
      </c>
      <c r="DR25" s="58">
        <f t="shared" si="4"/>
        <v>-5389.4978659071903</v>
      </c>
      <c r="DS25" s="58">
        <f>SUM(DO$15:DO25)</f>
        <v>-67897.318366102088</v>
      </c>
      <c r="DT25" s="58">
        <f>SUM(DP$15:DP25)</f>
        <v>-228787.21776359912</v>
      </c>
      <c r="DU25" s="58">
        <f>SUM(DQ$15:DQ25)</f>
        <v>-264330.60551614041</v>
      </c>
      <c r="DV25" s="58">
        <f>SUM(DR$15:DR25)</f>
        <v>-170923.07355070932</v>
      </c>
      <c r="DZ25" s="133">
        <v>45912.625</v>
      </c>
      <c r="EA25" s="54">
        <v>-67897.318366102088</v>
      </c>
      <c r="EB25" s="54">
        <v>-228787.21776359912</v>
      </c>
      <c r="EC25" s="54">
        <v>-264330.60551614041</v>
      </c>
      <c r="ED25" s="54">
        <v>-170923.07355070932</v>
      </c>
    </row>
    <row r="26" spans="1:134" x14ac:dyDescent="0.3">
      <c r="A26" s="139">
        <v>45862.625</v>
      </c>
      <c r="B26" s="76">
        <f t="shared" si="20"/>
        <v>94.34</v>
      </c>
      <c r="C26" s="31">
        <f t="shared" si="6"/>
        <v>117145.89989350043</v>
      </c>
      <c r="D26" s="32">
        <f t="shared" si="7"/>
        <v>-47000</v>
      </c>
      <c r="E26" s="76">
        <f t="shared" si="21"/>
        <v>101.15300000000001</v>
      </c>
      <c r="F26" s="31">
        <f t="shared" si="8"/>
        <v>-17599.99999999877</v>
      </c>
      <c r="G26" s="32">
        <f t="shared" si="9"/>
        <v>-16733.282666666666</v>
      </c>
      <c r="H26" s="76">
        <f t="shared" si="22"/>
        <v>120.16</v>
      </c>
      <c r="I26" s="31">
        <f t="shared" si="10"/>
        <v>-613781.78835111088</v>
      </c>
      <c r="J26" s="32">
        <f t="shared" si="11"/>
        <v>-80840</v>
      </c>
      <c r="K26" s="76">
        <f t="shared" si="23"/>
        <v>99.679000000000002</v>
      </c>
      <c r="L26" s="31">
        <f t="shared" si="12"/>
        <v>-33210.000000001259</v>
      </c>
      <c r="M26" s="32">
        <f t="shared" si="13"/>
        <v>-36806.119111111118</v>
      </c>
      <c r="N26" s="82">
        <f t="shared" si="14"/>
        <v>729084.85180016432</v>
      </c>
      <c r="O26" s="82"/>
      <c r="P26" s="82"/>
      <c r="Q26" s="82">
        <f>$G$5*SUM($O$14:O26)-$H$5*SUM($P$14:P26)</f>
        <v>-685953.76080000005</v>
      </c>
      <c r="R26" s="82">
        <f t="shared" si="15"/>
        <v>43131.091000164277</v>
      </c>
      <c r="S26" s="143"/>
      <c r="U26" s="75">
        <v>45790.625</v>
      </c>
      <c r="V26" s="54">
        <v>93.02</v>
      </c>
      <c r="W26" s="75">
        <v>45789.625</v>
      </c>
      <c r="X26" s="54">
        <v>101.15600000000001</v>
      </c>
      <c r="Y26" s="125">
        <v>45791.625</v>
      </c>
      <c r="Z26" s="54">
        <v>120.27</v>
      </c>
      <c r="AA26" s="75">
        <v>45877.625</v>
      </c>
      <c r="AB26" s="54">
        <v>99.611000000000004</v>
      </c>
      <c r="AF26" s="131">
        <v>45912.625</v>
      </c>
      <c r="AG26" s="45">
        <f t="shared" si="24"/>
        <v>80.959999999999994</v>
      </c>
      <c r="AH26" s="46">
        <f t="shared" si="25"/>
        <v>-4322.5886130676681</v>
      </c>
      <c r="AI26" s="46">
        <f t="shared" si="26"/>
        <v>-65800</v>
      </c>
      <c r="AJ26" s="45">
        <f t="shared" si="27"/>
        <v>99.9921875</v>
      </c>
      <c r="AK26" s="46">
        <f t="shared" si="28"/>
        <v>67031.25</v>
      </c>
      <c r="AL26" s="47">
        <f t="shared" si="29"/>
        <v>-5114.4505208333321</v>
      </c>
      <c r="AM26" s="45">
        <f t="shared" si="30"/>
        <v>112.01</v>
      </c>
      <c r="AN26" s="46">
        <f t="shared" si="31"/>
        <v>647823.32091248035</v>
      </c>
      <c r="AO26" s="47">
        <f t="shared" si="32"/>
        <v>-67680</v>
      </c>
      <c r="AP26" s="45">
        <f t="shared" si="33"/>
        <v>99.9921875</v>
      </c>
      <c r="AQ26" s="46">
        <f t="shared" si="34"/>
        <v>58437.5</v>
      </c>
      <c r="AR26" s="47">
        <f t="shared" si="35"/>
        <v>-4458.7517361111095</v>
      </c>
      <c r="AS26" s="45">
        <f t="shared" si="36"/>
        <v>101.546875</v>
      </c>
      <c r="AT26" s="46">
        <f t="shared" si="37"/>
        <v>106640.625</v>
      </c>
      <c r="AU26" s="47">
        <f t="shared" si="38"/>
        <v>49.041666666669698</v>
      </c>
      <c r="AV26" s="45">
        <f t="shared" si="39"/>
        <v>101.171875</v>
      </c>
      <c r="AW26" s="46">
        <f t="shared" si="40"/>
        <v>390468.75</v>
      </c>
      <c r="AX26" s="47">
        <f t="shared" si="41"/>
        <v>2929.4197916666672</v>
      </c>
      <c r="AY26" s="82">
        <f t="shared" si="42"/>
        <v>-158116.12428249244</v>
      </c>
      <c r="AZ26" s="82"/>
      <c r="BA26" s="82"/>
      <c r="BB26" s="82">
        <f>$AO$4*SUM($AZ$14:AZ26)-$AP$4*SUM($BA$14:BA26)</f>
        <v>39913.439100349337</v>
      </c>
      <c r="BC26" s="82">
        <f t="shared" si="16"/>
        <v>-198029.56338284176</v>
      </c>
      <c r="BE26" s="75">
        <v>45785.625</v>
      </c>
      <c r="BF26" s="54">
        <v>78.5</v>
      </c>
      <c r="BG26" s="75">
        <v>45929.625</v>
      </c>
      <c r="BH26" s="54">
        <v>99.4921875</v>
      </c>
      <c r="BI26" s="75">
        <v>45785.625</v>
      </c>
      <c r="BJ26" s="54">
        <v>106.65</v>
      </c>
      <c r="BK26" s="75">
        <v>45929.625</v>
      </c>
      <c r="BL26" s="54">
        <v>99.4921875</v>
      </c>
      <c r="BM26" s="75">
        <v>45908.625</v>
      </c>
      <c r="BN26" s="54">
        <v>101.6875</v>
      </c>
      <c r="BO26" s="75">
        <v>45909.625</v>
      </c>
      <c r="BP26" s="54">
        <v>100.4375</v>
      </c>
      <c r="BR26" s="131">
        <v>45912.625</v>
      </c>
      <c r="BS26" s="45">
        <f t="shared" si="17"/>
        <v>107.64149999999999</v>
      </c>
      <c r="BT26" s="46">
        <f t="shared" si="43"/>
        <v>5399.9999999999209</v>
      </c>
      <c r="BU26" s="46">
        <f t="shared" si="44"/>
        <v>4444.4444444444443</v>
      </c>
      <c r="BV26" s="45">
        <f t="shared" si="45"/>
        <v>47.94</v>
      </c>
      <c r="BW26" s="46">
        <f t="shared" si="46"/>
        <v>10030.499999999996</v>
      </c>
      <c r="BX26" s="47">
        <f t="shared" si="47"/>
        <v>4444.4444444444443</v>
      </c>
      <c r="BY26" s="45">
        <f t="shared" si="48"/>
        <v>-4630.5000000000755</v>
      </c>
      <c r="CA26" s="129">
        <v>45789.625</v>
      </c>
      <c r="CB26" s="54">
        <v>106.1426</v>
      </c>
      <c r="CC26" s="129">
        <v>45789.625</v>
      </c>
      <c r="CD26" s="54">
        <v>55.463999999999999</v>
      </c>
      <c r="CF26" s="131">
        <v>45912.625</v>
      </c>
      <c r="CG26" s="45">
        <f t="shared" si="18"/>
        <v>252.27</v>
      </c>
      <c r="CH26" s="46">
        <f t="shared" si="49"/>
        <v>21480.79999999997</v>
      </c>
      <c r="CI26" s="46">
        <f t="shared" si="50"/>
        <v>4938.2716049382716</v>
      </c>
      <c r="CJ26" s="45">
        <f t="shared" si="51"/>
        <v>50.945999999999998</v>
      </c>
      <c r="CK26" s="46">
        <f t="shared" si="52"/>
        <v>17622.600000000013</v>
      </c>
      <c r="CL26" s="47">
        <f t="shared" si="53"/>
        <v>4444.4444444444443</v>
      </c>
      <c r="CM26" s="45">
        <f t="shared" si="54"/>
        <v>4352.0271604937852</v>
      </c>
      <c r="CO26" s="129">
        <v>45790.625</v>
      </c>
      <c r="CP26" s="54">
        <v>296.28399999999999</v>
      </c>
      <c r="CQ26" s="129">
        <v>45790.625</v>
      </c>
      <c r="CR26" s="54">
        <v>55.77</v>
      </c>
      <c r="CS26" s="54"/>
      <c r="CT26" s="54"/>
      <c r="CU26" s="54"/>
      <c r="CV26" s="54"/>
      <c r="CW26" s="54"/>
      <c r="CX26" s="54"/>
      <c r="CY26" s="54"/>
      <c r="DF26" s="142">
        <f t="shared" si="1"/>
        <v>45915.625</v>
      </c>
      <c r="DG26" s="58">
        <f t="shared" si="2"/>
        <v>33492.704933410801</v>
      </c>
      <c r="DH26" s="58">
        <f t="shared" si="3"/>
        <v>-173848.15613034973</v>
      </c>
      <c r="DI26" s="58">
        <v>-4497.9999999998799</v>
      </c>
      <c r="DJ26" s="58">
        <v>4650.0419753086317</v>
      </c>
      <c r="DK26" s="58">
        <f t="shared" si="19"/>
        <v>-8121.0276290716429</v>
      </c>
      <c r="DL26" s="58">
        <f t="shared" si="19"/>
        <v>24181.407252492034</v>
      </c>
      <c r="DM26" s="58">
        <f t="shared" si="19"/>
        <v>132.50000000019554</v>
      </c>
      <c r="DN26" s="58">
        <f t="shared" si="19"/>
        <v>298.01481481484643</v>
      </c>
      <c r="DO26" s="58">
        <f t="shared" si="5"/>
        <v>-8121.0276290716429</v>
      </c>
      <c r="DP26" s="58">
        <f t="shared" si="4"/>
        <v>22743.995326604938</v>
      </c>
      <c r="DQ26" s="58">
        <f t="shared" si="4"/>
        <v>7417.1548561923746</v>
      </c>
      <c r="DR26" s="58">
        <f t="shared" si="4"/>
        <v>10447.470157614842</v>
      </c>
      <c r="DS26" s="58">
        <f>SUM(DO$15:DO26)</f>
        <v>-76018.345995173731</v>
      </c>
      <c r="DT26" s="58">
        <f>SUM(DP$15:DP26)</f>
        <v>-206043.2224369942</v>
      </c>
      <c r="DU26" s="58">
        <f>SUM(DQ$15:DQ26)</f>
        <v>-256913.45065994802</v>
      </c>
      <c r="DV26" s="58">
        <f>SUM(DR$15:DR26)</f>
        <v>-160475.60339309447</v>
      </c>
      <c r="DZ26" s="133">
        <v>45915.625</v>
      </c>
      <c r="EA26" s="54">
        <v>-76018.345995173731</v>
      </c>
      <c r="EB26" s="54">
        <v>-206043.2224369942</v>
      </c>
      <c r="EC26" s="54">
        <v>-256913.45065994802</v>
      </c>
      <c r="ED26" s="54">
        <v>-160475.60339309447</v>
      </c>
    </row>
    <row r="27" spans="1:134" x14ac:dyDescent="0.3">
      <c r="A27" s="139">
        <v>45863.625</v>
      </c>
      <c r="B27" s="76">
        <f t="shared" si="20"/>
        <v>94.27</v>
      </c>
      <c r="C27" s="31">
        <f t="shared" si="6"/>
        <v>98509.052183171079</v>
      </c>
      <c r="D27" s="32">
        <f t="shared" si="7"/>
        <v>-49937.499999999993</v>
      </c>
      <c r="E27" s="76">
        <f t="shared" si="21"/>
        <v>101.054</v>
      </c>
      <c r="F27" s="31">
        <f t="shared" si="8"/>
        <v>-37399.99999999952</v>
      </c>
      <c r="G27" s="32">
        <f t="shared" si="9"/>
        <v>-17779.112833333322</v>
      </c>
      <c r="H27" s="76">
        <f t="shared" si="22"/>
        <v>120.06</v>
      </c>
      <c r="I27" s="31">
        <f t="shared" si="10"/>
        <v>-649056.60377358471</v>
      </c>
      <c r="J27" s="32">
        <f t="shared" si="11"/>
        <v>-85892.499999999985</v>
      </c>
      <c r="K27" s="76">
        <f t="shared" si="23"/>
        <v>99.524000000000001</v>
      </c>
      <c r="L27" s="31">
        <f t="shared" si="12"/>
        <v>-96760.000000001732</v>
      </c>
      <c r="M27" s="32">
        <f t="shared" si="13"/>
        <v>-39106.501555555536</v>
      </c>
      <c r="N27" s="82">
        <f t="shared" si="14"/>
        <v>702833.26723453135</v>
      </c>
      <c r="O27" s="82"/>
      <c r="P27" s="82"/>
      <c r="Q27" s="82">
        <f>$G$5*SUM($O$14:O27)-$H$5*SUM($P$14:P27)</f>
        <v>-685953.76080000005</v>
      </c>
      <c r="R27" s="82">
        <f t="shared" si="15"/>
        <v>16879.5064345313</v>
      </c>
      <c r="S27" s="143"/>
      <c r="U27" s="75">
        <v>45791.625</v>
      </c>
      <c r="V27" s="54">
        <v>92.87</v>
      </c>
      <c r="W27" s="75">
        <v>45790.625</v>
      </c>
      <c r="X27" s="54">
        <v>101.125</v>
      </c>
      <c r="Y27" s="125">
        <v>45792.625</v>
      </c>
      <c r="Z27" s="54">
        <v>120.4</v>
      </c>
      <c r="AA27" s="75">
        <v>45880.625</v>
      </c>
      <c r="AB27" s="54">
        <v>99.561999999999998</v>
      </c>
      <c r="AF27" s="131">
        <v>45915.625</v>
      </c>
      <c r="AG27" s="45">
        <f t="shared" si="24"/>
        <v>81.19</v>
      </c>
      <c r="AH27" s="46">
        <f t="shared" si="25"/>
        <v>95096.94948746539</v>
      </c>
      <c r="AI27" s="46">
        <f t="shared" si="26"/>
        <v>-78137.5</v>
      </c>
      <c r="AJ27" s="45">
        <f t="shared" si="27"/>
        <v>100.09375</v>
      </c>
      <c r="AK27" s="46">
        <f t="shared" si="28"/>
        <v>86835.937499999985</v>
      </c>
      <c r="AL27" s="47">
        <f t="shared" si="29"/>
        <v>-6073.4099934895785</v>
      </c>
      <c r="AM27" s="45">
        <f t="shared" si="30"/>
        <v>112.36</v>
      </c>
      <c r="AN27" s="46">
        <f t="shared" si="31"/>
        <v>762337.54430609406</v>
      </c>
      <c r="AO27" s="47">
        <f t="shared" si="32"/>
        <v>-80370</v>
      </c>
      <c r="AP27" s="45">
        <f t="shared" si="33"/>
        <v>100.09375</v>
      </c>
      <c r="AQ27" s="46">
        <f t="shared" si="34"/>
        <v>75703.125</v>
      </c>
      <c r="AR27" s="47">
        <f t="shared" si="35"/>
        <v>-5294.7676866319453</v>
      </c>
      <c r="AS27" s="45">
        <f t="shared" si="36"/>
        <v>101.71875</v>
      </c>
      <c r="AT27" s="46">
        <f t="shared" si="37"/>
        <v>119531.25</v>
      </c>
      <c r="AU27" s="47">
        <f t="shared" si="38"/>
        <v>58.236979166671517</v>
      </c>
      <c r="AV27" s="45">
        <f t="shared" si="39"/>
        <v>101.4375</v>
      </c>
      <c r="AW27" s="46">
        <f t="shared" si="40"/>
        <v>418359.37499999994</v>
      </c>
      <c r="AX27" s="47">
        <f t="shared" si="41"/>
        <v>3478.6860026041686</v>
      </c>
      <c r="AY27" s="82">
        <f t="shared" si="42"/>
        <v>-133934.71703000038</v>
      </c>
      <c r="AZ27" s="82"/>
      <c r="BA27" s="82"/>
      <c r="BB27" s="82">
        <f>$AO$4*SUM($AZ$14:AZ27)-$AP$4*SUM($BA$14:BA27)</f>
        <v>39913.439100349337</v>
      </c>
      <c r="BC27" s="82">
        <f t="shared" si="16"/>
        <v>-173848.15613034973</v>
      </c>
      <c r="BE27" s="75">
        <v>45786.625</v>
      </c>
      <c r="BF27" s="54">
        <v>78.55</v>
      </c>
      <c r="BG27" s="75">
        <v>45930.625</v>
      </c>
      <c r="BH27" s="54">
        <v>99.5078125</v>
      </c>
      <c r="BI27" s="75">
        <v>45786.625</v>
      </c>
      <c r="BJ27" s="54">
        <v>106.61</v>
      </c>
      <c r="BK27" s="75">
        <v>45930.625</v>
      </c>
      <c r="BL27" s="54">
        <v>99.5078125</v>
      </c>
      <c r="BM27" s="75">
        <v>45909.625</v>
      </c>
      <c r="BN27" s="54">
        <v>101.390625</v>
      </c>
      <c r="BO27" s="75">
        <v>45910.625</v>
      </c>
      <c r="BP27" s="54">
        <v>100.953125</v>
      </c>
      <c r="BR27" s="131">
        <v>45915.625</v>
      </c>
      <c r="BS27" s="45">
        <f t="shared" si="17"/>
        <v>107.8558</v>
      </c>
      <c r="BT27" s="46">
        <f t="shared" si="43"/>
        <v>9686.0000000000928</v>
      </c>
      <c r="BU27" s="46">
        <f t="shared" si="44"/>
        <v>5277.7777777777783</v>
      </c>
      <c r="BV27" s="45">
        <f t="shared" si="45"/>
        <v>47.017000000000003</v>
      </c>
      <c r="BW27" s="46">
        <f t="shared" si="46"/>
        <v>14183.999999999975</v>
      </c>
      <c r="BX27" s="47">
        <f t="shared" si="47"/>
        <v>5277.7777777777774</v>
      </c>
      <c r="BY27" s="45">
        <f t="shared" si="48"/>
        <v>-4497.9999999998799</v>
      </c>
      <c r="CA27" s="129">
        <v>45790.625</v>
      </c>
      <c r="CB27" s="54">
        <v>106.55589999999999</v>
      </c>
      <c r="CC27" s="129">
        <v>45790.625</v>
      </c>
      <c r="CD27" s="54">
        <v>54.054000000000002</v>
      </c>
      <c r="CF27" s="131">
        <v>45915.625</v>
      </c>
      <c r="CG27" s="45">
        <f t="shared" si="18"/>
        <v>247.80699999999999</v>
      </c>
      <c r="CH27" s="46">
        <f t="shared" si="49"/>
        <v>25844.62222222221</v>
      </c>
      <c r="CI27" s="46">
        <f t="shared" si="50"/>
        <v>5864.1975308641977</v>
      </c>
      <c r="CJ27" s="45">
        <f t="shared" si="51"/>
        <v>50.042000000000002</v>
      </c>
      <c r="CK27" s="46">
        <f t="shared" si="52"/>
        <v>21780.999999999996</v>
      </c>
      <c r="CL27" s="47">
        <f t="shared" si="53"/>
        <v>5277.7777777777774</v>
      </c>
      <c r="CM27" s="45">
        <f t="shared" si="54"/>
        <v>4650.0419753086317</v>
      </c>
      <c r="CO27" s="129">
        <v>45791.625</v>
      </c>
      <c r="CP27" s="54">
        <v>297.67</v>
      </c>
      <c r="CQ27" s="129">
        <v>45791.625</v>
      </c>
      <c r="CR27" s="54">
        <v>56.567999999999998</v>
      </c>
      <c r="CS27" s="54"/>
      <c r="CT27" s="54"/>
      <c r="CU27" s="54"/>
      <c r="CV27" s="54"/>
      <c r="CW27" s="54"/>
      <c r="CX27" s="54"/>
      <c r="CY27" s="54"/>
      <c r="DF27" s="142">
        <f t="shared" si="1"/>
        <v>45916.625</v>
      </c>
      <c r="DG27" s="58">
        <f t="shared" si="2"/>
        <v>21886.603851248568</v>
      </c>
      <c r="DH27" s="58">
        <f t="shared" si="3"/>
        <v>-150001.95325252769</v>
      </c>
      <c r="DI27" s="58">
        <v>-3282.4999999998399</v>
      </c>
      <c r="DJ27" s="58">
        <v>4159.4172839505809</v>
      </c>
      <c r="DK27" s="58">
        <f t="shared" si="19"/>
        <v>-11606.101082162233</v>
      </c>
      <c r="DL27" s="58">
        <f t="shared" si="19"/>
        <v>23846.202877822041</v>
      </c>
      <c r="DM27" s="58">
        <f t="shared" si="19"/>
        <v>1215.50000000004</v>
      </c>
      <c r="DN27" s="58">
        <f t="shared" si="19"/>
        <v>-490.62469135805077</v>
      </c>
      <c r="DO27" s="58">
        <f t="shared" si="5"/>
        <v>-11606.101082162233</v>
      </c>
      <c r="DP27" s="58">
        <f t="shared" si="4"/>
        <v>22428.716457540519</v>
      </c>
      <c r="DQ27" s="58">
        <f t="shared" si="4"/>
        <v>68041.899831613759</v>
      </c>
      <c r="DR27" s="58">
        <f t="shared" si="4"/>
        <v>-17199.771846029958</v>
      </c>
      <c r="DS27" s="58">
        <f>SUM(DO$15:DO27)</f>
        <v>-87624.447077335964</v>
      </c>
      <c r="DT27" s="58">
        <f>SUM(DP$15:DP27)</f>
        <v>-183614.50597945368</v>
      </c>
      <c r="DU27" s="58">
        <f>SUM(DQ$15:DQ27)</f>
        <v>-188871.55082833426</v>
      </c>
      <c r="DV27" s="58">
        <f>SUM(DR$15:DR27)</f>
        <v>-177675.37523912443</v>
      </c>
      <c r="DZ27" s="133">
        <v>45916.625</v>
      </c>
      <c r="EA27" s="54">
        <v>-87624.447077335964</v>
      </c>
      <c r="EB27" s="54">
        <v>-183614.50597945368</v>
      </c>
      <c r="EC27" s="54">
        <v>-188871.55082833426</v>
      </c>
      <c r="ED27" s="54">
        <v>-177675.37523912443</v>
      </c>
    </row>
    <row r="28" spans="1:134" x14ac:dyDescent="0.3">
      <c r="A28" s="139">
        <v>45866.625</v>
      </c>
      <c r="B28" s="76">
        <f t="shared" si="20"/>
        <v>94.37</v>
      </c>
      <c r="C28" s="31">
        <f t="shared" si="6"/>
        <v>125133.12034078683</v>
      </c>
      <c r="D28" s="32">
        <f t="shared" si="7"/>
        <v>-58749.999999999993</v>
      </c>
      <c r="E28" s="76">
        <f t="shared" si="21"/>
        <v>101.17</v>
      </c>
      <c r="F28" s="31">
        <f t="shared" si="8"/>
        <v>-14199.999999999591</v>
      </c>
      <c r="G28" s="32">
        <f t="shared" si="9"/>
        <v>-20916.603333333325</v>
      </c>
      <c r="H28" s="76">
        <f t="shared" si="22"/>
        <v>120.25</v>
      </c>
      <c r="I28" s="31">
        <f t="shared" si="10"/>
        <v>-582034.45447087905</v>
      </c>
      <c r="J28" s="32">
        <f t="shared" si="11"/>
        <v>-101049.99999999999</v>
      </c>
      <c r="K28" s="76">
        <f t="shared" si="23"/>
        <v>99.715000000000003</v>
      </c>
      <c r="L28" s="31">
        <f t="shared" si="12"/>
        <v>-18450.000000000698</v>
      </c>
      <c r="M28" s="32">
        <f t="shared" si="13"/>
        <v>-46007.648888888878</v>
      </c>
      <c r="N28" s="82">
        <f t="shared" si="14"/>
        <v>720126.52925610926</v>
      </c>
      <c r="O28" s="82"/>
      <c r="P28" s="82"/>
      <c r="Q28" s="82">
        <f>$G$5*SUM($O$14:O28)-$H$5*SUM($P$14:P28)</f>
        <v>-685953.76080000005</v>
      </c>
      <c r="R28" s="82">
        <f t="shared" si="15"/>
        <v>34172.768456109217</v>
      </c>
      <c r="S28" s="143"/>
      <c r="U28" s="75">
        <v>45792.625</v>
      </c>
      <c r="V28" s="54">
        <v>92.74</v>
      </c>
      <c r="W28" s="75">
        <v>45791.625</v>
      </c>
      <c r="X28" s="54">
        <v>101.087</v>
      </c>
      <c r="Y28" s="125">
        <v>45793.625</v>
      </c>
      <c r="Z28" s="54">
        <v>120.73</v>
      </c>
      <c r="AA28" s="75">
        <v>45881.625</v>
      </c>
      <c r="AB28" s="54">
        <v>99.405000000000001</v>
      </c>
      <c r="AF28" s="131">
        <v>45916.625</v>
      </c>
      <c r="AG28" s="45">
        <f t="shared" si="24"/>
        <v>81.13</v>
      </c>
      <c r="AH28" s="46">
        <f t="shared" si="25"/>
        <v>69161.417809067148</v>
      </c>
      <c r="AI28" s="46">
        <f t="shared" si="26"/>
        <v>-82249.999999999985</v>
      </c>
      <c r="AJ28" s="45">
        <f t="shared" si="27"/>
        <v>100.15625</v>
      </c>
      <c r="AK28" s="46">
        <f t="shared" si="28"/>
        <v>99023.4375</v>
      </c>
      <c r="AL28" s="47">
        <f t="shared" si="29"/>
        <v>-6393.0631510416642</v>
      </c>
      <c r="AM28" s="45">
        <f t="shared" si="30"/>
        <v>112.26</v>
      </c>
      <c r="AN28" s="46">
        <f t="shared" si="31"/>
        <v>729619.19476506498</v>
      </c>
      <c r="AO28" s="47">
        <f t="shared" si="32"/>
        <v>-84600</v>
      </c>
      <c r="AP28" s="45">
        <f t="shared" si="33"/>
        <v>100.15625</v>
      </c>
      <c r="AQ28" s="46">
        <f t="shared" si="34"/>
        <v>86328.125</v>
      </c>
      <c r="AR28" s="47">
        <f t="shared" si="35"/>
        <v>-5573.4396701388832</v>
      </c>
      <c r="AS28" s="45">
        <f t="shared" si="36"/>
        <v>101.765625</v>
      </c>
      <c r="AT28" s="46">
        <f t="shared" si="37"/>
        <v>123046.875</v>
      </c>
      <c r="AU28" s="47">
        <f t="shared" si="38"/>
        <v>61.302083333335759</v>
      </c>
      <c r="AV28" s="45">
        <f t="shared" si="39"/>
        <v>101.578125</v>
      </c>
      <c r="AW28" s="46">
        <f t="shared" si="40"/>
        <v>433125</v>
      </c>
      <c r="AX28" s="47">
        <f t="shared" si="41"/>
        <v>3661.7747395833321</v>
      </c>
      <c r="AY28" s="82">
        <f t="shared" si="42"/>
        <v>-110088.51415217835</v>
      </c>
      <c r="AZ28" s="82"/>
      <c r="BA28" s="82"/>
      <c r="BB28" s="82">
        <f>$AO$4*SUM($AZ$14:AZ28)-$AP$4*SUM($BA$14:BA28)</f>
        <v>39913.439100349337</v>
      </c>
      <c r="BC28" s="82">
        <f t="shared" si="16"/>
        <v>-150001.95325252769</v>
      </c>
      <c r="BE28" s="75">
        <v>45789.625</v>
      </c>
      <c r="BF28" s="54">
        <v>79.33</v>
      </c>
      <c r="BG28" s="75">
        <v>45931.625</v>
      </c>
      <c r="BH28" s="54">
        <v>99.765625</v>
      </c>
      <c r="BI28" s="75">
        <v>45789.625</v>
      </c>
      <c r="BJ28" s="54">
        <v>106.59</v>
      </c>
      <c r="BK28" s="75">
        <v>45931.625</v>
      </c>
      <c r="BL28" s="54">
        <v>99.765625</v>
      </c>
      <c r="BM28" s="75">
        <v>45910.625</v>
      </c>
      <c r="BN28" s="54">
        <v>101.6875</v>
      </c>
      <c r="BO28" s="75">
        <v>45911.625</v>
      </c>
      <c r="BP28" s="54">
        <v>101.640625</v>
      </c>
      <c r="BR28" s="131">
        <v>45916.625</v>
      </c>
      <c r="BS28" s="45">
        <f t="shared" si="17"/>
        <v>107.8259</v>
      </c>
      <c r="BT28" s="46">
        <f t="shared" si="43"/>
        <v>9088.0000000001364</v>
      </c>
      <c r="BU28" s="46">
        <f t="shared" si="44"/>
        <v>5555.5555555555557</v>
      </c>
      <c r="BV28" s="45">
        <f t="shared" si="45"/>
        <v>47.42</v>
      </c>
      <c r="BW28" s="46">
        <f t="shared" si="46"/>
        <v>12370.499999999978</v>
      </c>
      <c r="BX28" s="47">
        <f t="shared" si="47"/>
        <v>5555.5555555555547</v>
      </c>
      <c r="BY28" s="45">
        <f t="shared" si="48"/>
        <v>-3282.4999999998399</v>
      </c>
      <c r="CA28" s="129">
        <v>45791.625</v>
      </c>
      <c r="CB28" s="54">
        <v>106.1994</v>
      </c>
      <c r="CC28" s="129">
        <v>45791.625</v>
      </c>
      <c r="CD28" s="54">
        <v>55.914999999999999</v>
      </c>
      <c r="CF28" s="131">
        <v>45916.625</v>
      </c>
      <c r="CG28" s="45">
        <f t="shared" si="18"/>
        <v>251.81700000000001</v>
      </c>
      <c r="CH28" s="46">
        <f t="shared" si="49"/>
        <v>21923.733333333304</v>
      </c>
      <c r="CI28" s="46">
        <f t="shared" si="50"/>
        <v>6172.8395061728388</v>
      </c>
      <c r="CJ28" s="45">
        <f t="shared" si="51"/>
        <v>50.780999999999999</v>
      </c>
      <c r="CK28" s="46">
        <f t="shared" si="52"/>
        <v>18381.600000000009</v>
      </c>
      <c r="CL28" s="47">
        <f t="shared" si="53"/>
        <v>5555.5555555555547</v>
      </c>
      <c r="CM28" s="45">
        <f t="shared" si="54"/>
        <v>4159.4172839505809</v>
      </c>
      <c r="CO28" s="129">
        <v>45792.625</v>
      </c>
      <c r="CP28" s="54">
        <v>301.32</v>
      </c>
      <c r="CQ28" s="129">
        <v>45792.625</v>
      </c>
      <c r="CR28" s="54">
        <v>57.174999999999997</v>
      </c>
      <c r="CS28" s="54"/>
      <c r="CT28" s="54"/>
      <c r="CU28" s="54"/>
      <c r="CV28" s="54"/>
      <c r="CW28" s="54"/>
      <c r="CX28" s="54"/>
      <c r="CY28" s="54"/>
      <c r="DF28" s="142">
        <f t="shared" si="1"/>
        <v>45917.625</v>
      </c>
      <c r="DG28" s="58">
        <f t="shared" si="2"/>
        <v>39389.197294270649</v>
      </c>
      <c r="DH28" s="58">
        <f t="shared" si="3"/>
        <v>-154973.20305980439</v>
      </c>
      <c r="DI28" s="58">
        <v>-2914.0000000000582</v>
      </c>
      <c r="DJ28" s="58">
        <v>4560.5703703703493</v>
      </c>
      <c r="DK28" s="58">
        <f t="shared" si="19"/>
        <v>17502.59344302208</v>
      </c>
      <c r="DL28" s="58">
        <f t="shared" si="19"/>
        <v>-4971.2498072767048</v>
      </c>
      <c r="DM28" s="58">
        <f t="shared" si="19"/>
        <v>368.49999999978172</v>
      </c>
      <c r="DN28" s="58">
        <f t="shared" si="19"/>
        <v>401.15308641976844</v>
      </c>
      <c r="DO28" s="58">
        <f t="shared" si="5"/>
        <v>17502.59344302208</v>
      </c>
      <c r="DP28" s="58">
        <f t="shared" si="4"/>
        <v>-4675.7445174095465</v>
      </c>
      <c r="DQ28" s="58">
        <f t="shared" si="4"/>
        <v>20628.087279254622</v>
      </c>
      <c r="DR28" s="58">
        <f t="shared" si="4"/>
        <v>14063.176361247228</v>
      </c>
      <c r="DS28" s="58">
        <f>SUM(DO$15:DO28)</f>
        <v>-70121.853634313884</v>
      </c>
      <c r="DT28" s="58">
        <f>SUM(DP$15:DP28)</f>
        <v>-188290.25049686321</v>
      </c>
      <c r="DU28" s="58">
        <f>SUM(DQ$15:DQ28)</f>
        <v>-168243.46354907964</v>
      </c>
      <c r="DV28" s="58">
        <f>SUM(DR$15:DR28)</f>
        <v>-163612.19887787721</v>
      </c>
      <c r="DZ28" s="133">
        <v>45917.625</v>
      </c>
      <c r="EA28" s="54">
        <v>-70121.853634313884</v>
      </c>
      <c r="EB28" s="54">
        <v>-188290.25049686321</v>
      </c>
      <c r="EC28" s="54">
        <v>-168243.46354907964</v>
      </c>
      <c r="ED28" s="54">
        <v>-163612.19887787721</v>
      </c>
    </row>
    <row r="29" spans="1:134" x14ac:dyDescent="0.3">
      <c r="A29" s="139">
        <v>45867.625</v>
      </c>
      <c r="B29" s="76">
        <f t="shared" si="20"/>
        <v>94.46</v>
      </c>
      <c r="C29" s="31">
        <f t="shared" si="6"/>
        <v>149094.78168264046</v>
      </c>
      <c r="D29" s="32">
        <f t="shared" si="7"/>
        <v>-61687.5</v>
      </c>
      <c r="E29" s="76">
        <f t="shared" si="21"/>
        <v>101.105</v>
      </c>
      <c r="F29" s="31">
        <f t="shared" si="8"/>
        <v>-27199.999999999134</v>
      </c>
      <c r="G29" s="32">
        <f t="shared" si="9"/>
        <v>-21962.433499999999</v>
      </c>
      <c r="H29" s="76">
        <f t="shared" si="22"/>
        <v>120.32</v>
      </c>
      <c r="I29" s="31">
        <f t="shared" si="10"/>
        <v>-557342.08367514587</v>
      </c>
      <c r="J29" s="32">
        <f t="shared" si="11"/>
        <v>-106102.5</v>
      </c>
      <c r="K29" s="76">
        <f t="shared" si="23"/>
        <v>99.623999999999995</v>
      </c>
      <c r="L29" s="31">
        <f t="shared" si="12"/>
        <v>-55760.00000000406</v>
      </c>
      <c r="M29" s="32">
        <f t="shared" si="13"/>
        <v>-48308.031333333332</v>
      </c>
      <c r="N29" s="82">
        <f t="shared" si="14"/>
        <v>695946.26752444811</v>
      </c>
      <c r="O29" s="82"/>
      <c r="P29" s="82"/>
      <c r="Q29" s="82">
        <f>$G$5*SUM($O$14:O29)-$H$5*SUM($P$14:P29)</f>
        <v>-685953.76080000005</v>
      </c>
      <c r="R29" s="82">
        <f t="shared" si="15"/>
        <v>9992.5067244480597</v>
      </c>
      <c r="S29" s="143"/>
      <c r="U29" s="75">
        <v>45793.625</v>
      </c>
      <c r="V29" s="54">
        <v>92.96</v>
      </c>
      <c r="W29" s="75">
        <v>45792.625</v>
      </c>
      <c r="X29" s="54">
        <v>101.241</v>
      </c>
      <c r="Y29" s="125">
        <v>45796.625</v>
      </c>
      <c r="Z29" s="54">
        <v>120.66</v>
      </c>
      <c r="AA29" s="75">
        <v>45882.625</v>
      </c>
      <c r="AB29" s="54">
        <v>99.745000000000005</v>
      </c>
      <c r="AF29" s="131">
        <v>45917.625</v>
      </c>
      <c r="AG29" s="45">
        <f t="shared" si="24"/>
        <v>81.05</v>
      </c>
      <c r="AH29" s="46">
        <f t="shared" si="25"/>
        <v>34580.708904533574</v>
      </c>
      <c r="AI29" s="46">
        <f t="shared" si="26"/>
        <v>-86362.5</v>
      </c>
      <c r="AJ29" s="45">
        <f t="shared" si="27"/>
        <v>99.953125</v>
      </c>
      <c r="AK29" s="46">
        <f t="shared" si="28"/>
        <v>59414.0625</v>
      </c>
      <c r="AL29" s="47">
        <f t="shared" si="29"/>
        <v>-6712.71630859375</v>
      </c>
      <c r="AM29" s="45">
        <f t="shared" si="30"/>
        <v>112.06</v>
      </c>
      <c r="AN29" s="46">
        <f t="shared" si="31"/>
        <v>664182.49568299891</v>
      </c>
      <c r="AO29" s="47">
        <f t="shared" si="32"/>
        <v>-88830</v>
      </c>
      <c r="AP29" s="45">
        <f t="shared" si="33"/>
        <v>99.953125</v>
      </c>
      <c r="AQ29" s="46">
        <f t="shared" si="34"/>
        <v>51796.875</v>
      </c>
      <c r="AR29" s="47">
        <f t="shared" si="35"/>
        <v>-5852.1116536458285</v>
      </c>
      <c r="AS29" s="45">
        <f t="shared" si="36"/>
        <v>101.5</v>
      </c>
      <c r="AT29" s="46">
        <f t="shared" si="37"/>
        <v>103125</v>
      </c>
      <c r="AU29" s="47">
        <f t="shared" si="38"/>
        <v>64.3671875</v>
      </c>
      <c r="AV29" s="45">
        <f t="shared" si="39"/>
        <v>101.375</v>
      </c>
      <c r="AW29" s="46">
        <f t="shared" si="40"/>
        <v>411796.87499999994</v>
      </c>
      <c r="AX29" s="47">
        <f t="shared" si="41"/>
        <v>3844.8634765624993</v>
      </c>
      <c r="AY29" s="82">
        <f t="shared" si="42"/>
        <v>-115059.76395945506</v>
      </c>
      <c r="AZ29" s="82"/>
      <c r="BA29" s="82"/>
      <c r="BB29" s="82">
        <f>$AO$4*SUM($AZ$14:AZ29)-$AP$4*SUM($BA$14:BA29)</f>
        <v>39913.439100349337</v>
      </c>
      <c r="BC29" s="82">
        <f t="shared" si="16"/>
        <v>-154973.20305980439</v>
      </c>
      <c r="BE29" s="75">
        <v>45790.625</v>
      </c>
      <c r="BF29" s="54">
        <v>79.47</v>
      </c>
      <c r="BG29" s="75">
        <v>45932.625</v>
      </c>
      <c r="BH29" s="54">
        <v>99.78125</v>
      </c>
      <c r="BI29" s="75">
        <v>45790.625</v>
      </c>
      <c r="BJ29" s="54">
        <v>106.68</v>
      </c>
      <c r="BK29" s="75">
        <v>45932.625</v>
      </c>
      <c r="BL29" s="54">
        <v>99.78125</v>
      </c>
      <c r="BM29" s="75">
        <v>45911.625</v>
      </c>
      <c r="BN29" s="54">
        <v>101.890625</v>
      </c>
      <c r="BO29" s="75">
        <v>45912.625</v>
      </c>
      <c r="BP29" s="54">
        <v>101.171875</v>
      </c>
      <c r="BR29" s="131">
        <v>45917.625</v>
      </c>
      <c r="BS29" s="45">
        <f t="shared" si="17"/>
        <v>107.72799999999999</v>
      </c>
      <c r="BT29" s="46">
        <f t="shared" si="43"/>
        <v>7129.9999999999382</v>
      </c>
      <c r="BU29" s="46">
        <f t="shared" si="44"/>
        <v>5833.3333333333339</v>
      </c>
      <c r="BV29" s="45">
        <f t="shared" si="45"/>
        <v>47.936999999999998</v>
      </c>
      <c r="BW29" s="46">
        <f t="shared" si="46"/>
        <v>10043.999999999996</v>
      </c>
      <c r="BX29" s="47">
        <f t="shared" si="47"/>
        <v>5833.3333333333339</v>
      </c>
      <c r="BY29" s="45">
        <f t="shared" si="48"/>
        <v>-2914.0000000000582</v>
      </c>
      <c r="CA29" s="129">
        <v>45792.625</v>
      </c>
      <c r="CB29" s="54">
        <v>106.253</v>
      </c>
      <c r="CC29" s="129">
        <v>45792.625</v>
      </c>
      <c r="CD29" s="54">
        <v>55</v>
      </c>
      <c r="CF29" s="131">
        <v>45917.625</v>
      </c>
      <c r="CG29" s="45">
        <f t="shared" si="18"/>
        <v>251.23599999999999</v>
      </c>
      <c r="CH29" s="46">
        <f t="shared" si="49"/>
        <v>22491.822222222207</v>
      </c>
      <c r="CI29" s="46">
        <f t="shared" si="50"/>
        <v>6481.4814814814818</v>
      </c>
      <c r="CJ29" s="45">
        <f t="shared" si="51"/>
        <v>50.738</v>
      </c>
      <c r="CK29" s="46">
        <f t="shared" si="52"/>
        <v>18579.400000000005</v>
      </c>
      <c r="CL29" s="47">
        <f t="shared" si="53"/>
        <v>5833.3333333333339</v>
      </c>
      <c r="CM29" s="45">
        <f t="shared" si="54"/>
        <v>4560.5703703703493</v>
      </c>
      <c r="CO29" s="129">
        <v>45793.625</v>
      </c>
      <c r="CP29" s="54">
        <v>300.76799999999997</v>
      </c>
      <c r="CQ29" s="129">
        <v>45793.625</v>
      </c>
      <c r="CR29" s="54">
        <v>57.244999999999997</v>
      </c>
      <c r="CS29" s="54"/>
      <c r="CT29" s="54"/>
      <c r="CU29" s="54"/>
      <c r="CV29" s="54"/>
      <c r="CW29" s="54"/>
      <c r="CX29" s="54"/>
      <c r="CY29" s="54"/>
      <c r="DF29" s="142">
        <f t="shared" si="1"/>
        <v>45918.625</v>
      </c>
      <c r="DG29" s="58">
        <f t="shared" si="2"/>
        <v>72364.591231070284</v>
      </c>
      <c r="DH29" s="58">
        <f t="shared" si="3"/>
        <v>-137858.83156503038</v>
      </c>
      <c r="DI29" s="58">
        <v>-2796.9999999998363</v>
      </c>
      <c r="DJ29" s="58">
        <v>5262.7456790123415</v>
      </c>
      <c r="DK29" s="58">
        <f t="shared" si="19"/>
        <v>32975.393936799635</v>
      </c>
      <c r="DL29" s="58">
        <f t="shared" si="19"/>
        <v>17114.371494774008</v>
      </c>
      <c r="DM29" s="58">
        <f t="shared" si="19"/>
        <v>117.00000000022192</v>
      </c>
      <c r="DN29" s="58">
        <f t="shared" si="19"/>
        <v>702.17530864199216</v>
      </c>
      <c r="DO29" s="58">
        <f t="shared" si="5"/>
        <v>32975.393936799635</v>
      </c>
      <c r="DP29" s="58">
        <f t="shared" si="5"/>
        <v>16097.044362660341</v>
      </c>
      <c r="DQ29" s="58">
        <f t="shared" si="5"/>
        <v>6549.4876843386655</v>
      </c>
      <c r="DR29" s="58">
        <f t="shared" si="5"/>
        <v>24616.076845068786</v>
      </c>
      <c r="DS29" s="58">
        <f>SUM(DO$15:DO29)</f>
        <v>-37146.459697514249</v>
      </c>
      <c r="DT29" s="58">
        <f>SUM(DP$15:DP29)</f>
        <v>-172193.20613420286</v>
      </c>
      <c r="DU29" s="58">
        <f>SUM(DQ$15:DQ29)</f>
        <v>-161693.97586474096</v>
      </c>
      <c r="DV29" s="58">
        <f>SUM(DR$15:DR29)</f>
        <v>-138996.12203280843</v>
      </c>
      <c r="DZ29" s="133">
        <v>45918.625</v>
      </c>
      <c r="EA29" s="54">
        <v>-37146.459697514249</v>
      </c>
      <c r="EB29" s="54">
        <v>-172193.20613420286</v>
      </c>
      <c r="EC29" s="54">
        <v>-161693.97586474096</v>
      </c>
      <c r="ED29" s="54">
        <v>-138996.12203280843</v>
      </c>
    </row>
    <row r="30" spans="1:134" x14ac:dyDescent="0.3">
      <c r="A30" s="140">
        <v>45868.625</v>
      </c>
      <c r="B30" s="76">
        <f t="shared" si="20"/>
        <v>94.48</v>
      </c>
      <c r="C30" s="31">
        <f t="shared" si="6"/>
        <v>154419.5953141647</v>
      </c>
      <c r="D30" s="32">
        <f t="shared" si="7"/>
        <v>-64624.999999999993</v>
      </c>
      <c r="E30" s="76">
        <f t="shared" si="21"/>
        <v>101.048</v>
      </c>
      <c r="F30" s="31">
        <f t="shared" si="8"/>
        <v>-38599.999999999571</v>
      </c>
      <c r="G30" s="32">
        <f t="shared" si="9"/>
        <v>-23008.263666666662</v>
      </c>
      <c r="H30" s="76">
        <f t="shared" si="22"/>
        <v>120.21</v>
      </c>
      <c r="I30" s="31">
        <f t="shared" si="10"/>
        <v>-596144.38063987147</v>
      </c>
      <c r="J30" s="32">
        <f t="shared" si="11"/>
        <v>-111154.99999999999</v>
      </c>
      <c r="K30" s="76">
        <f t="shared" si="23"/>
        <v>99.552999999999997</v>
      </c>
      <c r="L30" s="31">
        <f t="shared" si="12"/>
        <v>-84870.000000003216</v>
      </c>
      <c r="M30" s="32">
        <f t="shared" si="13"/>
        <v>-50608.41377777778</v>
      </c>
      <c r="N30" s="82">
        <f t="shared" si="14"/>
        <v>723223.82584292127</v>
      </c>
      <c r="O30" s="82"/>
      <c r="P30" s="82"/>
      <c r="Q30" s="82">
        <f>$G$5*SUM($O$14:O30)-$H$5*SUM($P$14:P30)</f>
        <v>-685953.76080000005</v>
      </c>
      <c r="R30" s="82">
        <f t="shared" si="15"/>
        <v>37270.065042921226</v>
      </c>
      <c r="S30" s="143"/>
      <c r="U30" s="75">
        <v>45796.625</v>
      </c>
      <c r="V30" s="54">
        <v>92.89</v>
      </c>
      <c r="W30" s="75">
        <v>45793.625</v>
      </c>
      <c r="X30" s="54">
        <v>101.34</v>
      </c>
      <c r="Y30" s="125">
        <v>45797.625</v>
      </c>
      <c r="Z30" s="54">
        <v>120.68</v>
      </c>
      <c r="AA30" s="75">
        <v>45883.625</v>
      </c>
      <c r="AB30" s="54">
        <v>99.620999999999995</v>
      </c>
      <c r="AF30" s="131">
        <v>45918.625</v>
      </c>
      <c r="AG30" s="45">
        <f t="shared" si="24"/>
        <v>81.23</v>
      </c>
      <c r="AH30" s="46">
        <f t="shared" si="25"/>
        <v>112387.30393973606</v>
      </c>
      <c r="AI30" s="46">
        <f t="shared" si="26"/>
        <v>-90475</v>
      </c>
      <c r="AJ30" s="45">
        <f t="shared" si="27"/>
        <v>99.7890625</v>
      </c>
      <c r="AK30" s="46">
        <f t="shared" si="28"/>
        <v>27421.875</v>
      </c>
      <c r="AL30" s="47">
        <f t="shared" si="29"/>
        <v>-7032.3694661458358</v>
      </c>
      <c r="AM30" s="45">
        <f t="shared" si="30"/>
        <v>111.83</v>
      </c>
      <c r="AN30" s="46">
        <f t="shared" si="31"/>
        <v>588930.29173861851</v>
      </c>
      <c r="AO30" s="47">
        <f t="shared" si="32"/>
        <v>-93060</v>
      </c>
      <c r="AP30" s="45">
        <f t="shared" si="33"/>
        <v>99.7890625</v>
      </c>
      <c r="AQ30" s="46">
        <f t="shared" si="34"/>
        <v>23906.25</v>
      </c>
      <c r="AR30" s="47">
        <f t="shared" si="35"/>
        <v>-6130.783637152781</v>
      </c>
      <c r="AS30" s="45">
        <f t="shared" si="36"/>
        <v>101.09375</v>
      </c>
      <c r="AT30" s="46">
        <f t="shared" si="37"/>
        <v>72656.25</v>
      </c>
      <c r="AU30" s="47">
        <f t="shared" si="38"/>
        <v>67.432291666671517</v>
      </c>
      <c r="AV30" s="45">
        <f t="shared" si="39"/>
        <v>100.328125</v>
      </c>
      <c r="AW30" s="46">
        <f t="shared" si="40"/>
        <v>301875</v>
      </c>
      <c r="AX30" s="47">
        <f t="shared" si="41"/>
        <v>4027.9522135416701</v>
      </c>
      <c r="AY30" s="82">
        <f t="shared" si="42"/>
        <v>-97945.392464681063</v>
      </c>
      <c r="AZ30" s="82"/>
      <c r="BA30" s="82"/>
      <c r="BB30" s="82">
        <f>$AO$4*SUM($AZ$14:AZ30)-$AP$4*SUM($BA$14:BA30)</f>
        <v>39913.439100349337</v>
      </c>
      <c r="BC30" s="82">
        <f t="shared" si="16"/>
        <v>-137858.83156503038</v>
      </c>
      <c r="BE30" s="75">
        <v>45791.625</v>
      </c>
      <c r="BF30" s="54">
        <v>79.180000000000007</v>
      </c>
      <c r="BG30" s="75">
        <v>45933.625</v>
      </c>
      <c r="BH30" s="54">
        <v>99.6015625</v>
      </c>
      <c r="BI30" s="75">
        <v>45791.625</v>
      </c>
      <c r="BJ30" s="54">
        <v>106.18</v>
      </c>
      <c r="BK30" s="75">
        <v>45933.625</v>
      </c>
      <c r="BL30" s="54">
        <v>99.6015625</v>
      </c>
      <c r="BM30" s="75">
        <v>45912.625</v>
      </c>
      <c r="BN30" s="54">
        <v>101.546875</v>
      </c>
      <c r="BO30" s="75">
        <v>45915.625</v>
      </c>
      <c r="BP30" s="54">
        <v>101.4375</v>
      </c>
      <c r="BR30" s="131">
        <v>45918.625</v>
      </c>
      <c r="BS30" s="45">
        <f t="shared" si="17"/>
        <v>107.9539</v>
      </c>
      <c r="BT30" s="46">
        <f t="shared" si="43"/>
        <v>11648.000000000138</v>
      </c>
      <c r="BU30" s="46">
        <f t="shared" si="44"/>
        <v>6111.1111111111113</v>
      </c>
      <c r="BV30" s="45">
        <f t="shared" si="45"/>
        <v>46.959000000000003</v>
      </c>
      <c r="BW30" s="46">
        <f t="shared" si="46"/>
        <v>14444.999999999973</v>
      </c>
      <c r="BX30" s="47">
        <f t="shared" si="47"/>
        <v>6111.1111111111113</v>
      </c>
      <c r="BY30" s="45">
        <f t="shared" si="48"/>
        <v>-2796.9999999998363</v>
      </c>
      <c r="CA30" s="129">
        <v>45793.625</v>
      </c>
      <c r="CB30" s="54">
        <v>106.4032</v>
      </c>
      <c r="CC30" s="129">
        <v>45793.625</v>
      </c>
      <c r="CD30" s="54">
        <v>54.555999999999997</v>
      </c>
      <c r="CF30" s="131">
        <v>45918.625</v>
      </c>
      <c r="CG30" s="45">
        <f t="shared" si="18"/>
        <v>247.51499999999999</v>
      </c>
      <c r="CH30" s="46">
        <f t="shared" si="49"/>
        <v>26130.13333333332</v>
      </c>
      <c r="CI30" s="46">
        <f t="shared" si="50"/>
        <v>6790.1234567901229</v>
      </c>
      <c r="CJ30" s="45">
        <f t="shared" si="51"/>
        <v>50.093000000000004</v>
      </c>
      <c r="CK30" s="46">
        <f t="shared" si="52"/>
        <v>21546.399999999991</v>
      </c>
      <c r="CL30" s="47">
        <f t="shared" si="53"/>
        <v>6111.1111111111113</v>
      </c>
      <c r="CM30" s="45">
        <f t="shared" si="54"/>
        <v>5262.7456790123415</v>
      </c>
      <c r="CO30" s="129">
        <v>45796.625</v>
      </c>
      <c r="CP30" s="54">
        <v>301.44499999999999</v>
      </c>
      <c r="CQ30" s="129">
        <v>45796.625</v>
      </c>
      <c r="CR30" s="54">
        <v>57.45</v>
      </c>
      <c r="CS30" s="54"/>
      <c r="CT30" s="54"/>
      <c r="CU30" s="54"/>
      <c r="CV30" s="54"/>
      <c r="CW30" s="54"/>
      <c r="CX30" s="54"/>
      <c r="CY30" s="54"/>
      <c r="DF30" s="142">
        <f t="shared" si="1"/>
        <v>45919.625</v>
      </c>
      <c r="DG30" s="58">
        <f t="shared" si="2"/>
        <v>38277.557411050278</v>
      </c>
      <c r="DH30" s="58">
        <f t="shared" si="3"/>
        <v>-121896.79112370535</v>
      </c>
      <c r="DI30" s="58">
        <v>-2696.99999999992</v>
      </c>
      <c r="DJ30" s="58">
        <v>4763.9876543209411</v>
      </c>
      <c r="DK30" s="58">
        <f t="shared" si="19"/>
        <v>-34087.033820020006</v>
      </c>
      <c r="DL30" s="58">
        <f t="shared" si="19"/>
        <v>15962.040441325036</v>
      </c>
      <c r="DM30" s="58">
        <f t="shared" si="19"/>
        <v>99.999999999916326</v>
      </c>
      <c r="DN30" s="58">
        <f t="shared" si="19"/>
        <v>-498.75802469140035</v>
      </c>
      <c r="DO30" s="58">
        <f t="shared" si="5"/>
        <v>-34087.033820020006</v>
      </c>
      <c r="DP30" s="58">
        <f t="shared" si="5"/>
        <v>15013.211158881673</v>
      </c>
      <c r="DQ30" s="58">
        <f t="shared" si="5"/>
        <v>5597.8527216416769</v>
      </c>
      <c r="DR30" s="58">
        <f t="shared" si="5"/>
        <v>-17484.901151883081</v>
      </c>
      <c r="DS30" s="58">
        <f>SUM(DO$15:DO30)</f>
        <v>-71233.493517534254</v>
      </c>
      <c r="DT30" s="58">
        <f>SUM(DP$15:DP30)</f>
        <v>-157179.9949753212</v>
      </c>
      <c r="DU30" s="58">
        <f>SUM(DQ$15:DQ30)</f>
        <v>-156096.12314309928</v>
      </c>
      <c r="DV30" s="58">
        <f>SUM(DR$15:DR30)</f>
        <v>-156481.0231846915</v>
      </c>
      <c r="DZ30" s="133">
        <v>45919.625</v>
      </c>
      <c r="EA30" s="54">
        <v>-71233.493517534254</v>
      </c>
      <c r="EB30" s="54">
        <v>-157179.9949753212</v>
      </c>
      <c r="EC30" s="54">
        <v>-156096.12314309928</v>
      </c>
      <c r="ED30" s="54">
        <v>-156481.0231846915</v>
      </c>
    </row>
    <row r="31" spans="1:134" x14ac:dyDescent="0.3">
      <c r="A31" s="140">
        <v>45869.625</v>
      </c>
      <c r="B31" s="76">
        <f t="shared" si="20"/>
        <v>94.45</v>
      </c>
      <c r="C31" s="31">
        <f t="shared" si="6"/>
        <v>146432.37486687832</v>
      </c>
      <c r="D31" s="32">
        <f t="shared" si="7"/>
        <v>-67562.499999999985</v>
      </c>
      <c r="E31" s="76">
        <f t="shared" si="21"/>
        <v>101.02200000000001</v>
      </c>
      <c r="F31" s="31">
        <f t="shared" si="8"/>
        <v>-43799.999999998814</v>
      </c>
      <c r="G31" s="32">
        <f t="shared" si="9"/>
        <v>-24054.093833333325</v>
      </c>
      <c r="H31" s="76">
        <f t="shared" si="22"/>
        <v>120.26</v>
      </c>
      <c r="I31" s="31">
        <f t="shared" si="10"/>
        <v>-578506.97292863217</v>
      </c>
      <c r="J31" s="32">
        <f t="shared" si="11"/>
        <v>-116207.49999999999</v>
      </c>
      <c r="K31" s="76">
        <f t="shared" si="23"/>
        <v>99.549000000000007</v>
      </c>
      <c r="L31" s="31">
        <f t="shared" si="12"/>
        <v>-86509.999999999389</v>
      </c>
      <c r="M31" s="32">
        <f t="shared" si="13"/>
        <v>-52908.796222222212</v>
      </c>
      <c r="N31" s="82">
        <f t="shared" si="14"/>
        <v>702019.64540662104</v>
      </c>
      <c r="O31" s="82"/>
      <c r="P31" s="82"/>
      <c r="Q31" s="82">
        <f>$G$5*SUM($O$14:O31)-$H$5*SUM($P$14:P31)</f>
        <v>-685953.76080000005</v>
      </c>
      <c r="R31" s="82">
        <f t="shared" si="15"/>
        <v>16065.884606620995</v>
      </c>
      <c r="S31" s="143"/>
      <c r="U31" s="75">
        <v>45797.625</v>
      </c>
      <c r="V31" s="54">
        <v>93.05</v>
      </c>
      <c r="W31" s="75">
        <v>45796.625</v>
      </c>
      <c r="X31" s="54">
        <v>101.408</v>
      </c>
      <c r="Y31" s="125">
        <v>45798.625</v>
      </c>
      <c r="Z31" s="54">
        <v>120.59</v>
      </c>
      <c r="AA31" s="75">
        <v>45884.625</v>
      </c>
      <c r="AB31" s="54">
        <v>99.375</v>
      </c>
      <c r="AF31" s="131">
        <v>45919.625</v>
      </c>
      <c r="AG31" s="45">
        <f t="shared" si="24"/>
        <v>81.260000000000005</v>
      </c>
      <c r="AH31" s="46">
        <f t="shared" si="25"/>
        <v>125355.06977893518</v>
      </c>
      <c r="AI31" s="46">
        <f t="shared" si="26"/>
        <v>-94587.499999999985</v>
      </c>
      <c r="AJ31" s="45">
        <f t="shared" si="27"/>
        <v>99.7734375</v>
      </c>
      <c r="AK31" s="46">
        <f t="shared" si="28"/>
        <v>24375</v>
      </c>
      <c r="AL31" s="47">
        <f t="shared" si="29"/>
        <v>-7352.0226236979142</v>
      </c>
      <c r="AM31" s="45">
        <f t="shared" si="30"/>
        <v>111.74</v>
      </c>
      <c r="AN31" s="46">
        <f t="shared" si="31"/>
        <v>559483.77715168358</v>
      </c>
      <c r="AO31" s="47">
        <f t="shared" si="32"/>
        <v>-97290</v>
      </c>
      <c r="AP31" s="45">
        <f t="shared" si="33"/>
        <v>99.7734375</v>
      </c>
      <c r="AQ31" s="46">
        <f t="shared" si="34"/>
        <v>21250</v>
      </c>
      <c r="AR31" s="47">
        <f t="shared" si="35"/>
        <v>-6409.455620659719</v>
      </c>
      <c r="AS31" s="45">
        <f t="shared" si="36"/>
        <v>101.015625</v>
      </c>
      <c r="AT31" s="46">
        <f t="shared" si="37"/>
        <v>66796.875</v>
      </c>
      <c r="AU31" s="47">
        <f t="shared" si="38"/>
        <v>70.497395833335759</v>
      </c>
      <c r="AV31" s="45">
        <f t="shared" si="39"/>
        <v>100.125</v>
      </c>
      <c r="AW31" s="46">
        <f t="shared" si="40"/>
        <v>280546.875</v>
      </c>
      <c r="AX31" s="47">
        <f t="shared" si="41"/>
        <v>4211.0409505208336</v>
      </c>
      <c r="AY31" s="82">
        <f t="shared" si="42"/>
        <v>-81983.352023356012</v>
      </c>
      <c r="AZ31" s="82"/>
      <c r="BA31" s="82"/>
      <c r="BB31" s="82">
        <f>$AO$4*SUM($AZ$14:AZ31)-$AP$4*SUM($BA$14:BA31)</f>
        <v>39913.439100349337</v>
      </c>
      <c r="BC31" s="82">
        <f t="shared" si="16"/>
        <v>-121896.79112370535</v>
      </c>
      <c r="BE31" s="75">
        <v>45792.625</v>
      </c>
      <c r="BF31" s="54">
        <v>79.33</v>
      </c>
      <c r="BG31" s="75">
        <v>45936.625</v>
      </c>
      <c r="BH31" s="54">
        <v>99.46875</v>
      </c>
      <c r="BI31" s="75">
        <v>45792.625</v>
      </c>
      <c r="BJ31" s="54">
        <v>106.9</v>
      </c>
      <c r="BK31" s="75">
        <v>45936.625</v>
      </c>
      <c r="BL31" s="54">
        <v>99.46875</v>
      </c>
      <c r="BM31" s="75">
        <v>45915.625</v>
      </c>
      <c r="BN31" s="54">
        <v>101.71875</v>
      </c>
      <c r="BO31" s="75">
        <v>45916.625</v>
      </c>
      <c r="BP31" s="54">
        <v>101.578125</v>
      </c>
      <c r="BR31" s="131">
        <v>45919.625</v>
      </c>
      <c r="BS31" s="45">
        <f t="shared" si="17"/>
        <v>107.8977</v>
      </c>
      <c r="BT31" s="46">
        <f t="shared" si="43"/>
        <v>10524.000000000058</v>
      </c>
      <c r="BU31" s="46">
        <f t="shared" si="44"/>
        <v>6388.8888888888887</v>
      </c>
      <c r="BV31" s="45">
        <f t="shared" si="45"/>
        <v>47.231000000000002</v>
      </c>
      <c r="BW31" s="46">
        <f t="shared" si="46"/>
        <v>13220.99999999998</v>
      </c>
      <c r="BX31" s="47">
        <f t="shared" si="47"/>
        <v>6388.8888888888887</v>
      </c>
      <c r="BY31" s="45">
        <f t="shared" si="48"/>
        <v>-2696.99999999992</v>
      </c>
      <c r="CA31" s="129">
        <v>45796.625</v>
      </c>
      <c r="CB31" s="54">
        <v>106.25920000000001</v>
      </c>
      <c r="CC31" s="129">
        <v>45796.625</v>
      </c>
      <c r="CD31" s="54">
        <v>55.116999999999997</v>
      </c>
      <c r="CF31" s="131">
        <v>45919.625</v>
      </c>
      <c r="CG31" s="45">
        <f t="shared" si="18"/>
        <v>248.51300000000001</v>
      </c>
      <c r="CH31" s="46">
        <f t="shared" si="49"/>
        <v>25154.311111111081</v>
      </c>
      <c r="CI31" s="46">
        <f t="shared" si="50"/>
        <v>7098.765432098764</v>
      </c>
      <c r="CJ31" s="45">
        <f t="shared" si="51"/>
        <v>50.19</v>
      </c>
      <c r="CK31" s="46">
        <f t="shared" si="52"/>
        <v>21100.200000000015</v>
      </c>
      <c r="CL31" s="47">
        <f t="shared" si="53"/>
        <v>6388.8888888888887</v>
      </c>
      <c r="CM31" s="45">
        <f t="shared" si="54"/>
        <v>4763.9876543209411</v>
      </c>
      <c r="CO31" s="129">
        <v>45797.625</v>
      </c>
      <c r="CP31" s="54">
        <v>297.32799999999997</v>
      </c>
      <c r="CQ31" s="129">
        <v>45797.625</v>
      </c>
      <c r="CR31" s="54">
        <v>56.813000000000002</v>
      </c>
      <c r="CS31" s="54"/>
      <c r="CT31" s="54"/>
      <c r="CU31" s="54"/>
      <c r="CV31" s="54"/>
      <c r="CW31" s="54"/>
      <c r="CX31" s="54"/>
      <c r="CY31" s="54"/>
      <c r="DF31" s="142">
        <f t="shared" si="1"/>
        <v>45922.625</v>
      </c>
      <c r="DG31" s="58">
        <f t="shared" si="2"/>
        <v>45467.613763767498</v>
      </c>
      <c r="DH31" s="58">
        <f t="shared" si="3"/>
        <v>-63179.958093055393</v>
      </c>
      <c r="DI31" s="58">
        <v>-1289.9999999999445</v>
      </c>
      <c r="DJ31" s="58">
        <v>6281.8691358024416</v>
      </c>
      <c r="DK31" s="58">
        <f t="shared" si="19"/>
        <v>7190.0563527172199</v>
      </c>
      <c r="DL31" s="58">
        <f t="shared" si="19"/>
        <v>58716.833030649956</v>
      </c>
      <c r="DM31" s="58">
        <f t="shared" si="19"/>
        <v>1406.9999999999754</v>
      </c>
      <c r="DN31" s="58">
        <f t="shared" si="19"/>
        <v>1517.8814814815005</v>
      </c>
      <c r="DO31" s="58">
        <f t="shared" si="5"/>
        <v>7190.0563527172199</v>
      </c>
      <c r="DP31" s="58">
        <f t="shared" si="5"/>
        <v>55226.536739482712</v>
      </c>
      <c r="DQ31" s="58">
        <f t="shared" si="5"/>
        <v>78761.787793562922</v>
      </c>
      <c r="DR31" s="58">
        <f t="shared" si="5"/>
        <v>53212.191784581606</v>
      </c>
      <c r="DS31" s="58">
        <f>SUM(DO$15:DO31)</f>
        <v>-64043.437164817034</v>
      </c>
      <c r="DT31" s="58">
        <f>SUM(DP$15:DP31)</f>
        <v>-101953.45823583848</v>
      </c>
      <c r="DU31" s="58">
        <f>SUM(DQ$15:DQ31)</f>
        <v>-77334.335349536355</v>
      </c>
      <c r="DV31" s="58">
        <f>SUM(DR$15:DR31)</f>
        <v>-103268.83140010989</v>
      </c>
      <c r="DZ31" s="133">
        <v>45922.625</v>
      </c>
      <c r="EA31" s="54">
        <v>-64043.437164817034</v>
      </c>
      <c r="EB31" s="54">
        <v>-101953.45823583848</v>
      </c>
      <c r="EC31" s="54">
        <v>-77334.335349536355</v>
      </c>
      <c r="ED31" s="54">
        <v>-103268.83140010989</v>
      </c>
    </row>
    <row r="32" spans="1:134" x14ac:dyDescent="0.3">
      <c r="A32" s="139">
        <v>45870.625</v>
      </c>
      <c r="B32" s="76">
        <f t="shared" si="20"/>
        <v>94.32</v>
      </c>
      <c r="C32" s="31">
        <f t="shared" si="6"/>
        <v>111821.08626197618</v>
      </c>
      <c r="D32" s="32">
        <f t="shared" si="7"/>
        <v>-70499.999999999985</v>
      </c>
      <c r="E32" s="76">
        <f t="shared" si="21"/>
        <v>101.155</v>
      </c>
      <c r="F32" s="31">
        <f t="shared" si="8"/>
        <v>-17199.999999999705</v>
      </c>
      <c r="G32" s="32">
        <f t="shared" si="9"/>
        <v>-25099.923999999992</v>
      </c>
      <c r="H32" s="76">
        <f t="shared" si="22"/>
        <v>120.22</v>
      </c>
      <c r="I32" s="31">
        <f t="shared" si="10"/>
        <v>-592616.89909762458</v>
      </c>
      <c r="J32" s="32">
        <f t="shared" si="11"/>
        <v>-121259.99999999999</v>
      </c>
      <c r="K32" s="76">
        <f t="shared" si="23"/>
        <v>99.751000000000005</v>
      </c>
      <c r="L32" s="31">
        <f t="shared" si="12"/>
        <v>-3690.0000000001396</v>
      </c>
      <c r="M32" s="32">
        <f t="shared" si="13"/>
        <v>-55209.178666666659</v>
      </c>
      <c r="N32" s="82">
        <f t="shared" si="14"/>
        <v>738598.73069293378</v>
      </c>
      <c r="O32" s="82"/>
      <c r="P32" s="82"/>
      <c r="Q32" s="82">
        <f>$G$5*SUM($O$14:O32)-$H$5*SUM($P$14:P32)</f>
        <v>-685953.76080000005</v>
      </c>
      <c r="R32" s="82">
        <f t="shared" si="15"/>
        <v>52644.969892933732</v>
      </c>
      <c r="S32" s="143"/>
      <c r="U32" s="75">
        <v>45798.625</v>
      </c>
      <c r="V32" s="54">
        <v>92.95</v>
      </c>
      <c r="W32" s="75">
        <v>45797.625</v>
      </c>
      <c r="X32" s="54">
        <v>101.352</v>
      </c>
      <c r="Y32" s="125">
        <v>45799.625</v>
      </c>
      <c r="Z32" s="54">
        <v>120.57</v>
      </c>
      <c r="AA32" s="75">
        <v>45887.625</v>
      </c>
      <c r="AB32" s="54">
        <v>99.388999999999996</v>
      </c>
      <c r="AF32" s="131">
        <v>45922.625</v>
      </c>
      <c r="AG32" s="45">
        <f t="shared" si="24"/>
        <v>81.319999999999993</v>
      </c>
      <c r="AH32" s="46">
        <f t="shared" si="25"/>
        <v>151290.60145732565</v>
      </c>
      <c r="AI32" s="46">
        <f t="shared" si="26"/>
        <v>-106924.99999999999</v>
      </c>
      <c r="AJ32" s="45">
        <f t="shared" si="27"/>
        <v>99.65625</v>
      </c>
      <c r="AK32" s="46">
        <f t="shared" si="28"/>
        <v>1523.4375</v>
      </c>
      <c r="AL32" s="47">
        <f t="shared" si="29"/>
        <v>-8310.9820963541642</v>
      </c>
      <c r="AM32" s="45">
        <f t="shared" si="30"/>
        <v>111.48</v>
      </c>
      <c r="AN32" s="46">
        <f t="shared" si="31"/>
        <v>474416.06834499695</v>
      </c>
      <c r="AO32" s="47">
        <f t="shared" si="32"/>
        <v>-109979.99999999997</v>
      </c>
      <c r="AP32" s="45">
        <f t="shared" si="33"/>
        <v>99.65625</v>
      </c>
      <c r="AQ32" s="46">
        <f t="shared" si="34"/>
        <v>1328.125</v>
      </c>
      <c r="AR32" s="47">
        <f t="shared" si="35"/>
        <v>-7245.4715711805547</v>
      </c>
      <c r="AS32" s="45">
        <f t="shared" si="36"/>
        <v>100.8125</v>
      </c>
      <c r="AT32" s="46">
        <f t="shared" si="37"/>
        <v>51562.5</v>
      </c>
      <c r="AU32" s="47">
        <f t="shared" si="38"/>
        <v>79.692708333335759</v>
      </c>
      <c r="AV32" s="45">
        <f t="shared" si="39"/>
        <v>99.734375</v>
      </c>
      <c r="AW32" s="46">
        <f t="shared" si="40"/>
        <v>239531.25</v>
      </c>
      <c r="AX32" s="47">
        <f t="shared" si="41"/>
        <v>4760.3071614583314</v>
      </c>
      <c r="AY32" s="82">
        <f t="shared" si="42"/>
        <v>-23266.518992706056</v>
      </c>
      <c r="AZ32" s="82"/>
      <c r="BA32" s="82"/>
      <c r="BB32" s="82">
        <f>$AO$4*SUM($AZ$14:AZ32)-$AP$4*SUM($BA$14:BA32)</f>
        <v>39913.439100349337</v>
      </c>
      <c r="BC32" s="82">
        <f t="shared" si="16"/>
        <v>-63179.958093055393</v>
      </c>
      <c r="BE32" s="75">
        <v>45793.625</v>
      </c>
      <c r="BF32" s="54">
        <v>79.42</v>
      </c>
      <c r="BG32" s="75">
        <v>45937.625</v>
      </c>
      <c r="BH32" s="54">
        <v>99.625</v>
      </c>
      <c r="BI32" s="75">
        <v>45793.625</v>
      </c>
      <c r="BJ32" s="54">
        <v>107.1</v>
      </c>
      <c r="BK32" s="75">
        <v>45937.625</v>
      </c>
      <c r="BL32" s="54">
        <v>99.625</v>
      </c>
      <c r="BM32" s="75">
        <v>45916.625</v>
      </c>
      <c r="BN32" s="54">
        <v>101.765625</v>
      </c>
      <c r="BO32" s="75">
        <v>45917.625</v>
      </c>
      <c r="BP32" s="54">
        <v>101.375</v>
      </c>
      <c r="BR32" s="131">
        <v>45922.625</v>
      </c>
      <c r="BS32" s="45">
        <f t="shared" si="17"/>
        <v>107.9379</v>
      </c>
      <c r="BT32" s="46">
        <f t="shared" si="43"/>
        <v>11328.000000000031</v>
      </c>
      <c r="BU32" s="46">
        <f t="shared" si="44"/>
        <v>7222.2222222222226</v>
      </c>
      <c r="BV32" s="45">
        <f t="shared" si="45"/>
        <v>47.365000000000002</v>
      </c>
      <c r="BW32" s="46">
        <f t="shared" si="46"/>
        <v>12617.999999999978</v>
      </c>
      <c r="BX32" s="47">
        <f t="shared" si="47"/>
        <v>7222.2222222222217</v>
      </c>
      <c r="BY32" s="45">
        <f t="shared" si="48"/>
        <v>-1289.9999999999445</v>
      </c>
      <c r="CA32" s="129">
        <v>45797.625</v>
      </c>
      <c r="CB32" s="54">
        <v>106.3137</v>
      </c>
      <c r="CC32" s="129">
        <v>45797.625</v>
      </c>
      <c r="CD32" s="54">
        <v>55.078000000000003</v>
      </c>
      <c r="CF32" s="131">
        <v>45922.625</v>
      </c>
      <c r="CG32" s="45">
        <f t="shared" si="18"/>
        <v>247.34700000000001</v>
      </c>
      <c r="CH32" s="46">
        <f t="shared" si="49"/>
        <v>26294.399999999969</v>
      </c>
      <c r="CI32" s="46">
        <f t="shared" si="50"/>
        <v>8024.6913580246901</v>
      </c>
      <c r="CJ32" s="45">
        <f t="shared" si="51"/>
        <v>50.252000000000002</v>
      </c>
      <c r="CK32" s="46">
        <f t="shared" si="52"/>
        <v>20814.999999999993</v>
      </c>
      <c r="CL32" s="47">
        <f t="shared" si="53"/>
        <v>7222.2222222222217</v>
      </c>
      <c r="CM32" s="45">
        <f t="shared" si="54"/>
        <v>6281.8691358024416</v>
      </c>
      <c r="CO32" s="129">
        <v>45798.625</v>
      </c>
      <c r="CP32" s="54">
        <v>299.49900000000002</v>
      </c>
      <c r="CQ32" s="129">
        <v>45798.625</v>
      </c>
      <c r="CR32" s="54">
        <v>57.048999999999999</v>
      </c>
      <c r="CS32" s="54"/>
      <c r="CT32" s="54"/>
      <c r="CU32" s="54"/>
      <c r="CV32" s="54"/>
      <c r="CW32" s="54"/>
      <c r="CX32" s="54"/>
      <c r="CY32" s="54"/>
      <c r="DF32" s="142">
        <f t="shared" si="1"/>
        <v>45923.625</v>
      </c>
      <c r="DG32" s="58">
        <f t="shared" si="2"/>
        <v>71191.645264659484</v>
      </c>
      <c r="DH32" s="58">
        <f t="shared" si="3"/>
        <v>-70741.808700627298</v>
      </c>
      <c r="DI32" s="58">
        <v>-2076.0000000000691</v>
      </c>
      <c r="DJ32" s="58">
        <v>7608.3999999999578</v>
      </c>
      <c r="DK32" s="58">
        <f t="shared" si="19"/>
        <v>25724.031500891986</v>
      </c>
      <c r="DL32" s="58">
        <f t="shared" si="19"/>
        <v>-7561.8506075719051</v>
      </c>
      <c r="DM32" s="58">
        <f t="shared" si="19"/>
        <v>-786.0000000001246</v>
      </c>
      <c r="DN32" s="58">
        <f t="shared" si="19"/>
        <v>1326.5308641975162</v>
      </c>
      <c r="DO32" s="58">
        <f t="shared" si="5"/>
        <v>25724.031500891986</v>
      </c>
      <c r="DP32" s="58">
        <f t="shared" si="5"/>
        <v>-7112.3526055902266</v>
      </c>
      <c r="DQ32" s="58">
        <f t="shared" si="5"/>
        <v>-43999.122392147372</v>
      </c>
      <c r="DR32" s="58">
        <f t="shared" si="5"/>
        <v>46504.035799257043</v>
      </c>
      <c r="DS32" s="58">
        <f>SUM(DO$15:DO32)</f>
        <v>-38319.405663925048</v>
      </c>
      <c r="DT32" s="58">
        <f>SUM(DP$15:DP32)</f>
        <v>-109065.81084142871</v>
      </c>
      <c r="DU32" s="58">
        <f>SUM(DQ$15:DQ32)</f>
        <v>-121333.45774168373</v>
      </c>
      <c r="DV32" s="58">
        <f>SUM(DR$15:DR32)</f>
        <v>-56764.795600852849</v>
      </c>
      <c r="DZ32" s="133">
        <v>45923.625</v>
      </c>
      <c r="EA32" s="54">
        <v>-38319.405663925048</v>
      </c>
      <c r="EB32" s="54">
        <v>-109065.81084142871</v>
      </c>
      <c r="EC32" s="54">
        <v>-121333.45774168373</v>
      </c>
      <c r="ED32" s="54">
        <v>-56764.795600852849</v>
      </c>
    </row>
    <row r="33" spans="1:134" x14ac:dyDescent="0.3">
      <c r="A33" s="139">
        <v>45873.625</v>
      </c>
      <c r="B33" s="76">
        <f t="shared" si="20"/>
        <v>94.38</v>
      </c>
      <c r="C33" s="31">
        <f t="shared" si="6"/>
        <v>127795.52715654897</v>
      </c>
      <c r="D33" s="32">
        <f t="shared" si="7"/>
        <v>-79312.499999999985</v>
      </c>
      <c r="E33" s="76">
        <f t="shared" si="21"/>
        <v>101.214</v>
      </c>
      <c r="F33" s="31">
        <f t="shared" si="8"/>
        <v>-5400.0000000002046</v>
      </c>
      <c r="G33" s="32">
        <f t="shared" si="9"/>
        <v>-28237.414499999992</v>
      </c>
      <c r="H33" s="76">
        <f t="shared" si="22"/>
        <v>120.41</v>
      </c>
      <c r="I33" s="31">
        <f t="shared" si="10"/>
        <v>-525594.74979491893</v>
      </c>
      <c r="J33" s="32">
        <f t="shared" si="11"/>
        <v>-136417.49999999997</v>
      </c>
      <c r="K33" s="76">
        <f t="shared" si="23"/>
        <v>99.884</v>
      </c>
      <c r="L33" s="31">
        <f t="shared" si="12"/>
        <v>50839.999999998043</v>
      </c>
      <c r="M33" s="32">
        <f t="shared" si="13"/>
        <v>-62110.326000000015</v>
      </c>
      <c r="N33" s="82">
        <f t="shared" si="14"/>
        <v>732862.36545146606</v>
      </c>
      <c r="O33" s="82"/>
      <c r="P33" s="82"/>
      <c r="Q33" s="82">
        <f>$G$5*SUM($O$14:O33)-$H$5*SUM($P$14:P33)</f>
        <v>-685953.76080000005</v>
      </c>
      <c r="R33" s="82">
        <f t="shared" si="15"/>
        <v>46908.604651466012</v>
      </c>
      <c r="S33" s="143"/>
      <c r="U33" s="75">
        <v>45799.625</v>
      </c>
      <c r="V33" s="54">
        <v>92.82</v>
      </c>
      <c r="W33" s="75">
        <v>45798.625</v>
      </c>
      <c r="X33" s="54">
        <v>101.282</v>
      </c>
      <c r="Y33" s="125">
        <v>45800.625</v>
      </c>
      <c r="Z33" s="54">
        <v>120.79</v>
      </c>
      <c r="AA33" s="75">
        <v>45888.625</v>
      </c>
      <c r="AB33" s="54">
        <v>99.484999999999999</v>
      </c>
      <c r="AF33" s="131">
        <v>45923.625</v>
      </c>
      <c r="AG33" s="45">
        <f t="shared" si="24"/>
        <v>81.260000000000005</v>
      </c>
      <c r="AH33" s="46">
        <f t="shared" si="25"/>
        <v>125355.06977893518</v>
      </c>
      <c r="AI33" s="46">
        <f t="shared" si="26"/>
        <v>-111037.5</v>
      </c>
      <c r="AJ33" s="45">
        <f t="shared" si="27"/>
        <v>99.796875</v>
      </c>
      <c r="AK33" s="46">
        <f t="shared" si="28"/>
        <v>28945.3125</v>
      </c>
      <c r="AL33" s="47">
        <f t="shared" si="29"/>
        <v>-8630.63525390625</v>
      </c>
      <c r="AM33" s="45">
        <f t="shared" si="30"/>
        <v>111.71</v>
      </c>
      <c r="AN33" s="46">
        <f t="shared" si="31"/>
        <v>549668.27228936937</v>
      </c>
      <c r="AO33" s="47">
        <f t="shared" si="32"/>
        <v>-114210</v>
      </c>
      <c r="AP33" s="45">
        <f t="shared" si="33"/>
        <v>99.796875</v>
      </c>
      <c r="AQ33" s="46">
        <f t="shared" si="34"/>
        <v>25234.375</v>
      </c>
      <c r="AR33" s="47">
        <f t="shared" si="35"/>
        <v>-7524.1435546875</v>
      </c>
      <c r="AS33" s="45">
        <f t="shared" si="36"/>
        <v>101.140625</v>
      </c>
      <c r="AT33" s="46">
        <f t="shared" si="37"/>
        <v>76171.875</v>
      </c>
      <c r="AU33" s="47">
        <f t="shared" si="38"/>
        <v>82.7578125</v>
      </c>
      <c r="AV33" s="45">
        <f t="shared" si="39"/>
        <v>100.421875</v>
      </c>
      <c r="AW33" s="46">
        <f t="shared" si="40"/>
        <v>311718.75</v>
      </c>
      <c r="AX33" s="47">
        <f t="shared" si="41"/>
        <v>4943.3958984374985</v>
      </c>
      <c r="AY33" s="82">
        <f t="shared" si="42"/>
        <v>-30828.369600277954</v>
      </c>
      <c r="AZ33" s="82"/>
      <c r="BA33" s="82"/>
      <c r="BB33" s="82">
        <f>$AO$4*SUM($AZ$14:AZ33)-$AP$4*SUM($BA$14:BA33)</f>
        <v>39913.439100349337</v>
      </c>
      <c r="BC33" s="82">
        <f t="shared" si="16"/>
        <v>-70741.808700627298</v>
      </c>
      <c r="BE33" s="75">
        <v>45796.625</v>
      </c>
      <c r="BF33" s="54">
        <v>79.38</v>
      </c>
      <c r="BG33" s="75">
        <v>45938.625</v>
      </c>
      <c r="BH33" s="54">
        <v>99.5625</v>
      </c>
      <c r="BI33" s="75">
        <v>45796.625</v>
      </c>
      <c r="BJ33" s="54">
        <v>107.11</v>
      </c>
      <c r="BK33" s="75">
        <v>45938.625</v>
      </c>
      <c r="BL33" s="54">
        <v>99.5625</v>
      </c>
      <c r="BM33" s="75">
        <v>45917.625</v>
      </c>
      <c r="BN33" s="54">
        <v>101.5</v>
      </c>
      <c r="BO33" s="75">
        <v>45918.625</v>
      </c>
      <c r="BP33" s="54">
        <v>100.328125</v>
      </c>
      <c r="BR33" s="131">
        <v>45923.625</v>
      </c>
      <c r="BS33" s="45">
        <f t="shared" si="17"/>
        <v>107.82299999999999</v>
      </c>
      <c r="BT33" s="46">
        <f t="shared" si="43"/>
        <v>9029.9999999999163</v>
      </c>
      <c r="BU33" s="46">
        <f t="shared" si="44"/>
        <v>7500</v>
      </c>
      <c r="BV33" s="45">
        <f t="shared" si="45"/>
        <v>47.701000000000001</v>
      </c>
      <c r="BW33" s="46">
        <f t="shared" si="46"/>
        <v>11105.999999999985</v>
      </c>
      <c r="BX33" s="47">
        <f t="shared" si="47"/>
        <v>7500</v>
      </c>
      <c r="BY33" s="45">
        <f t="shared" si="48"/>
        <v>-2076.0000000000691</v>
      </c>
      <c r="CA33" s="129">
        <v>45798.625</v>
      </c>
      <c r="CB33" s="54">
        <v>105.5667</v>
      </c>
      <c r="CC33" s="129">
        <v>45798.625</v>
      </c>
      <c r="CD33" s="54">
        <v>58.378999999999998</v>
      </c>
      <c r="CF33" s="131">
        <v>45923.625</v>
      </c>
      <c r="CG33" s="45">
        <f t="shared" si="18"/>
        <v>242.93100000000001</v>
      </c>
      <c r="CH33" s="46">
        <f t="shared" si="49"/>
        <v>30612.266666666637</v>
      </c>
      <c r="CI33" s="46">
        <f t="shared" si="50"/>
        <v>8333.3333333333339</v>
      </c>
      <c r="CJ33" s="45">
        <f t="shared" si="51"/>
        <v>49.594999999999999</v>
      </c>
      <c r="CK33" s="46">
        <f t="shared" si="52"/>
        <v>23837.200000000012</v>
      </c>
      <c r="CL33" s="47">
        <f t="shared" si="53"/>
        <v>7500</v>
      </c>
      <c r="CM33" s="45">
        <f t="shared" si="54"/>
        <v>7608.3999999999578</v>
      </c>
      <c r="CO33" s="129">
        <v>45799.625</v>
      </c>
      <c r="CP33" s="54">
        <v>305.50700000000001</v>
      </c>
      <c r="CQ33" s="129">
        <v>45799.625</v>
      </c>
      <c r="CR33" s="54">
        <v>58.765999999999998</v>
      </c>
      <c r="CS33" s="54"/>
      <c r="CT33" s="54"/>
      <c r="CU33" s="54"/>
      <c r="CV33" s="54"/>
      <c r="CW33" s="54"/>
      <c r="CX33" s="54"/>
      <c r="CY33" s="54"/>
      <c r="DF33" s="142">
        <f t="shared" si="1"/>
        <v>45924.625</v>
      </c>
      <c r="DG33" s="58">
        <f t="shared" si="2"/>
        <v>37590.467665056494</v>
      </c>
      <c r="DH33" s="58">
        <f t="shared" si="3"/>
        <v>-29580.262994526238</v>
      </c>
      <c r="DI33" s="58">
        <v>-1185</v>
      </c>
      <c r="DJ33" s="58">
        <v>7754.5086419752624</v>
      </c>
      <c r="DK33" s="58">
        <f t="shared" si="19"/>
        <v>-33601.17759960299</v>
      </c>
      <c r="DL33" s="58">
        <f t="shared" si="19"/>
        <v>41161.54570610106</v>
      </c>
      <c r="DM33" s="58">
        <f t="shared" si="19"/>
        <v>891.00000000006912</v>
      </c>
      <c r="DN33" s="58">
        <f t="shared" si="19"/>
        <v>146.10864197530464</v>
      </c>
      <c r="DO33" s="58">
        <f t="shared" si="5"/>
        <v>-33601.17759960299</v>
      </c>
      <c r="DP33" s="58">
        <f t="shared" si="5"/>
        <v>38714.785843529411</v>
      </c>
      <c r="DQ33" s="58">
        <f t="shared" si="5"/>
        <v>49876.867749872945</v>
      </c>
      <c r="DR33" s="58">
        <f t="shared" si="5"/>
        <v>5122.1134014931567</v>
      </c>
      <c r="DS33" s="58">
        <f>SUM(DO$15:DO33)</f>
        <v>-71920.583263528039</v>
      </c>
      <c r="DT33" s="58">
        <f>SUM(DP$15:DP33)</f>
        <v>-70351.024997899309</v>
      </c>
      <c r="DU33" s="58">
        <f>SUM(DQ$15:DQ33)</f>
        <v>-71456.58999181079</v>
      </c>
      <c r="DV33" s="58">
        <f>SUM(DR$15:DR33)</f>
        <v>-51642.68219935969</v>
      </c>
      <c r="DZ33" s="133">
        <v>45924.625</v>
      </c>
      <c r="EA33" s="54">
        <v>-71920.583263528039</v>
      </c>
      <c r="EB33" s="54">
        <v>-70351.024997899309</v>
      </c>
      <c r="EC33" s="54">
        <v>-71456.58999181079</v>
      </c>
      <c r="ED33" s="54">
        <v>-51642.68219935969</v>
      </c>
    </row>
    <row r="34" spans="1:134" x14ac:dyDescent="0.3">
      <c r="A34" s="139">
        <v>45874.625</v>
      </c>
      <c r="B34" s="76">
        <f t="shared" si="20"/>
        <v>94.45</v>
      </c>
      <c r="C34" s="31">
        <f t="shared" si="6"/>
        <v>146432.37486687832</v>
      </c>
      <c r="D34" s="32">
        <f t="shared" si="7"/>
        <v>-82250</v>
      </c>
      <c r="E34" s="76">
        <f t="shared" si="21"/>
        <v>101.217</v>
      </c>
      <c r="F34" s="31">
        <f t="shared" si="8"/>
        <v>-4800.0000000001819</v>
      </c>
      <c r="G34" s="32">
        <f t="shared" si="9"/>
        <v>-29283.244666666658</v>
      </c>
      <c r="H34" s="76">
        <f t="shared" si="22"/>
        <v>120.52</v>
      </c>
      <c r="I34" s="31">
        <f t="shared" si="10"/>
        <v>-486792.45283019333</v>
      </c>
      <c r="J34" s="32">
        <f t="shared" si="11"/>
        <v>-141470</v>
      </c>
      <c r="K34" s="76">
        <f t="shared" si="23"/>
        <v>99.923000000000002</v>
      </c>
      <c r="L34" s="31">
        <f t="shared" si="12"/>
        <v>66829.999999998647</v>
      </c>
      <c r="M34" s="32">
        <f t="shared" si="13"/>
        <v>-64410.708444444448</v>
      </c>
      <c r="N34" s="82">
        <f t="shared" si="14"/>
        <v>728947.36391929258</v>
      </c>
      <c r="O34" s="82"/>
      <c r="P34" s="82"/>
      <c r="Q34" s="82">
        <f>$G$5*SUM($O$14:O34)-$H$5*SUM($P$14:P34)</f>
        <v>-685953.76080000005</v>
      </c>
      <c r="R34" s="82">
        <f t="shared" si="15"/>
        <v>42993.603119292529</v>
      </c>
      <c r="S34" s="143"/>
      <c r="U34" s="75">
        <v>45800.625</v>
      </c>
      <c r="V34" s="54">
        <v>92.47</v>
      </c>
      <c r="W34" s="75">
        <v>45799.625</v>
      </c>
      <c r="X34" s="54">
        <v>101.363</v>
      </c>
      <c r="Y34" s="125">
        <v>45804.625</v>
      </c>
      <c r="Z34" s="54">
        <v>121.1</v>
      </c>
      <c r="AA34" s="75">
        <v>45889.625</v>
      </c>
      <c r="AB34" s="54">
        <v>99.653999999999996</v>
      </c>
      <c r="AF34" s="131">
        <v>45924.625</v>
      </c>
      <c r="AG34" s="45">
        <f t="shared" si="24"/>
        <v>81.150000000000006</v>
      </c>
      <c r="AH34" s="46">
        <f t="shared" si="25"/>
        <v>77806.595035202481</v>
      </c>
      <c r="AI34" s="46">
        <f t="shared" si="26"/>
        <v>-115150</v>
      </c>
      <c r="AJ34" s="45">
        <f t="shared" si="27"/>
        <v>99.6015625</v>
      </c>
      <c r="AK34" s="46">
        <f t="shared" si="28"/>
        <v>-9140.625</v>
      </c>
      <c r="AL34" s="47">
        <f t="shared" si="29"/>
        <v>-8950.2884114583358</v>
      </c>
      <c r="AM34" s="45">
        <f t="shared" si="30"/>
        <v>111.26</v>
      </c>
      <c r="AN34" s="46">
        <f t="shared" si="31"/>
        <v>402435.69935472665</v>
      </c>
      <c r="AO34" s="47">
        <f t="shared" si="32"/>
        <v>-118439.99999999999</v>
      </c>
      <c r="AP34" s="45">
        <f t="shared" si="33"/>
        <v>99.6015625</v>
      </c>
      <c r="AQ34" s="46">
        <f t="shared" si="34"/>
        <v>-7968.75</v>
      </c>
      <c r="AR34" s="47">
        <f t="shared" si="35"/>
        <v>-7802.8155381944453</v>
      </c>
      <c r="AS34" s="45">
        <f t="shared" si="36"/>
        <v>100.859375</v>
      </c>
      <c r="AT34" s="46">
        <f t="shared" si="37"/>
        <v>55078.125</v>
      </c>
      <c r="AU34" s="47">
        <f t="shared" si="38"/>
        <v>85.822916666671517</v>
      </c>
      <c r="AV34" s="45">
        <f t="shared" si="39"/>
        <v>100.015625</v>
      </c>
      <c r="AW34" s="46">
        <f t="shared" si="40"/>
        <v>269062.5</v>
      </c>
      <c r="AX34" s="47">
        <f t="shared" si="41"/>
        <v>5126.484635416673</v>
      </c>
      <c r="AY34" s="82">
        <f t="shared" si="42"/>
        <v>10333.176105823099</v>
      </c>
      <c r="AZ34" s="82"/>
      <c r="BA34" s="82"/>
      <c r="BB34" s="82">
        <f>$AO$4*SUM($AZ$14:AZ34)-$AP$4*SUM($BA$14:BA34)</f>
        <v>39913.439100349337</v>
      </c>
      <c r="BC34" s="82">
        <f t="shared" si="16"/>
        <v>-29580.262994526238</v>
      </c>
      <c r="BE34" s="75">
        <v>45797.625</v>
      </c>
      <c r="BF34" s="54">
        <v>79.34</v>
      </c>
      <c r="BG34" s="75">
        <v>45939.625</v>
      </c>
      <c r="BH34" s="54">
        <v>99.5078125</v>
      </c>
      <c r="BI34" s="75">
        <v>45797.625</v>
      </c>
      <c r="BJ34" s="54">
        <v>106.86</v>
      </c>
      <c r="BK34" s="75">
        <v>45939.625</v>
      </c>
      <c r="BL34" s="54">
        <v>99.5078125</v>
      </c>
      <c r="BM34" s="75">
        <v>45918.625</v>
      </c>
      <c r="BN34" s="54">
        <v>101.09375</v>
      </c>
      <c r="BO34" s="75">
        <v>45919.625</v>
      </c>
      <c r="BP34" s="54">
        <v>100.125</v>
      </c>
      <c r="BR34" s="131">
        <v>45924.625</v>
      </c>
      <c r="BS34" s="45">
        <f t="shared" si="17"/>
        <v>107.7465</v>
      </c>
      <c r="BT34" s="46">
        <f t="shared" si="43"/>
        <v>7500</v>
      </c>
      <c r="BU34" s="46">
        <f t="shared" si="44"/>
        <v>7777.7777777777783</v>
      </c>
      <c r="BV34" s="45">
        <f t="shared" si="45"/>
        <v>48.238999999999997</v>
      </c>
      <c r="BW34" s="46">
        <f t="shared" si="46"/>
        <v>8685</v>
      </c>
      <c r="BX34" s="47">
        <f t="shared" si="47"/>
        <v>7777.7777777777774</v>
      </c>
      <c r="BY34" s="45">
        <f t="shared" si="48"/>
        <v>-1185</v>
      </c>
      <c r="CA34" s="129">
        <v>45799.625</v>
      </c>
      <c r="CB34" s="54">
        <v>105.6853</v>
      </c>
      <c r="CC34" s="129">
        <v>45799.625</v>
      </c>
      <c r="CD34" s="54">
        <v>57.960999999999999</v>
      </c>
      <c r="CF34" s="131">
        <v>45924.625</v>
      </c>
      <c r="CG34" s="45">
        <f t="shared" si="18"/>
        <v>243.08600000000001</v>
      </c>
      <c r="CH34" s="46">
        <f t="shared" si="49"/>
        <v>30460.711111111075</v>
      </c>
      <c r="CI34" s="46">
        <f t="shared" si="50"/>
        <v>8641.9753086419751</v>
      </c>
      <c r="CJ34" s="45">
        <f t="shared" si="51"/>
        <v>49.652999999999999</v>
      </c>
      <c r="CK34" s="46">
        <f t="shared" si="52"/>
        <v>23570.400000000012</v>
      </c>
      <c r="CL34" s="47">
        <f t="shared" si="53"/>
        <v>7777.7777777777774</v>
      </c>
      <c r="CM34" s="45">
        <f t="shared" si="54"/>
        <v>7754.5086419752624</v>
      </c>
      <c r="CO34" s="129">
        <v>45800.625</v>
      </c>
      <c r="CP34" s="54">
        <v>312.83199999999999</v>
      </c>
      <c r="CQ34" s="129">
        <v>45800.625</v>
      </c>
      <c r="CR34" s="54">
        <v>60.347000000000001</v>
      </c>
      <c r="CS34" s="54"/>
      <c r="CT34" s="54"/>
      <c r="CU34" s="54"/>
      <c r="CV34" s="54"/>
      <c r="CW34" s="54"/>
      <c r="CX34" s="54"/>
      <c r="CY34" s="54"/>
      <c r="DF34" s="142">
        <f t="shared" si="1"/>
        <v>45925.625</v>
      </c>
      <c r="DG34" s="58">
        <f t="shared" si="2"/>
        <v>38126.776980563591</v>
      </c>
      <c r="DH34" s="58">
        <f t="shared" si="3"/>
        <v>-72710.654497794283</v>
      </c>
      <c r="DI34" s="58">
        <v>-907.99999999990541</v>
      </c>
      <c r="DJ34" s="58">
        <v>8743.6172839505834</v>
      </c>
      <c r="DK34" s="58">
        <f t="shared" si="19"/>
        <v>536.30931550709647</v>
      </c>
      <c r="DL34" s="58">
        <f t="shared" si="19"/>
        <v>-43130.391503268045</v>
      </c>
      <c r="DM34" s="58">
        <f t="shared" si="19"/>
        <v>277.00000000009459</v>
      </c>
      <c r="DN34" s="58">
        <f t="shared" si="19"/>
        <v>989.10864197532101</v>
      </c>
      <c r="DO34" s="58">
        <f t="shared" si="5"/>
        <v>536.30931550709647</v>
      </c>
      <c r="DP34" s="58">
        <f t="shared" si="5"/>
        <v>-40566.597822129494</v>
      </c>
      <c r="DQ34" s="58">
        <f t="shared" si="5"/>
        <v>15506.052038965716</v>
      </c>
      <c r="DR34" s="58">
        <f t="shared" si="5"/>
        <v>34675.064815473423</v>
      </c>
      <c r="DS34" s="58">
        <f>SUM(DO$15:DO34)</f>
        <v>-71384.273948020942</v>
      </c>
      <c r="DT34" s="58">
        <f>SUM(DP$15:DP34)</f>
        <v>-110917.6228200288</v>
      </c>
      <c r="DU34" s="58">
        <f>SUM(DQ$15:DQ34)</f>
        <v>-55950.537952845072</v>
      </c>
      <c r="DV34" s="58">
        <f>SUM(DR$15:DR34)</f>
        <v>-16967.617383886267</v>
      </c>
      <c r="DZ34" s="133">
        <v>45925.625</v>
      </c>
      <c r="EA34" s="54">
        <v>-71384.273948020942</v>
      </c>
      <c r="EB34" s="54">
        <v>-110917.6228200288</v>
      </c>
      <c r="EC34" s="54">
        <v>-55950.537952845072</v>
      </c>
      <c r="ED34" s="54">
        <v>-16967.617383886267</v>
      </c>
    </row>
    <row r="35" spans="1:134" x14ac:dyDescent="0.3">
      <c r="A35" s="139">
        <v>45875.625</v>
      </c>
      <c r="B35" s="76">
        <f t="shared" si="20"/>
        <v>94.47</v>
      </c>
      <c r="C35" s="31">
        <f t="shared" si="6"/>
        <v>151757.1884984026</v>
      </c>
      <c r="D35" s="32">
        <f t="shared" si="7"/>
        <v>-85187.5</v>
      </c>
      <c r="E35" s="76">
        <f t="shared" si="21"/>
        <v>101.197</v>
      </c>
      <c r="F35" s="31">
        <f t="shared" si="8"/>
        <v>-8799.9999999993852</v>
      </c>
      <c r="G35" s="32">
        <f t="shared" si="9"/>
        <v>-30329.074833333332</v>
      </c>
      <c r="H35" s="76">
        <f t="shared" si="22"/>
        <v>120.41</v>
      </c>
      <c r="I35" s="31">
        <f t="shared" si="10"/>
        <v>-525594.74979491893</v>
      </c>
      <c r="J35" s="32">
        <f t="shared" si="11"/>
        <v>-146522.5</v>
      </c>
      <c r="K35" s="76">
        <f t="shared" si="23"/>
        <v>99.869</v>
      </c>
      <c r="L35" s="31">
        <f t="shared" si="12"/>
        <v>44689.999999997803</v>
      </c>
      <c r="M35" s="32">
        <f t="shared" si="13"/>
        <v>-66711.09088888891</v>
      </c>
      <c r="N35" s="82">
        <f t="shared" si="14"/>
        <v>755794.92223776306</v>
      </c>
      <c r="O35" s="82"/>
      <c r="P35" s="82"/>
      <c r="Q35" s="82">
        <f>$G$5*SUM($O$14:O35)-$H$5*SUM($P$14:P35)</f>
        <v>-685953.76080000005</v>
      </c>
      <c r="R35" s="82">
        <f t="shared" si="15"/>
        <v>69841.161437763018</v>
      </c>
      <c r="S35" s="143"/>
      <c r="U35" s="75">
        <v>45804.625</v>
      </c>
      <c r="V35" s="54">
        <v>93.11</v>
      </c>
      <c r="W35" s="75">
        <v>45800.625</v>
      </c>
      <c r="X35" s="54">
        <v>101.581</v>
      </c>
      <c r="Y35" s="125">
        <v>45805.625</v>
      </c>
      <c r="Z35" s="54">
        <v>120.98</v>
      </c>
      <c r="AA35" s="75">
        <v>45890.625</v>
      </c>
      <c r="AB35" s="54">
        <v>99.468999999999994</v>
      </c>
      <c r="AF35" s="131">
        <v>45925.625</v>
      </c>
      <c r="AG35" s="45">
        <f t="shared" si="24"/>
        <v>80.92</v>
      </c>
      <c r="AH35" s="46">
        <f t="shared" si="25"/>
        <v>-21612.943065330568</v>
      </c>
      <c r="AI35" s="46">
        <f t="shared" si="26"/>
        <v>-119262.5</v>
      </c>
      <c r="AJ35" s="45">
        <f t="shared" si="27"/>
        <v>99.390625</v>
      </c>
      <c r="AK35" s="46">
        <f t="shared" si="28"/>
        <v>-50273.4375</v>
      </c>
      <c r="AL35" s="47">
        <f t="shared" si="29"/>
        <v>-9269.9415690104142</v>
      </c>
      <c r="AM35" s="45">
        <f t="shared" si="30"/>
        <v>111.06</v>
      </c>
      <c r="AN35" s="46">
        <f t="shared" si="31"/>
        <v>336999.0002726526</v>
      </c>
      <c r="AO35" s="47">
        <f t="shared" si="32"/>
        <v>-122669.99999999999</v>
      </c>
      <c r="AP35" s="45">
        <f t="shared" si="33"/>
        <v>99.390625</v>
      </c>
      <c r="AQ35" s="46">
        <f t="shared" si="34"/>
        <v>-43828.125</v>
      </c>
      <c r="AR35" s="47">
        <f t="shared" si="35"/>
        <v>-8081.4875217013905</v>
      </c>
      <c r="AS35" s="45">
        <f t="shared" si="36"/>
        <v>100.640625</v>
      </c>
      <c r="AT35" s="46">
        <f t="shared" si="37"/>
        <v>38671.875</v>
      </c>
      <c r="AU35" s="47">
        <f t="shared" si="38"/>
        <v>88.888020833339397</v>
      </c>
      <c r="AV35" s="45">
        <f t="shared" si="39"/>
        <v>100.03125</v>
      </c>
      <c r="AW35" s="46">
        <f t="shared" si="40"/>
        <v>270703.125</v>
      </c>
      <c r="AX35" s="47">
        <f t="shared" si="41"/>
        <v>5309.5733723958328</v>
      </c>
      <c r="AY35" s="82">
        <f t="shared" si="42"/>
        <v>-32797.215397444954</v>
      </c>
      <c r="AZ35" s="82"/>
      <c r="BA35" s="82"/>
      <c r="BB35" s="82">
        <f>$AO$4*SUM($AZ$14:AZ35)-$AP$4*SUM($BA$14:BA35)</f>
        <v>39913.439100349337</v>
      </c>
      <c r="BC35" s="82">
        <f t="shared" si="16"/>
        <v>-72710.654497794283</v>
      </c>
      <c r="BE35" s="75">
        <v>45798.625</v>
      </c>
      <c r="BF35" s="54">
        <v>78.81</v>
      </c>
      <c r="BG35" s="75">
        <v>45940.625</v>
      </c>
      <c r="BH35" s="54">
        <v>99.890625</v>
      </c>
      <c r="BI35" s="75">
        <v>45798.625</v>
      </c>
      <c r="BJ35" s="54">
        <v>105.66</v>
      </c>
      <c r="BK35" s="75">
        <v>45940.625</v>
      </c>
      <c r="BL35" s="54">
        <v>99.890625</v>
      </c>
      <c r="BM35" s="75">
        <v>45919.625</v>
      </c>
      <c r="BN35" s="54">
        <v>101.015625</v>
      </c>
      <c r="BO35" s="75">
        <v>45922.625</v>
      </c>
      <c r="BP35" s="54">
        <v>99.734375</v>
      </c>
      <c r="BR35" s="131">
        <v>45925.625</v>
      </c>
      <c r="BS35" s="45">
        <f t="shared" si="17"/>
        <v>107.6015</v>
      </c>
      <c r="BT35" s="46">
        <f t="shared" si="43"/>
        <v>4600.00000000008</v>
      </c>
      <c r="BU35" s="46">
        <f t="shared" si="44"/>
        <v>8055.5555555555566</v>
      </c>
      <c r="BV35" s="45">
        <f t="shared" si="45"/>
        <v>48.945</v>
      </c>
      <c r="BW35" s="46">
        <f t="shared" si="46"/>
        <v>5507.9999999999854</v>
      </c>
      <c r="BX35" s="47">
        <f t="shared" si="47"/>
        <v>8055.5555555555566</v>
      </c>
      <c r="BY35" s="45">
        <f t="shared" si="48"/>
        <v>-907.99999999990541</v>
      </c>
      <c r="CA35" s="129">
        <v>45804.625</v>
      </c>
      <c r="CB35" s="54">
        <v>106.0853</v>
      </c>
      <c r="CC35" s="129">
        <v>45804.625</v>
      </c>
      <c r="CD35" s="54">
        <v>55.93</v>
      </c>
      <c r="CF35" s="131">
        <v>45925.625</v>
      </c>
      <c r="CG35" s="45">
        <f t="shared" si="18"/>
        <v>247.20099999999999</v>
      </c>
      <c r="CH35" s="46">
        <f t="shared" si="49"/>
        <v>26437.155555555539</v>
      </c>
      <c r="CI35" s="46">
        <f t="shared" si="50"/>
        <v>8950.6172839506162</v>
      </c>
      <c r="CJ35" s="45">
        <f t="shared" si="51"/>
        <v>50.735999999999997</v>
      </c>
      <c r="CK35" s="46">
        <f t="shared" si="52"/>
        <v>18588.600000000017</v>
      </c>
      <c r="CL35" s="47">
        <f t="shared" si="53"/>
        <v>8055.5555555555566</v>
      </c>
      <c r="CM35" s="45">
        <f t="shared" si="54"/>
        <v>8743.6172839505834</v>
      </c>
      <c r="CO35" s="129">
        <v>45804.625</v>
      </c>
      <c r="CP35" s="54">
        <v>300.76</v>
      </c>
      <c r="CQ35" s="129">
        <v>45804.625</v>
      </c>
      <c r="CR35" s="54">
        <v>57.875</v>
      </c>
      <c r="CS35" s="54"/>
      <c r="CT35" s="54"/>
      <c r="CU35" s="54"/>
      <c r="CV35" s="54"/>
      <c r="CW35" s="54"/>
      <c r="CX35" s="54"/>
      <c r="CY35" s="54"/>
      <c r="DF35" s="142">
        <f t="shared" si="1"/>
        <v>45926.625</v>
      </c>
      <c r="DG35" s="58">
        <f t="shared" si="2"/>
        <v>80819.631518541748</v>
      </c>
      <c r="DH35" s="58">
        <f t="shared" si="3"/>
        <v>-71071.188485087609</v>
      </c>
      <c r="DI35" s="58">
        <v>-500.99999999987631</v>
      </c>
      <c r="DJ35" s="58">
        <v>9419.0148148148</v>
      </c>
      <c r="DK35" s="58">
        <f t="shared" si="19"/>
        <v>42692.854537978157</v>
      </c>
      <c r="DL35" s="58">
        <f t="shared" si="19"/>
        <v>1639.4660127066745</v>
      </c>
      <c r="DM35" s="58">
        <f t="shared" si="19"/>
        <v>407.0000000000291</v>
      </c>
      <c r="DN35" s="58">
        <f t="shared" si="19"/>
        <v>675.39753086421661</v>
      </c>
      <c r="DO35" s="58">
        <f t="shared" si="5"/>
        <v>42692.854537978157</v>
      </c>
      <c r="DP35" s="58">
        <f t="shared" si="5"/>
        <v>1542.0114694642302</v>
      </c>
      <c r="DQ35" s="58">
        <f t="shared" si="5"/>
        <v>22783.260577102319</v>
      </c>
      <c r="DR35" s="58">
        <f t="shared" si="5"/>
        <v>23677.331452849397</v>
      </c>
      <c r="DS35" s="58">
        <f>SUM(DO$15:DO35)</f>
        <v>-28691.419410042785</v>
      </c>
      <c r="DT35" s="58">
        <f>SUM(DP$15:DP35)</f>
        <v>-109375.61135056458</v>
      </c>
      <c r="DU35" s="58">
        <f>SUM(DQ$15:DQ35)</f>
        <v>-33167.277375742749</v>
      </c>
      <c r="DV35" s="58">
        <f>SUM(DR$15:DR35)</f>
        <v>6709.7140689631306</v>
      </c>
      <c r="DZ35" s="133">
        <v>45926.625</v>
      </c>
      <c r="EA35" s="54">
        <v>-28691.419410042785</v>
      </c>
      <c r="EB35" s="54">
        <v>-109375.61135056458</v>
      </c>
      <c r="EC35" s="54">
        <v>-33167.277375742749</v>
      </c>
      <c r="ED35" s="54">
        <v>6709.7140689631306</v>
      </c>
    </row>
    <row r="36" spans="1:134" x14ac:dyDescent="0.3">
      <c r="A36" s="139">
        <v>45876.625</v>
      </c>
      <c r="B36" s="76">
        <f t="shared" si="20"/>
        <v>94.64</v>
      </c>
      <c r="C36" s="31">
        <f t="shared" si="6"/>
        <v>197018.10436634769</v>
      </c>
      <c r="D36" s="32">
        <f t="shared" si="7"/>
        <v>-88124.999999999985</v>
      </c>
      <c r="E36" s="76">
        <f t="shared" si="21"/>
        <v>101.16500000000001</v>
      </c>
      <c r="F36" s="31">
        <f t="shared" si="8"/>
        <v>-15199.999999998679</v>
      </c>
      <c r="G36" s="32">
        <f t="shared" si="9"/>
        <v>-31374.904999999984</v>
      </c>
      <c r="H36" s="76">
        <f t="shared" si="22"/>
        <v>120.52</v>
      </c>
      <c r="I36" s="31">
        <f t="shared" si="10"/>
        <v>-486792.45283019333</v>
      </c>
      <c r="J36" s="32">
        <f t="shared" si="11"/>
        <v>-151574.99999999997</v>
      </c>
      <c r="K36" s="76">
        <f t="shared" si="23"/>
        <v>99.838999999999999</v>
      </c>
      <c r="L36" s="31">
        <f t="shared" si="12"/>
        <v>32389.999999997341</v>
      </c>
      <c r="M36" s="32">
        <f t="shared" si="13"/>
        <v>-69011.473333333328</v>
      </c>
      <c r="N36" s="82">
        <f t="shared" si="14"/>
        <v>757213.98886320367</v>
      </c>
      <c r="O36" s="82"/>
      <c r="P36" s="82"/>
      <c r="Q36" s="82">
        <f>$G$5*SUM($O$14:O36)-$H$5*SUM($P$14:P36)</f>
        <v>-685953.76080000005</v>
      </c>
      <c r="R36" s="82">
        <f t="shared" si="15"/>
        <v>71260.228063203627</v>
      </c>
      <c r="S36" s="143"/>
      <c r="U36" s="75">
        <v>45805.625</v>
      </c>
      <c r="V36" s="54">
        <v>93.01</v>
      </c>
      <c r="W36" s="75">
        <v>45803.625</v>
      </c>
      <c r="X36" s="54">
        <v>101.53100000000001</v>
      </c>
      <c r="Y36" s="125">
        <v>45806.625</v>
      </c>
      <c r="Z36" s="54">
        <v>121.25</v>
      </c>
      <c r="AA36" s="75">
        <v>45891.625</v>
      </c>
      <c r="AB36" s="54">
        <v>99.596000000000004</v>
      </c>
      <c r="AF36" s="131">
        <v>45926.625</v>
      </c>
      <c r="AG36" s="45">
        <f t="shared" si="24"/>
        <v>81.08</v>
      </c>
      <c r="AH36" s="46">
        <f t="shared" si="25"/>
        <v>47548.474743732695</v>
      </c>
      <c r="AI36" s="46">
        <f t="shared" si="26"/>
        <v>-123374.99999999999</v>
      </c>
      <c r="AJ36" s="45">
        <f t="shared" si="27"/>
        <v>99.3828125</v>
      </c>
      <c r="AK36" s="46">
        <f t="shared" si="28"/>
        <v>-51796.875000000007</v>
      </c>
      <c r="AL36" s="47">
        <f t="shared" si="29"/>
        <v>-9589.5947265625073</v>
      </c>
      <c r="AM36" s="45">
        <f t="shared" si="30"/>
        <v>111.21</v>
      </c>
      <c r="AN36" s="46">
        <f t="shared" si="31"/>
        <v>386076.52458420018</v>
      </c>
      <c r="AO36" s="47">
        <f t="shared" si="32"/>
        <v>-126899.99999999999</v>
      </c>
      <c r="AP36" s="45">
        <f t="shared" si="33"/>
        <v>99.3828125</v>
      </c>
      <c r="AQ36" s="46">
        <f t="shared" si="34"/>
        <v>-45156.25</v>
      </c>
      <c r="AR36" s="47">
        <f t="shared" si="35"/>
        <v>-8360.1595052083358</v>
      </c>
      <c r="AS36" s="45">
        <f t="shared" si="36"/>
        <v>100.5625</v>
      </c>
      <c r="AT36" s="46">
        <f t="shared" si="37"/>
        <v>32812.5</v>
      </c>
      <c r="AU36" s="47">
        <f t="shared" si="38"/>
        <v>91.953125000003638</v>
      </c>
      <c r="AV36" s="45">
        <f t="shared" si="39"/>
        <v>99.90625</v>
      </c>
      <c r="AW36" s="46">
        <f t="shared" si="40"/>
        <v>257578.125</v>
      </c>
      <c r="AX36" s="47">
        <f t="shared" si="41"/>
        <v>5492.662109375</v>
      </c>
      <c r="AY36" s="82">
        <f t="shared" si="42"/>
        <v>-31157.749384738272</v>
      </c>
      <c r="AZ36" s="82"/>
      <c r="BA36" s="82"/>
      <c r="BB36" s="82">
        <f>$AO$4*SUM($AZ$14:AZ36)-$AP$4*SUM($BA$14:BA36)</f>
        <v>39913.439100349337</v>
      </c>
      <c r="BC36" s="82">
        <f t="shared" si="16"/>
        <v>-71071.188485087609</v>
      </c>
      <c r="BE36" s="75">
        <v>45799.625</v>
      </c>
      <c r="BF36" s="54">
        <v>78.97</v>
      </c>
      <c r="BG36" s="75">
        <v>45943.625</v>
      </c>
      <c r="BH36" s="54">
        <v>99.9921875</v>
      </c>
      <c r="BI36" s="75">
        <v>45799.625</v>
      </c>
      <c r="BJ36" s="54">
        <v>106.2</v>
      </c>
      <c r="BK36" s="75">
        <v>45943.625</v>
      </c>
      <c r="BL36" s="54">
        <v>99.9921875</v>
      </c>
      <c r="BM36" s="75">
        <v>45922.625</v>
      </c>
      <c r="BN36" s="54">
        <v>100.8125</v>
      </c>
      <c r="BO36" s="75">
        <v>45923.625</v>
      </c>
      <c r="BP36" s="54">
        <v>100.421875</v>
      </c>
      <c r="BR36" s="131">
        <v>45926.625</v>
      </c>
      <c r="BS36" s="45">
        <f t="shared" si="17"/>
        <v>107.7762</v>
      </c>
      <c r="BT36" s="46">
        <f t="shared" si="43"/>
        <v>8094.0000000001082</v>
      </c>
      <c r="BU36" s="46">
        <f t="shared" si="44"/>
        <v>8333.3333333333339</v>
      </c>
      <c r="BV36" s="45">
        <f t="shared" si="45"/>
        <v>48.259</v>
      </c>
      <c r="BW36" s="46">
        <f t="shared" si="46"/>
        <v>8594.9999999999854</v>
      </c>
      <c r="BX36" s="47">
        <f t="shared" si="47"/>
        <v>8333.3333333333321</v>
      </c>
      <c r="BY36" s="45">
        <f t="shared" si="48"/>
        <v>-500.99999999987631</v>
      </c>
      <c r="CA36" s="129">
        <v>45805.625</v>
      </c>
      <c r="CB36" s="54">
        <v>106.0368</v>
      </c>
      <c r="CC36" s="129">
        <v>45805.625</v>
      </c>
      <c r="CD36" s="54">
        <v>56.25</v>
      </c>
      <c r="CF36" s="131">
        <v>45926.625</v>
      </c>
      <c r="CG36" s="45">
        <f t="shared" si="18"/>
        <v>244.453</v>
      </c>
      <c r="CH36" s="46">
        <f t="shared" si="49"/>
        <v>29124.088888888866</v>
      </c>
      <c r="CI36" s="46">
        <f t="shared" si="50"/>
        <v>9259.2592592592591</v>
      </c>
      <c r="CJ36" s="45">
        <f t="shared" si="51"/>
        <v>50.292000000000002</v>
      </c>
      <c r="CK36" s="46">
        <f t="shared" si="52"/>
        <v>20630.999999999996</v>
      </c>
      <c r="CL36" s="47">
        <f t="shared" si="53"/>
        <v>8333.3333333333321</v>
      </c>
      <c r="CM36" s="45">
        <f t="shared" si="54"/>
        <v>9419.0148148148</v>
      </c>
      <c r="CO36" s="129">
        <v>45805.625</v>
      </c>
      <c r="CP36" s="54">
        <v>299.834</v>
      </c>
      <c r="CQ36" s="129">
        <v>45805.625</v>
      </c>
      <c r="CR36" s="54">
        <v>57.68</v>
      </c>
      <c r="CS36" s="54"/>
      <c r="CT36" s="54"/>
      <c r="CU36" s="54"/>
      <c r="CV36" s="54"/>
      <c r="CW36" s="54"/>
      <c r="CX36" s="54"/>
      <c r="CY36" s="54"/>
      <c r="DF36" s="142">
        <f t="shared" si="1"/>
        <v>45929.625</v>
      </c>
      <c r="DG36" s="58">
        <f t="shared" si="2"/>
        <v>4003.7110540830763</v>
      </c>
      <c r="DH36" s="58">
        <f t="shared" si="3"/>
        <v>-31125.811158416655</v>
      </c>
      <c r="DI36" s="58">
        <v>143.00000000003638</v>
      </c>
      <c r="DJ36" s="58">
        <v>9181.5185185185055</v>
      </c>
      <c r="DK36" s="58">
        <f t="shared" si="19"/>
        <v>-76815.920464458672</v>
      </c>
      <c r="DL36" s="58">
        <f t="shared" si="19"/>
        <v>39945.377326670954</v>
      </c>
      <c r="DM36" s="58">
        <f t="shared" si="19"/>
        <v>643.99999999991269</v>
      </c>
      <c r="DN36" s="58">
        <f t="shared" si="19"/>
        <v>-237.49629629629453</v>
      </c>
      <c r="DO36" s="58">
        <f t="shared" si="5"/>
        <v>-76815.920464458672</v>
      </c>
      <c r="DP36" s="58">
        <f t="shared" si="5"/>
        <v>37570.909986789418</v>
      </c>
      <c r="DQ36" s="58">
        <f t="shared" si="5"/>
        <v>36050.171527397681</v>
      </c>
      <c r="DR36" s="58">
        <f t="shared" si="5"/>
        <v>-8325.8796031370312</v>
      </c>
      <c r="DS36" s="58">
        <f>SUM(DO$15:DO36)</f>
        <v>-105507.33987450146</v>
      </c>
      <c r="DT36" s="58">
        <f>SUM(DP$15:DP36)</f>
        <v>-71804.701363775152</v>
      </c>
      <c r="DU36" s="58">
        <f>SUM(DQ$15:DQ36)</f>
        <v>2882.8941516549312</v>
      </c>
      <c r="DV36" s="58">
        <f>SUM(DR$15:DR36)</f>
        <v>-1616.1655341739006</v>
      </c>
      <c r="DZ36" s="133">
        <v>45929.625</v>
      </c>
      <c r="EA36" s="54">
        <v>-105507.33987450146</v>
      </c>
      <c r="EB36" s="54">
        <v>-71804.701363775152</v>
      </c>
      <c r="EC36" s="54">
        <v>2882.8941516549312</v>
      </c>
      <c r="ED36" s="54">
        <v>-1616.1655341739006</v>
      </c>
    </row>
    <row r="37" spans="1:134" x14ac:dyDescent="0.3">
      <c r="A37" s="139">
        <v>45877.625</v>
      </c>
      <c r="B37" s="76">
        <f t="shared" si="20"/>
        <v>94.67</v>
      </c>
      <c r="C37" s="31">
        <f t="shared" si="6"/>
        <v>205005.32481362854</v>
      </c>
      <c r="D37" s="32">
        <f t="shared" si="7"/>
        <v>-91062.5</v>
      </c>
      <c r="E37" s="76">
        <f t="shared" si="21"/>
        <v>101.039</v>
      </c>
      <c r="F37" s="31">
        <f t="shared" si="8"/>
        <v>-40399.999999999636</v>
      </c>
      <c r="G37" s="32">
        <f t="shared" si="9"/>
        <v>-32420.735166666658</v>
      </c>
      <c r="H37" s="76">
        <f t="shared" si="22"/>
        <v>120.29</v>
      </c>
      <c r="I37" s="31">
        <f t="shared" si="10"/>
        <v>-567924.52830188663</v>
      </c>
      <c r="J37" s="32">
        <f t="shared" si="11"/>
        <v>-156627.5</v>
      </c>
      <c r="K37" s="76">
        <f t="shared" si="23"/>
        <v>99.611000000000004</v>
      </c>
      <c r="L37" s="31">
        <f t="shared" si="12"/>
        <v>-61090.000000000371</v>
      </c>
      <c r="M37" s="32">
        <f t="shared" si="13"/>
        <v>-71311.85577777779</v>
      </c>
      <c r="N37" s="82">
        <f t="shared" si="14"/>
        <v>778913.73250440322</v>
      </c>
      <c r="O37" s="82"/>
      <c r="P37" s="82"/>
      <c r="Q37" s="82">
        <f>$G$5*SUM($O$14:O37)-$H$5*SUM($P$14:P37)</f>
        <v>-685953.76080000005</v>
      </c>
      <c r="R37" s="82">
        <f t="shared" si="15"/>
        <v>92959.971704403171</v>
      </c>
      <c r="S37" s="143"/>
      <c r="U37" s="75">
        <v>45806.625</v>
      </c>
      <c r="V37" s="54">
        <v>93.33</v>
      </c>
      <c r="W37" s="75">
        <v>45804.625</v>
      </c>
      <c r="X37" s="54">
        <v>101.529</v>
      </c>
      <c r="Y37" s="125">
        <v>45810.625</v>
      </c>
      <c r="Z37" s="54">
        <v>121.27</v>
      </c>
      <c r="AA37" s="75">
        <v>45894.625</v>
      </c>
      <c r="AB37" s="54">
        <v>99.394999999999996</v>
      </c>
      <c r="AF37" s="131">
        <v>45929.625</v>
      </c>
      <c r="AG37" s="45">
        <f t="shared" si="24"/>
        <v>81.22</v>
      </c>
      <c r="AH37" s="46">
        <f t="shared" si="25"/>
        <v>108064.7153266645</v>
      </c>
      <c r="AI37" s="46">
        <f t="shared" si="26"/>
        <v>-135712.49999999997</v>
      </c>
      <c r="AJ37" s="45">
        <f t="shared" si="27"/>
        <v>99.4921875</v>
      </c>
      <c r="AK37" s="46">
        <f t="shared" si="28"/>
        <v>-30468.75</v>
      </c>
      <c r="AL37" s="47">
        <f t="shared" si="29"/>
        <v>-10548.55419921875</v>
      </c>
      <c r="AM37" s="45">
        <f t="shared" si="30"/>
        <v>111.58</v>
      </c>
      <c r="AN37" s="46">
        <f t="shared" si="31"/>
        <v>507134.41788603395</v>
      </c>
      <c r="AO37" s="47">
        <f t="shared" si="32"/>
        <v>-139589.99999999997</v>
      </c>
      <c r="AP37" s="45">
        <f t="shared" si="33"/>
        <v>99.4921875</v>
      </c>
      <c r="AQ37" s="46">
        <f t="shared" si="34"/>
        <v>-26562.5</v>
      </c>
      <c r="AR37" s="47">
        <f t="shared" si="35"/>
        <v>-9196.175455729157</v>
      </c>
      <c r="AS37" s="45">
        <f t="shared" si="36"/>
        <v>100.875</v>
      </c>
      <c r="AT37" s="46">
        <f t="shared" si="37"/>
        <v>56250</v>
      </c>
      <c r="AU37" s="47">
        <f t="shared" si="38"/>
        <v>101.14843750000728</v>
      </c>
      <c r="AV37" s="45">
        <f t="shared" si="39"/>
        <v>100.65625</v>
      </c>
      <c r="AW37" s="46">
        <f t="shared" si="40"/>
        <v>336328.12499999994</v>
      </c>
      <c r="AX37" s="47">
        <f t="shared" si="41"/>
        <v>6041.9283203125015</v>
      </c>
      <c r="AY37" s="82">
        <f t="shared" si="42"/>
        <v>8787.627941932682</v>
      </c>
      <c r="AZ37" s="82"/>
      <c r="BA37" s="82"/>
      <c r="BB37" s="82">
        <f>$AO$4*SUM($AZ$14:AZ37)-$AP$4*SUM($BA$14:BA37)</f>
        <v>39913.439100349337</v>
      </c>
      <c r="BC37" s="82">
        <f t="shared" si="16"/>
        <v>-31125.811158416655</v>
      </c>
      <c r="BE37" s="75">
        <v>45800.625</v>
      </c>
      <c r="BF37" s="54">
        <v>78.95</v>
      </c>
      <c r="BG37" s="75">
        <v>45944.625</v>
      </c>
      <c r="BH37" s="54">
        <v>100.1328125</v>
      </c>
      <c r="BI37" s="75">
        <v>45800.625</v>
      </c>
      <c r="BJ37" s="54">
        <v>106.28</v>
      </c>
      <c r="BK37" s="75">
        <v>45944.625</v>
      </c>
      <c r="BL37" s="54">
        <v>100.1328125</v>
      </c>
      <c r="BM37" s="75">
        <v>45923.625</v>
      </c>
      <c r="BN37" s="54">
        <v>101.140625</v>
      </c>
      <c r="BO37" s="75">
        <v>45924.625</v>
      </c>
      <c r="BP37" s="54">
        <v>100.015625</v>
      </c>
      <c r="BR37" s="131">
        <v>45929.625</v>
      </c>
      <c r="BS37" s="45">
        <f t="shared" si="17"/>
        <v>107.9713</v>
      </c>
      <c r="BT37" s="46">
        <f t="shared" si="43"/>
        <v>11996.000000000038</v>
      </c>
      <c r="BU37" s="46">
        <f t="shared" si="44"/>
        <v>9166.6666666666661</v>
      </c>
      <c r="BV37" s="45">
        <f t="shared" si="45"/>
        <v>47.534999999999997</v>
      </c>
      <c r="BW37" s="46">
        <f t="shared" si="46"/>
        <v>11853.000000000002</v>
      </c>
      <c r="BX37" s="47">
        <f t="shared" si="47"/>
        <v>9166.6666666666661</v>
      </c>
      <c r="BY37" s="45">
        <f t="shared" si="48"/>
        <v>143.00000000003638</v>
      </c>
      <c r="CA37" s="129">
        <v>45806.625</v>
      </c>
      <c r="CB37" s="54">
        <v>106.0986</v>
      </c>
      <c r="CC37" s="129">
        <v>45806.625</v>
      </c>
      <c r="CD37" s="54">
        <v>56.234999999999999</v>
      </c>
      <c r="CF37" s="131">
        <v>45929.625</v>
      </c>
      <c r="CG37" s="45">
        <f t="shared" si="18"/>
        <v>241.69499999999999</v>
      </c>
      <c r="CH37" s="46">
        <f t="shared" si="49"/>
        <v>31820.799999999985</v>
      </c>
      <c r="CI37" s="46">
        <f t="shared" si="50"/>
        <v>10185.185185185184</v>
      </c>
      <c r="CJ37" s="45">
        <f t="shared" si="51"/>
        <v>49.634</v>
      </c>
      <c r="CK37" s="46">
        <f t="shared" si="52"/>
        <v>23657.8</v>
      </c>
      <c r="CL37" s="47">
        <f t="shared" si="53"/>
        <v>9166.6666666666661</v>
      </c>
      <c r="CM37" s="45">
        <f t="shared" si="54"/>
        <v>9181.5185185185055</v>
      </c>
      <c r="CO37" s="129">
        <v>45806.625</v>
      </c>
      <c r="CP37" s="54">
        <v>297.57499999999999</v>
      </c>
      <c r="CQ37" s="129">
        <v>45806.625</v>
      </c>
      <c r="CR37" s="54">
        <v>57.243000000000002</v>
      </c>
      <c r="CS37" s="54"/>
      <c r="CT37" s="54"/>
      <c r="CU37" s="54"/>
      <c r="CV37" s="54"/>
      <c r="CW37" s="54"/>
      <c r="CX37" s="54"/>
      <c r="CY37" s="54"/>
      <c r="DF37" s="142">
        <f t="shared" si="1"/>
        <v>45930.625</v>
      </c>
      <c r="DG37" s="58">
        <f t="shared" si="2"/>
        <v>911.97524452535436</v>
      </c>
      <c r="DH37" s="58">
        <f t="shared" si="3"/>
        <v>-39555.632487285744</v>
      </c>
      <c r="DI37" s="58">
        <v>237.49999999994907</v>
      </c>
      <c r="DJ37" s="58">
        <v>11356.249382716012</v>
      </c>
      <c r="DK37" s="58">
        <f t="shared" si="19"/>
        <v>-3091.735809557722</v>
      </c>
      <c r="DL37" s="58">
        <f t="shared" si="19"/>
        <v>-8429.8213288690895</v>
      </c>
      <c r="DM37" s="58">
        <f t="shared" si="19"/>
        <v>94.499999999912689</v>
      </c>
      <c r="DN37" s="58">
        <f t="shared" si="19"/>
        <v>2174.7308641975069</v>
      </c>
      <c r="DO37" s="58">
        <f t="shared" si="5"/>
        <v>-3091.735809557722</v>
      </c>
      <c r="DP37" s="58">
        <f t="shared" si="5"/>
        <v>-7928.7286676896993</v>
      </c>
      <c r="DQ37" s="58">
        <f t="shared" si="5"/>
        <v>5289.9708219509239</v>
      </c>
      <c r="DR37" s="58">
        <f t="shared" si="5"/>
        <v>76239.282998945419</v>
      </c>
      <c r="DS37" s="58">
        <f>SUM(DO$15:DO37)</f>
        <v>-108599.07568405918</v>
      </c>
      <c r="DT37" s="58">
        <f>SUM(DP$15:DP37)</f>
        <v>-79733.430031464857</v>
      </c>
      <c r="DU37" s="58">
        <f>SUM(DQ$15:DQ37)</f>
        <v>8172.8649736058551</v>
      </c>
      <c r="DV37" s="58">
        <f>SUM(DR$15:DR37)</f>
        <v>74623.117464771523</v>
      </c>
      <c r="DZ37" s="133">
        <v>45930.625</v>
      </c>
      <c r="EA37" s="54">
        <v>-108599.07568405918</v>
      </c>
      <c r="EB37" s="54">
        <v>-79733.430031464857</v>
      </c>
      <c r="EC37" s="54">
        <v>8172.8649736058551</v>
      </c>
      <c r="ED37" s="54">
        <v>74623.117464771523</v>
      </c>
    </row>
    <row r="38" spans="1:134" x14ac:dyDescent="0.3">
      <c r="A38" s="139">
        <v>45880.625</v>
      </c>
      <c r="B38" s="76">
        <f t="shared" si="20"/>
        <v>94.66</v>
      </c>
      <c r="C38" s="31">
        <f t="shared" si="6"/>
        <v>202342.9179978664</v>
      </c>
      <c r="D38" s="32">
        <f t="shared" si="7"/>
        <v>-99874.999999999985</v>
      </c>
      <c r="E38" s="76">
        <f t="shared" si="21"/>
        <v>101.004</v>
      </c>
      <c r="F38" s="31">
        <f t="shared" si="8"/>
        <v>-47399.999999998952</v>
      </c>
      <c r="G38" s="32">
        <f t="shared" si="9"/>
        <v>-35558.225666666644</v>
      </c>
      <c r="H38" s="76">
        <f t="shared" si="22"/>
        <v>120.27</v>
      </c>
      <c r="I38" s="31">
        <f t="shared" si="10"/>
        <v>-574979.49138638529</v>
      </c>
      <c r="J38" s="32">
        <f t="shared" si="11"/>
        <v>-171784.99999999997</v>
      </c>
      <c r="K38" s="76">
        <f t="shared" si="23"/>
        <v>99.561999999999998</v>
      </c>
      <c r="L38" s="31">
        <f t="shared" si="12"/>
        <v>-81180.00000000307</v>
      </c>
      <c r="M38" s="32">
        <f t="shared" si="13"/>
        <v>-78213.003111111073</v>
      </c>
      <c r="N38" s="82">
        <f t="shared" si="14"/>
        <v>772797.63193980313</v>
      </c>
      <c r="O38" s="82"/>
      <c r="P38" s="82"/>
      <c r="Q38" s="82">
        <f>$G$5*SUM($O$14:O38)-$H$5*SUM($P$14:P38)</f>
        <v>-685953.76080000005</v>
      </c>
      <c r="R38" s="82">
        <f t="shared" si="15"/>
        <v>86843.871139803086</v>
      </c>
      <c r="S38" s="143"/>
      <c r="U38" s="75">
        <v>45807.625</v>
      </c>
      <c r="V38" s="54">
        <v>93.44</v>
      </c>
      <c r="W38" s="75">
        <v>45805.625</v>
      </c>
      <c r="X38" s="54">
        <v>101.491</v>
      </c>
      <c r="Y38" s="125">
        <v>45811.625</v>
      </c>
      <c r="Z38" s="54">
        <v>121.47</v>
      </c>
      <c r="AA38" s="75">
        <v>45895.625</v>
      </c>
      <c r="AB38" s="54">
        <v>99.643000000000001</v>
      </c>
      <c r="AF38" s="131">
        <v>45930.625</v>
      </c>
      <c r="AG38" s="45">
        <f t="shared" si="24"/>
        <v>81.19</v>
      </c>
      <c r="AH38" s="46">
        <f t="shared" si="25"/>
        <v>95096.94948746539</v>
      </c>
      <c r="AI38" s="46">
        <f t="shared" si="26"/>
        <v>-139825</v>
      </c>
      <c r="AJ38" s="45">
        <f t="shared" si="27"/>
        <v>99.5078125</v>
      </c>
      <c r="AK38" s="46">
        <f t="shared" si="28"/>
        <v>-27421.875</v>
      </c>
      <c r="AL38" s="47">
        <f t="shared" si="29"/>
        <v>-10868.207356770828</v>
      </c>
      <c r="AM38" s="45">
        <f t="shared" si="30"/>
        <v>111.47</v>
      </c>
      <c r="AN38" s="46">
        <f t="shared" si="31"/>
        <v>471144.23339089483</v>
      </c>
      <c r="AO38" s="47">
        <f t="shared" si="32"/>
        <v>-143820</v>
      </c>
      <c r="AP38" s="45">
        <f t="shared" si="33"/>
        <v>99.5078125</v>
      </c>
      <c r="AQ38" s="46">
        <f t="shared" si="34"/>
        <v>-23906.25</v>
      </c>
      <c r="AR38" s="47">
        <f t="shared" si="35"/>
        <v>-9474.8474392361168</v>
      </c>
      <c r="AS38" s="45">
        <f t="shared" si="36"/>
        <v>100.828125</v>
      </c>
      <c r="AT38" s="46">
        <f t="shared" si="37"/>
        <v>52734.375</v>
      </c>
      <c r="AU38" s="47">
        <f t="shared" si="38"/>
        <v>104.21354166667152</v>
      </c>
      <c r="AV38" s="45">
        <f t="shared" si="39"/>
        <v>100.390625</v>
      </c>
      <c r="AW38" s="46">
        <f t="shared" si="40"/>
        <v>308437.5</v>
      </c>
      <c r="AX38" s="47">
        <f t="shared" si="41"/>
        <v>6225.0170572916759</v>
      </c>
      <c r="AY38" s="82">
        <f t="shared" si="42"/>
        <v>357.80661306359252</v>
      </c>
      <c r="AZ38" s="82"/>
      <c r="BA38" s="82"/>
      <c r="BB38" s="82">
        <f>$AO$4*SUM($AZ$14:AZ38)-$AP$4*SUM($BA$14:BA38)</f>
        <v>39913.439100349337</v>
      </c>
      <c r="BC38" s="82">
        <f t="shared" si="16"/>
        <v>-39555.632487285744</v>
      </c>
      <c r="BE38" s="75">
        <v>45804.625</v>
      </c>
      <c r="BF38" s="54">
        <v>79.430000000000007</v>
      </c>
      <c r="BG38" s="75">
        <v>45945.625</v>
      </c>
      <c r="BH38" s="54">
        <v>100.0234375</v>
      </c>
      <c r="BI38" s="75">
        <v>45804.625</v>
      </c>
      <c r="BJ38" s="54">
        <v>107.24</v>
      </c>
      <c r="BK38" s="75">
        <v>45945.625</v>
      </c>
      <c r="BL38" s="54">
        <v>100.0234375</v>
      </c>
      <c r="BM38" s="75">
        <v>45924.625</v>
      </c>
      <c r="BN38" s="54">
        <v>100.859375</v>
      </c>
      <c r="BO38" s="75">
        <v>45925.625</v>
      </c>
      <c r="BP38" s="54">
        <v>100.03125</v>
      </c>
      <c r="BR38" s="131">
        <v>45930.625</v>
      </c>
      <c r="BS38" s="45">
        <f t="shared" si="17"/>
        <v>107.99469999999999</v>
      </c>
      <c r="BT38" s="46">
        <f t="shared" si="43"/>
        <v>12463.999999999942</v>
      </c>
      <c r="BU38" s="46">
        <f t="shared" si="44"/>
        <v>9444.4444444444434</v>
      </c>
      <c r="BV38" s="45">
        <f t="shared" si="45"/>
        <v>47.451999999999998</v>
      </c>
      <c r="BW38" s="46">
        <f t="shared" si="46"/>
        <v>12226.499999999995</v>
      </c>
      <c r="BX38" s="47">
        <f t="shared" si="47"/>
        <v>9444.4444444444434</v>
      </c>
      <c r="BY38" s="45">
        <f t="shared" si="48"/>
        <v>237.49999999994907</v>
      </c>
      <c r="CA38" s="129">
        <v>45807.625</v>
      </c>
      <c r="CB38" s="54">
        <v>106.17010000000001</v>
      </c>
      <c r="CC38" s="129">
        <v>45807.625</v>
      </c>
      <c r="CD38" s="54">
        <v>55.927</v>
      </c>
      <c r="CF38" s="131">
        <v>45930.625</v>
      </c>
      <c r="CG38" s="45">
        <f t="shared" si="18"/>
        <v>240.52799999999999</v>
      </c>
      <c r="CH38" s="46">
        <f t="shared" si="49"/>
        <v>32961.866666666647</v>
      </c>
      <c r="CI38" s="46">
        <f t="shared" si="50"/>
        <v>10493.827160493827</v>
      </c>
      <c r="CJ38" s="45">
        <f t="shared" si="51"/>
        <v>49.851999999999997</v>
      </c>
      <c r="CK38" s="46">
        <f t="shared" si="52"/>
        <v>22655.000000000018</v>
      </c>
      <c r="CL38" s="47">
        <f t="shared" si="53"/>
        <v>9444.4444444444434</v>
      </c>
      <c r="CM38" s="45">
        <f t="shared" si="54"/>
        <v>11356.249382716012</v>
      </c>
      <c r="CO38" s="129">
        <v>45807.625</v>
      </c>
      <c r="CP38" s="54">
        <v>300.33600000000001</v>
      </c>
      <c r="CQ38" s="129">
        <v>45807.625</v>
      </c>
      <c r="CR38" s="54">
        <v>57.917000000000002</v>
      </c>
      <c r="CS38" s="54"/>
      <c r="CT38" s="54"/>
      <c r="CU38" s="54"/>
      <c r="CV38" s="54"/>
      <c r="CW38" s="54"/>
      <c r="CX38" s="54"/>
      <c r="CY38" s="54"/>
      <c r="DF38" s="142">
        <f t="shared" si="1"/>
        <v>45931.625</v>
      </c>
      <c r="DG38" s="58">
        <f t="shared" si="2"/>
        <v>19414.12032862613</v>
      </c>
      <c r="DH38" s="58">
        <f t="shared" si="3"/>
        <v>-144666.03170397738</v>
      </c>
      <c r="DI38" s="58">
        <v>-259.49999999986358</v>
      </c>
      <c r="DJ38" s="58">
        <v>10378.735802469102</v>
      </c>
      <c r="DK38" s="58">
        <f t="shared" si="19"/>
        <v>18502.145084100775</v>
      </c>
      <c r="DL38" s="58">
        <f t="shared" si="19"/>
        <v>-105110.39921669164</v>
      </c>
      <c r="DM38" s="58">
        <f t="shared" si="19"/>
        <v>-496.99999999981264</v>
      </c>
      <c r="DN38" s="58">
        <f t="shared" si="19"/>
        <v>-977.51358024691035</v>
      </c>
      <c r="DO38" s="58">
        <f t="shared" si="5"/>
        <v>18502.145084100775</v>
      </c>
      <c r="DP38" s="58">
        <f t="shared" si="5"/>
        <v>-98862.336819361313</v>
      </c>
      <c r="DQ38" s="58">
        <f t="shared" si="5"/>
        <v>-27821.328026571926</v>
      </c>
      <c r="DR38" s="58">
        <f t="shared" si="5"/>
        <v>-34268.5781062186</v>
      </c>
      <c r="DS38" s="58">
        <f>SUM(DO$15:DO38)</f>
        <v>-90096.930599958403</v>
      </c>
      <c r="DT38" s="58">
        <f>SUM(DP$15:DP38)</f>
        <v>-178595.76685082616</v>
      </c>
      <c r="DU38" s="58">
        <f>SUM(DQ$15:DQ38)</f>
        <v>-19648.463052966072</v>
      </c>
      <c r="DV38" s="58">
        <f>SUM(DR$15:DR38)</f>
        <v>40354.539358552924</v>
      </c>
      <c r="DZ38" s="133">
        <v>45931.625</v>
      </c>
      <c r="EA38" s="54">
        <v>-90096.930599958403</v>
      </c>
      <c r="EB38" s="54">
        <v>-178595.76685082616</v>
      </c>
      <c r="EC38" s="54">
        <v>-19648.463052966072</v>
      </c>
      <c r="ED38" s="54">
        <v>40354.539358552924</v>
      </c>
    </row>
    <row r="39" spans="1:134" x14ac:dyDescent="0.3">
      <c r="A39" s="139">
        <v>45881.625</v>
      </c>
      <c r="B39" s="76">
        <f t="shared" si="20"/>
        <v>94.75</v>
      </c>
      <c r="C39" s="31">
        <f t="shared" si="6"/>
        <v>226304.57933972005</v>
      </c>
      <c r="D39" s="32">
        <f t="shared" si="7"/>
        <v>-102812.5</v>
      </c>
      <c r="E39" s="76">
        <f t="shared" si="21"/>
        <v>100.947</v>
      </c>
      <c r="F39" s="31">
        <f t="shared" si="8"/>
        <v>-58799.999999999382</v>
      </c>
      <c r="G39" s="32">
        <f t="shared" si="9"/>
        <v>-36604.055833333332</v>
      </c>
      <c r="H39" s="76">
        <f t="shared" si="22"/>
        <v>120.15</v>
      </c>
      <c r="I39" s="31">
        <f t="shared" si="10"/>
        <v>-617309.26989335299</v>
      </c>
      <c r="J39" s="32">
        <f t="shared" si="11"/>
        <v>-176837.5</v>
      </c>
      <c r="K39" s="76">
        <f t="shared" si="23"/>
        <v>99.405000000000001</v>
      </c>
      <c r="L39" s="31">
        <f t="shared" si="12"/>
        <v>-145550.00000000163</v>
      </c>
      <c r="M39" s="32">
        <f t="shared" si="13"/>
        <v>-80513.385555555535</v>
      </c>
      <c r="N39" s="82">
        <f t="shared" si="14"/>
        <v>786979.51951084856</v>
      </c>
      <c r="O39" s="82"/>
      <c r="P39" s="82"/>
      <c r="Q39" s="82">
        <f>$G$5*SUM($O$14:O39)-$H$5*SUM($P$14:P39)</f>
        <v>-685953.76080000005</v>
      </c>
      <c r="R39" s="82">
        <f t="shared" si="15"/>
        <v>101025.75871084852</v>
      </c>
      <c r="S39" s="143"/>
      <c r="U39" s="75">
        <v>45810.625</v>
      </c>
      <c r="V39" s="54">
        <v>93.5</v>
      </c>
      <c r="W39" s="75">
        <v>45806.625</v>
      </c>
      <c r="X39" s="54">
        <v>101.58</v>
      </c>
      <c r="Y39" s="125">
        <v>45812.625</v>
      </c>
      <c r="Z39" s="54">
        <v>121.35</v>
      </c>
      <c r="AA39" s="75">
        <v>45896.625</v>
      </c>
      <c r="AB39" s="54">
        <v>99.801000000000002</v>
      </c>
      <c r="AF39" s="131">
        <v>45931.625</v>
      </c>
      <c r="AG39" s="45">
        <f t="shared" si="24"/>
        <v>80.959999999999994</v>
      </c>
      <c r="AH39" s="46">
        <f>(AG39/$AG$14-1)*$AG$5</f>
        <v>-4322.5886130676681</v>
      </c>
      <c r="AI39" s="46">
        <f>-1*(AF39-$AF$14)/360*$AG$5*$AG$7</f>
        <v>-143937.5</v>
      </c>
      <c r="AJ39" s="45">
        <f t="shared" si="27"/>
        <v>99.765625</v>
      </c>
      <c r="AK39" s="46">
        <f>(AJ39-$AJ$14)/100*$AH$5</f>
        <v>22851.5625</v>
      </c>
      <c r="AL39" s="47">
        <f>(AF39-$AF$14)/360*$AH$5*$AH$6-(AF39-$AF$14)/360*$AH$5*$AH$7*$AJ$14/100</f>
        <v>-11187.860514322907</v>
      </c>
      <c r="AM39" s="45">
        <f t="shared" si="30"/>
        <v>111.51</v>
      </c>
      <c r="AN39" s="46">
        <f>(AM39/$AM$14-1)*$AI$5</f>
        <v>484231.57320731127</v>
      </c>
      <c r="AO39" s="47">
        <f>-1*(AF39-$AF$14)/360*$AI$5*$AI$7</f>
        <v>-148050</v>
      </c>
      <c r="AP39" s="45">
        <f t="shared" si="33"/>
        <v>99.765625</v>
      </c>
      <c r="AQ39" s="46">
        <f>(AP39-$AP$14)/100*$AJ$5</f>
        <v>19921.875</v>
      </c>
      <c r="AR39" s="47">
        <f>(AF39-$AF$14)/360*$AJ$5*$AJ$6-(AF39-$AF$14)/360*$AJ$5*$AJ$7*$AP$14/100</f>
        <v>-9753.519422743062</v>
      </c>
      <c r="AS39" s="45">
        <f t="shared" si="36"/>
        <v>101.171875</v>
      </c>
      <c r="AT39" s="46">
        <f>(AS39-$AS$14)/100*$AK$5</f>
        <v>78515.625</v>
      </c>
      <c r="AU39" s="47">
        <f>(AF39-$AF$14)/360*$AK$5*$AK$6-(AF39-$AF$14)/360*$AK$5*$AK$7*$AS$14/100</f>
        <v>107.27864583333576</v>
      </c>
      <c r="AV39" s="45">
        <f t="shared" si="39"/>
        <v>100.578125</v>
      </c>
      <c r="AW39" s="46">
        <f>(AV39-$AV$14)/100*$AL$5</f>
        <v>328125</v>
      </c>
      <c r="AX39" s="47">
        <f>(AF39-$AF$14)/360*$AL$5*$AL$6-(AF39-$AF$14)/360*$AL$5*$AL$7*$AV$14/100</f>
        <v>6408.1057942708358</v>
      </c>
      <c r="AY39" s="82">
        <f>AH39+AI39-AK39-AL39-AN39-AO39+AQ39+AR39+AT39+AU39+AW39+AX39</f>
        <v>-72780.998788694997</v>
      </c>
      <c r="AZ39" s="82">
        <v>0.381299</v>
      </c>
      <c r="BA39" s="82">
        <v>0.40603600000000001</v>
      </c>
      <c r="BB39" s="82">
        <f>$AO$4*SUM($AZ$14:AZ39)-$AP$4*SUM($BA$14:BA39)</f>
        <v>71885.032915282383</v>
      </c>
      <c r="BC39" s="82">
        <f t="shared" si="16"/>
        <v>-144666.03170397738</v>
      </c>
      <c r="BE39" s="75">
        <v>45805.625</v>
      </c>
      <c r="BF39" s="54">
        <v>79.38</v>
      </c>
      <c r="BG39" s="75">
        <v>45946.625</v>
      </c>
      <c r="BH39" s="54">
        <v>100.359375</v>
      </c>
      <c r="BI39" s="75">
        <v>45805.625</v>
      </c>
      <c r="BJ39" s="54">
        <v>106.98</v>
      </c>
      <c r="BK39" s="75">
        <v>45946.625</v>
      </c>
      <c r="BL39" s="54">
        <v>100.359375</v>
      </c>
      <c r="BM39" s="75">
        <v>45925.625</v>
      </c>
      <c r="BN39" s="54">
        <v>100.640625</v>
      </c>
      <c r="BO39" s="75">
        <v>45926.625</v>
      </c>
      <c r="BP39" s="54">
        <v>99.90625</v>
      </c>
      <c r="BR39" s="131">
        <v>45931.625</v>
      </c>
      <c r="BS39" s="45">
        <f t="shared" si="17"/>
        <v>107.9406</v>
      </c>
      <c r="BT39" s="46">
        <f t="shared" si="43"/>
        <v>11382.00000000012</v>
      </c>
      <c r="BU39" s="46">
        <f t="shared" si="44"/>
        <v>9722.2222222222226</v>
      </c>
      <c r="BV39" s="45">
        <f t="shared" si="45"/>
        <v>47.582000000000001</v>
      </c>
      <c r="BW39" s="46">
        <f t="shared" si="46"/>
        <v>11641.499999999984</v>
      </c>
      <c r="BX39" s="47">
        <f t="shared" si="47"/>
        <v>9722.2222222222226</v>
      </c>
      <c r="BY39" s="45">
        <f t="shared" si="48"/>
        <v>-259.49999999986358</v>
      </c>
      <c r="CA39" s="129">
        <v>45810.625</v>
      </c>
      <c r="CB39" s="54">
        <v>106.27670000000001</v>
      </c>
      <c r="CC39" s="129">
        <v>45810.625</v>
      </c>
      <c r="CD39" s="54">
        <v>55.593000000000004</v>
      </c>
      <c r="CF39" s="131">
        <v>45931.625</v>
      </c>
      <c r="CG39" s="45">
        <f t="shared" si="18"/>
        <v>239.28700000000001</v>
      </c>
      <c r="CH39" s="46">
        <f t="shared" si="49"/>
        <v>34175.288888888856</v>
      </c>
      <c r="CI39" s="46">
        <f t="shared" si="50"/>
        <v>10802.469135802468</v>
      </c>
      <c r="CJ39" s="45">
        <f t="shared" si="51"/>
        <v>49.369</v>
      </c>
      <c r="CK39" s="46">
        <f t="shared" si="52"/>
        <v>24876.800000000003</v>
      </c>
      <c r="CL39" s="47">
        <f t="shared" si="53"/>
        <v>9722.2222222222226</v>
      </c>
      <c r="CM39" s="45">
        <f t="shared" si="54"/>
        <v>10378.735802469102</v>
      </c>
      <c r="CO39" s="129">
        <v>45810.625</v>
      </c>
      <c r="CP39" s="54">
        <v>299.81799999999998</v>
      </c>
      <c r="CQ39" s="129">
        <v>45810.625</v>
      </c>
      <c r="CR39" s="54">
        <v>57.789000000000001</v>
      </c>
      <c r="CS39" s="54"/>
      <c r="CT39" s="54"/>
      <c r="CU39" s="54"/>
      <c r="CV39" s="54"/>
      <c r="CW39" s="54"/>
      <c r="CX39" s="54"/>
      <c r="CY39" s="54"/>
      <c r="DF39" s="142">
        <f t="shared" si="1"/>
        <v>45932.625</v>
      </c>
      <c r="DG39" s="58">
        <f t="shared" si="2"/>
        <v>6559.0449654442782</v>
      </c>
      <c r="DH39" s="58">
        <f t="shared" si="3"/>
        <v>-174854.06670183537</v>
      </c>
      <c r="DI39" s="58">
        <v>-1198.0000000000109</v>
      </c>
      <c r="DJ39" s="58">
        <v>10962.133333333299</v>
      </c>
      <c r="DK39" s="58">
        <f t="shared" si="19"/>
        <v>-12855.075363181852</v>
      </c>
      <c r="DL39" s="58">
        <f t="shared" si="19"/>
        <v>-30188.034997857991</v>
      </c>
      <c r="DM39" s="58">
        <f t="shared" si="19"/>
        <v>-938.50000000014734</v>
      </c>
      <c r="DN39" s="58">
        <f t="shared" si="19"/>
        <v>583.3975308641966</v>
      </c>
      <c r="DO39" s="58">
        <f t="shared" si="5"/>
        <v>-12855.075363181852</v>
      </c>
      <c r="DP39" s="58">
        <f t="shared" si="5"/>
        <v>-28393.571959709279</v>
      </c>
      <c r="DQ39" s="58">
        <f t="shared" si="5"/>
        <v>-52535.847792659348</v>
      </c>
      <c r="DR39" s="58">
        <f t="shared" si="5"/>
        <v>20452.098321073925</v>
      </c>
      <c r="DS39" s="58">
        <f>SUM(DO$15:DO39)</f>
        <v>-102952.00596314025</v>
      </c>
      <c r="DT39" s="58">
        <f>SUM(DP$15:DP39)</f>
        <v>-206989.33881053544</v>
      </c>
      <c r="DU39" s="58">
        <f>SUM(DQ$15:DQ39)</f>
        <v>-72184.310845625412</v>
      </c>
      <c r="DV39" s="58">
        <f>SUM(DR$15:DR39)</f>
        <v>60806.637679626845</v>
      </c>
      <c r="DZ39" s="133">
        <v>45932.625</v>
      </c>
      <c r="EA39" s="54">
        <v>-102952.00596314025</v>
      </c>
      <c r="EB39" s="54">
        <v>-206989.33881053544</v>
      </c>
      <c r="EC39" s="54">
        <v>-72184.310845625412</v>
      </c>
      <c r="ED39" s="54">
        <v>60806.637679626845</v>
      </c>
    </row>
    <row r="40" spans="1:134" x14ac:dyDescent="0.3">
      <c r="A40" s="139">
        <v>45882.625</v>
      </c>
      <c r="B40" s="76">
        <f t="shared" si="20"/>
        <v>94.88</v>
      </c>
      <c r="C40" s="31">
        <f t="shared" si="6"/>
        <v>260915.86794461662</v>
      </c>
      <c r="D40" s="32">
        <f t="shared" si="7"/>
        <v>-105750</v>
      </c>
      <c r="E40" s="76">
        <f t="shared" si="21"/>
        <v>101.11799999999999</v>
      </c>
      <c r="F40" s="31">
        <f t="shared" si="8"/>
        <v>-24600.000000000931</v>
      </c>
      <c r="G40" s="32">
        <f t="shared" si="9"/>
        <v>-37649.885999999991</v>
      </c>
      <c r="H40" s="76">
        <f t="shared" si="22"/>
        <v>120.52</v>
      </c>
      <c r="I40" s="31">
        <f t="shared" si="10"/>
        <v>-486792.45283019333</v>
      </c>
      <c r="J40" s="32">
        <f t="shared" si="11"/>
        <v>-181890</v>
      </c>
      <c r="K40" s="76">
        <f t="shared" si="23"/>
        <v>99.745000000000005</v>
      </c>
      <c r="L40" s="31">
        <f t="shared" si="12"/>
        <v>-6150.0000000002328</v>
      </c>
      <c r="M40" s="32">
        <f t="shared" si="13"/>
        <v>-82813.768000000011</v>
      </c>
      <c r="N40" s="82">
        <f t="shared" si="14"/>
        <v>797134.43877481064</v>
      </c>
      <c r="O40" s="82"/>
      <c r="P40" s="82"/>
      <c r="Q40" s="82">
        <f>$G$5*SUM($O$14:O40)-$H$5*SUM($P$14:P40)</f>
        <v>-685953.76080000005</v>
      </c>
      <c r="R40" s="82">
        <f t="shared" si="15"/>
        <v>111180.67797481059</v>
      </c>
      <c r="S40" s="143"/>
      <c r="U40" s="75">
        <v>45811.625</v>
      </c>
      <c r="V40" s="54">
        <v>93.62</v>
      </c>
      <c r="W40" s="75">
        <v>45807.625</v>
      </c>
      <c r="X40" s="54">
        <v>101.56</v>
      </c>
      <c r="Y40" s="125">
        <v>45813.625</v>
      </c>
      <c r="Z40" s="54">
        <v>121.02</v>
      </c>
      <c r="AA40" s="75">
        <v>45897.625</v>
      </c>
      <c r="AB40" s="54">
        <v>99.775999999999996</v>
      </c>
      <c r="AF40" s="131">
        <v>45932.625</v>
      </c>
      <c r="AG40" s="45">
        <f t="shared" si="24"/>
        <v>80.930000000000007</v>
      </c>
      <c r="AH40" s="46">
        <f t="shared" si="25"/>
        <v>-17290.354452262902</v>
      </c>
      <c r="AI40" s="46">
        <f t="shared" ref="AI40:AI50" si="55">-1*(AF40-$AF$14)/360*$AG$5*$AG$7</f>
        <v>-148050</v>
      </c>
      <c r="AJ40" s="45">
        <f t="shared" si="27"/>
        <v>99.78125</v>
      </c>
      <c r="AK40" s="46">
        <f t="shared" si="28"/>
        <v>25898.437500000004</v>
      </c>
      <c r="AL40" s="47">
        <f t="shared" ref="AL40:AL50" si="56">(AF40-$AF$14)/360*$AH$5*$AH$6-(AF40-$AF$14)/360*$AH$5*$AH$7*$AJ$14/100</f>
        <v>-11507.513671875</v>
      </c>
      <c r="AM40" s="45">
        <f t="shared" si="30"/>
        <v>111.69</v>
      </c>
      <c r="AN40" s="46">
        <f t="shared" si="31"/>
        <v>543124.60238116514</v>
      </c>
      <c r="AO40" s="47">
        <f t="shared" ref="AO40:AO50" si="57">-1*(AF40-$AF$14)/360*$AI$5*$AI$7</f>
        <v>-152280</v>
      </c>
      <c r="AP40" s="45">
        <f t="shared" si="33"/>
        <v>99.78125</v>
      </c>
      <c r="AQ40" s="46">
        <f t="shared" si="34"/>
        <v>22578.125</v>
      </c>
      <c r="AR40" s="47">
        <f t="shared" ref="AR40:AR50" si="58">(AF40-$AF$14)/360*$AJ$5*$AJ$6-(AF40-$AF$14)/360*$AJ$5*$AJ$7*$AP$14/100</f>
        <v>-10032.191406250007</v>
      </c>
      <c r="AS40" s="45">
        <f t="shared" si="36"/>
        <v>101.3125</v>
      </c>
      <c r="AT40" s="46">
        <f t="shared" si="37"/>
        <v>89062.5</v>
      </c>
      <c r="AU40" s="47">
        <f t="shared" ref="AU40:AU50" si="59">(AF40-$AF$14)/360*$AK$5*$AK$6-(AF40-$AF$14)/360*$AK$5*$AK$7*$AS$14/100</f>
        <v>110.34375000000728</v>
      </c>
      <c r="AV40" s="45">
        <f t="shared" si="39"/>
        <v>100.875</v>
      </c>
      <c r="AW40" s="46">
        <f t="shared" si="40"/>
        <v>359296.875</v>
      </c>
      <c r="AX40" s="47">
        <f t="shared" ref="AX40:AX50" si="60">(AF40-$AF$14)/360*$AL$5*$AL$6-(AF40-$AF$14)/360*$AL$5*$AL$7*$AV$14/100</f>
        <v>6591.1945312500029</v>
      </c>
      <c r="AY40" s="82">
        <f t="shared" ref="AY40:AY50" si="61">AH40+AI40-AK40-AL40-AN40-AO40+AQ40+AR40+AT40+AU40+AW40+AX40</f>
        <v>-102969.033786553</v>
      </c>
      <c r="AZ40" s="82"/>
      <c r="BA40" s="82"/>
      <c r="BB40" s="82">
        <f>$AO$4*SUM($AZ$14:AZ40)-$AP$4*SUM($BA$14:BA40)</f>
        <v>71885.032915282383</v>
      </c>
      <c r="BC40" s="82">
        <f t="shared" si="16"/>
        <v>-174854.06670183537</v>
      </c>
      <c r="BE40" s="75">
        <v>45806.625</v>
      </c>
      <c r="BF40" s="54">
        <v>79.5</v>
      </c>
      <c r="BI40" s="75">
        <v>45806.625</v>
      </c>
      <c r="BJ40" s="54">
        <v>107.46</v>
      </c>
      <c r="BM40" s="75">
        <v>45926.625</v>
      </c>
      <c r="BN40" s="54">
        <v>100.5625</v>
      </c>
      <c r="BO40" s="75">
        <v>45929.625</v>
      </c>
      <c r="BP40" s="54">
        <v>100.65625</v>
      </c>
      <c r="BR40" s="131">
        <v>45932.625</v>
      </c>
      <c r="BS40" s="45">
        <f t="shared" si="17"/>
        <v>107.9785</v>
      </c>
      <c r="BT40" s="46">
        <f t="shared" si="43"/>
        <v>12139.999999999985</v>
      </c>
      <c r="BU40" s="46">
        <f t="shared" si="44"/>
        <v>10000</v>
      </c>
      <c r="BV40" s="45">
        <f t="shared" si="45"/>
        <v>47.204999999999998</v>
      </c>
      <c r="BW40" s="46">
        <f t="shared" si="46"/>
        <v>13337.999999999996</v>
      </c>
      <c r="BX40" s="47">
        <f t="shared" si="47"/>
        <v>10000</v>
      </c>
      <c r="BY40" s="45">
        <f t="shared" si="48"/>
        <v>-1198.0000000000109</v>
      </c>
      <c r="CA40" s="129">
        <v>45811.625</v>
      </c>
      <c r="CB40" s="54">
        <v>106.4064</v>
      </c>
      <c r="CC40" s="129">
        <v>45811.625</v>
      </c>
      <c r="CD40" s="54">
        <v>54.945999999999998</v>
      </c>
      <c r="CF40" s="131">
        <v>45932.625</v>
      </c>
      <c r="CG40" s="45">
        <f t="shared" si="18"/>
        <v>236.33199999999999</v>
      </c>
      <c r="CH40" s="46">
        <f t="shared" si="49"/>
        <v>37064.622222222206</v>
      </c>
      <c r="CI40" s="46">
        <f t="shared" si="50"/>
        <v>11111.111111111111</v>
      </c>
      <c r="CJ40" s="45">
        <f t="shared" si="51"/>
        <v>48.860999999999997</v>
      </c>
      <c r="CK40" s="46">
        <f t="shared" si="52"/>
        <v>27213.600000000017</v>
      </c>
      <c r="CL40" s="47">
        <f t="shared" si="53"/>
        <v>10000</v>
      </c>
      <c r="CM40" s="45">
        <f t="shared" si="54"/>
        <v>10962.133333333299</v>
      </c>
      <c r="CO40" s="129">
        <v>45811.625</v>
      </c>
      <c r="CP40" s="54">
        <v>296.63099999999997</v>
      </c>
      <c r="CQ40" s="129">
        <v>45811.625</v>
      </c>
      <c r="CR40" s="54">
        <v>56.976999999999997</v>
      </c>
      <c r="CS40" s="54"/>
      <c r="CT40" s="54"/>
      <c r="CU40" s="54"/>
      <c r="CV40" s="54"/>
      <c r="CW40" s="54"/>
      <c r="CX40" s="54"/>
      <c r="CY40" s="54"/>
      <c r="DF40" s="142">
        <f t="shared" si="1"/>
        <v>45933.625</v>
      </c>
      <c r="DG40" s="58">
        <f t="shared" si="2"/>
        <v>-25437.542286617885</v>
      </c>
      <c r="DH40" s="58">
        <f t="shared" si="3"/>
        <v>-210927.35234680024</v>
      </c>
      <c r="DI40" s="58">
        <v>-1753.9999999999345</v>
      </c>
      <c r="DJ40" s="58">
        <v>10615.330864197495</v>
      </c>
      <c r="DK40" s="58">
        <f t="shared" si="19"/>
        <v>-31996.587252062163</v>
      </c>
      <c r="DL40" s="58">
        <f t="shared" si="19"/>
        <v>-36073.285644964868</v>
      </c>
      <c r="DM40" s="58">
        <f t="shared" si="19"/>
        <v>-555.9999999999236</v>
      </c>
      <c r="DN40" s="58">
        <f t="shared" si="19"/>
        <v>-346.80246913580413</v>
      </c>
      <c r="DO40" s="58">
        <f t="shared" si="5"/>
        <v>-31996.587252062163</v>
      </c>
      <c r="DP40" s="58">
        <f t="shared" si="5"/>
        <v>-33928.986496011879</v>
      </c>
      <c r="DQ40" s="58">
        <f t="shared" si="5"/>
        <v>-31124.061132349492</v>
      </c>
      <c r="DR40" s="58">
        <f t="shared" si="5"/>
        <v>-12157.8131917184</v>
      </c>
      <c r="DS40" s="58">
        <f>SUM(DO$15:DO40)</f>
        <v>-134948.59321520242</v>
      </c>
      <c r="DT40" s="58">
        <f>SUM(DP$15:DP40)</f>
        <v>-240918.32530654731</v>
      </c>
      <c r="DU40" s="58">
        <f>SUM(DQ$15:DQ40)</f>
        <v>-103308.37197797491</v>
      </c>
      <c r="DV40" s="58">
        <f>SUM(DR$15:DR40)</f>
        <v>48648.824487908445</v>
      </c>
      <c r="DZ40" s="133">
        <v>45933.625</v>
      </c>
      <c r="EA40" s="54">
        <v>-134948.59321520242</v>
      </c>
      <c r="EB40" s="54">
        <v>-240918.32530654731</v>
      </c>
      <c r="EC40" s="54">
        <v>-103308.37197797491</v>
      </c>
      <c r="ED40" s="54">
        <v>48648.824487908445</v>
      </c>
    </row>
    <row r="41" spans="1:134" ht="15" thickBot="1" x14ac:dyDescent="0.35">
      <c r="A41" s="141">
        <v>45883.625</v>
      </c>
      <c r="B41" s="76">
        <f t="shared" si="20"/>
        <v>94.94</v>
      </c>
      <c r="C41" s="31">
        <f t="shared" si="6"/>
        <v>276890.30883918941</v>
      </c>
      <c r="D41" s="32">
        <f t="shared" si="7"/>
        <v>-108687.5</v>
      </c>
      <c r="E41" s="76">
        <f t="shared" si="21"/>
        <v>101.057</v>
      </c>
      <c r="F41" s="31">
        <f t="shared" si="8"/>
        <v>-36799.999999999498</v>
      </c>
      <c r="G41" s="32">
        <f t="shared" si="9"/>
        <v>-38695.716166666665</v>
      </c>
      <c r="H41" s="76">
        <f t="shared" si="22"/>
        <v>120.46</v>
      </c>
      <c r="I41" s="31">
        <f t="shared" si="10"/>
        <v>-507957.34208367957</v>
      </c>
      <c r="J41" s="32">
        <f t="shared" si="11"/>
        <v>-186942.5</v>
      </c>
      <c r="K41" s="76">
        <f t="shared" si="23"/>
        <v>99.620999999999995</v>
      </c>
      <c r="L41" s="31">
        <f t="shared" si="12"/>
        <v>-56990.000000004104</v>
      </c>
      <c r="M41" s="32">
        <f t="shared" si="13"/>
        <v>-85114.150444444458</v>
      </c>
      <c r="N41" s="82">
        <f t="shared" si="14"/>
        <v>796494.21664508653</v>
      </c>
      <c r="O41" s="82"/>
      <c r="P41" s="82"/>
      <c r="Q41" s="82">
        <f>$G$5*SUM($O$14:O41)-$H$5*SUM($P$14:P41)</f>
        <v>-685953.76080000005</v>
      </c>
      <c r="R41" s="82">
        <f t="shared" si="15"/>
        <v>110540.45584508649</v>
      </c>
      <c r="S41" s="143"/>
      <c r="U41" s="75">
        <v>45812.625</v>
      </c>
      <c r="V41" s="54">
        <v>93.7</v>
      </c>
      <c r="W41" s="75">
        <v>45810.625</v>
      </c>
      <c r="X41" s="54">
        <v>101.574</v>
      </c>
      <c r="Y41" s="125">
        <v>45814.625</v>
      </c>
      <c r="Z41" s="54">
        <v>121.27</v>
      </c>
      <c r="AA41" s="75">
        <v>45898.625</v>
      </c>
      <c r="AB41" s="54">
        <v>99.783000000000001</v>
      </c>
      <c r="AF41" s="131">
        <v>45933.625</v>
      </c>
      <c r="AG41" s="45">
        <f t="shared" si="24"/>
        <v>80.84</v>
      </c>
      <c r="AH41" s="46">
        <f t="shared" si="25"/>
        <v>-56193.651969864142</v>
      </c>
      <c r="AI41" s="46">
        <f t="shared" si="55"/>
        <v>-152162.49999999997</v>
      </c>
      <c r="AJ41" s="45">
        <f t="shared" si="27"/>
        <v>99.6015625</v>
      </c>
      <c r="AK41" s="46">
        <f t="shared" si="28"/>
        <v>-9140.625</v>
      </c>
      <c r="AL41" s="47">
        <f t="shared" si="56"/>
        <v>-11827.166829427078</v>
      </c>
      <c r="AM41" s="45">
        <f t="shared" si="30"/>
        <v>111.55</v>
      </c>
      <c r="AN41" s="46">
        <f t="shared" si="31"/>
        <v>497318.91302371968</v>
      </c>
      <c r="AO41" s="47">
        <f t="shared" si="57"/>
        <v>-156510</v>
      </c>
      <c r="AP41" s="45">
        <f t="shared" si="33"/>
        <v>99.6015625</v>
      </c>
      <c r="AQ41" s="46">
        <f t="shared" si="34"/>
        <v>-7968.75</v>
      </c>
      <c r="AR41" s="47">
        <f t="shared" si="58"/>
        <v>-10310.863389756945</v>
      </c>
      <c r="AS41" s="45">
        <f t="shared" si="36"/>
        <v>101.046875</v>
      </c>
      <c r="AT41" s="46">
        <f t="shared" si="37"/>
        <v>69140.625</v>
      </c>
      <c r="AU41" s="47">
        <f t="shared" si="59"/>
        <v>113.40885416666788</v>
      </c>
      <c r="AV41" s="45">
        <f t="shared" si="39"/>
        <v>100.609375</v>
      </c>
      <c r="AW41" s="46">
        <f t="shared" si="40"/>
        <v>331406.25</v>
      </c>
      <c r="AX41" s="47">
        <f t="shared" si="60"/>
        <v>6774.2832682291628</v>
      </c>
      <c r="AY41" s="82">
        <f t="shared" si="61"/>
        <v>-139042.31943151786</v>
      </c>
      <c r="AZ41" s="82"/>
      <c r="BA41" s="82"/>
      <c r="BB41" s="82">
        <f>$AO$4*SUM($AZ$14:AZ41)-$AP$4*SUM($BA$14:BA41)</f>
        <v>71885.032915282383</v>
      </c>
      <c r="BC41" s="82">
        <f t="shared" si="16"/>
        <v>-210927.35234680024</v>
      </c>
      <c r="BE41" s="75">
        <v>45807.625</v>
      </c>
      <c r="BF41" s="54">
        <v>79.569999999999993</v>
      </c>
      <c r="BI41" s="75">
        <v>45807.625</v>
      </c>
      <c r="BJ41" s="54">
        <v>107.77</v>
      </c>
      <c r="BM41" s="75">
        <v>45929.625</v>
      </c>
      <c r="BN41" s="54">
        <v>100.875</v>
      </c>
      <c r="BO41" s="75">
        <v>45930.625</v>
      </c>
      <c r="BP41" s="54">
        <v>100.390625</v>
      </c>
      <c r="BR41" s="131">
        <v>45933.625</v>
      </c>
      <c r="BS41" s="45">
        <f t="shared" si="17"/>
        <v>107.9615</v>
      </c>
      <c r="BT41" s="46">
        <f t="shared" si="43"/>
        <v>11800.000000000067</v>
      </c>
      <c r="BU41" s="46">
        <f t="shared" si="44"/>
        <v>10277.777777777777</v>
      </c>
      <c r="BV41" s="45">
        <f t="shared" si="45"/>
        <v>47.156999999999996</v>
      </c>
      <c r="BW41" s="46">
        <f t="shared" si="46"/>
        <v>13554.000000000004</v>
      </c>
      <c r="BX41" s="47">
        <f t="shared" si="47"/>
        <v>10277.777777777777</v>
      </c>
      <c r="BY41" s="45">
        <f t="shared" si="48"/>
        <v>-1753.9999999999345</v>
      </c>
      <c r="CA41" s="129">
        <v>45812.625</v>
      </c>
      <c r="CB41" s="54">
        <v>106.3698</v>
      </c>
      <c r="CC41" s="129">
        <v>45812.625</v>
      </c>
      <c r="CD41" s="54">
        <v>55.19</v>
      </c>
      <c r="CF41" s="131">
        <v>45933.625</v>
      </c>
      <c r="CG41" s="45">
        <f t="shared" si="18"/>
        <v>235.94200000000001</v>
      </c>
      <c r="CH41" s="46">
        <f t="shared" si="49"/>
        <v>37445.955555555527</v>
      </c>
      <c r="CI41" s="46">
        <f t="shared" si="50"/>
        <v>11419.753086419752</v>
      </c>
      <c r="CJ41" s="45">
        <f t="shared" si="51"/>
        <v>48.695999999999998</v>
      </c>
      <c r="CK41" s="46">
        <f t="shared" si="52"/>
        <v>27972.600000000009</v>
      </c>
      <c r="CL41" s="47">
        <f t="shared" si="53"/>
        <v>10277.777777777777</v>
      </c>
      <c r="CM41" s="45">
        <f t="shared" si="54"/>
        <v>10615.330864197495</v>
      </c>
      <c r="CO41" s="129">
        <v>45812.625</v>
      </c>
      <c r="CP41" s="54">
        <v>293.44900000000001</v>
      </c>
      <c r="CQ41" s="129">
        <v>45812.625</v>
      </c>
      <c r="CR41" s="54">
        <v>56.475999999999999</v>
      </c>
      <c r="CS41" s="54"/>
      <c r="CT41" s="54"/>
      <c r="CU41" s="54"/>
      <c r="CV41" s="54"/>
      <c r="CW41" s="54"/>
      <c r="CX41" s="54"/>
      <c r="CY41" s="54"/>
      <c r="DF41" s="142">
        <f t="shared" si="1"/>
        <v>45936.625</v>
      </c>
      <c r="DG41" s="58">
        <f t="shared" si="2"/>
        <v>-37985.192551076092</v>
      </c>
      <c r="DH41" s="58">
        <f t="shared" si="3"/>
        <v>-185845.02422737214</v>
      </c>
      <c r="DI41" s="58">
        <v>-1187.9999999999436</v>
      </c>
      <c r="DJ41" s="58">
        <v>11641.501234567884</v>
      </c>
      <c r="DK41" s="58">
        <f t="shared" si="19"/>
        <v>-12547.650264458207</v>
      </c>
      <c r="DL41" s="58">
        <f t="shared" si="19"/>
        <v>25082.328119428101</v>
      </c>
      <c r="DM41" s="58">
        <f t="shared" si="19"/>
        <v>565.99999999999091</v>
      </c>
      <c r="DN41" s="58">
        <f t="shared" si="19"/>
        <v>1026.1703703703897</v>
      </c>
      <c r="DO41" s="58">
        <f t="shared" si="5"/>
        <v>-12547.650264458207</v>
      </c>
      <c r="DP41" s="58">
        <f t="shared" si="5"/>
        <v>23591.362883558144</v>
      </c>
      <c r="DQ41" s="58">
        <f t="shared" si="5"/>
        <v>31683.846404517895</v>
      </c>
      <c r="DR41" s="58">
        <f t="shared" si="5"/>
        <v>35974.333449610524</v>
      </c>
      <c r="DS41" s="58">
        <f>SUM(DO$15:DO41)</f>
        <v>-147496.24347966062</v>
      </c>
      <c r="DT41" s="58">
        <f>SUM(DP$15:DP41)</f>
        <v>-217326.96242298916</v>
      </c>
      <c r="DU41" s="58">
        <f>SUM(DQ$15:DQ41)</f>
        <v>-71624.525573457009</v>
      </c>
      <c r="DV41" s="58">
        <f>SUM(DR$15:DR41)</f>
        <v>84623.157937518961</v>
      </c>
      <c r="DZ41" s="133">
        <v>45936.625</v>
      </c>
      <c r="EA41" s="54">
        <v>-147496.24347966062</v>
      </c>
      <c r="EB41" s="54">
        <v>-217326.96242298916</v>
      </c>
      <c r="EC41" s="54">
        <v>-71624.525573457009</v>
      </c>
      <c r="ED41" s="54">
        <v>84623.157937518961</v>
      </c>
    </row>
    <row r="42" spans="1:134" x14ac:dyDescent="0.3">
      <c r="A42" s="142">
        <v>45884.625</v>
      </c>
      <c r="B42" s="76">
        <f t="shared" si="20"/>
        <v>94.87</v>
      </c>
      <c r="C42" s="31">
        <f t="shared" si="6"/>
        <v>258253.46112886004</v>
      </c>
      <c r="D42" s="32">
        <f t="shared" si="7"/>
        <v>-111624.99999999999</v>
      </c>
      <c r="E42" s="76">
        <f t="shared" si="21"/>
        <v>100.946</v>
      </c>
      <c r="F42" s="31">
        <f t="shared" si="8"/>
        <v>-59000.000000000335</v>
      </c>
      <c r="G42" s="32">
        <f t="shared" si="9"/>
        <v>-39741.546333333325</v>
      </c>
      <c r="H42" s="76">
        <f t="shared" si="22"/>
        <v>120.46</v>
      </c>
      <c r="I42" s="31">
        <f t="shared" si="10"/>
        <v>-507957.34208367957</v>
      </c>
      <c r="J42" s="32">
        <f t="shared" si="11"/>
        <v>-191994.99999999997</v>
      </c>
      <c r="K42" s="76">
        <f t="shared" si="23"/>
        <v>99.375</v>
      </c>
      <c r="L42" s="31">
        <f t="shared" si="12"/>
        <v>-157850.0000000021</v>
      </c>
      <c r="M42" s="32">
        <f t="shared" si="13"/>
        <v>-87414.532888888862</v>
      </c>
      <c r="N42" s="82">
        <f t="shared" si="14"/>
        <v>700057.81665698241</v>
      </c>
      <c r="O42" s="82"/>
      <c r="P42" s="82"/>
      <c r="Q42" s="82">
        <f>$G$5*SUM($O$14:O42)-$H$5*SUM($P$14:P42)</f>
        <v>-685953.76080000005</v>
      </c>
      <c r="R42" s="82">
        <f t="shared" si="15"/>
        <v>14104.055856982362</v>
      </c>
      <c r="S42" s="143"/>
      <c r="U42" s="75">
        <v>45813.625</v>
      </c>
      <c r="V42" s="54">
        <v>93.55</v>
      </c>
      <c r="W42" s="75">
        <v>45811.625</v>
      </c>
      <c r="X42" s="54">
        <v>101.60599999999999</v>
      </c>
      <c r="Y42" s="125">
        <v>45817.625</v>
      </c>
      <c r="Z42" s="54">
        <v>121.32</v>
      </c>
      <c r="AA42" s="75">
        <v>45901.625</v>
      </c>
      <c r="AB42" s="54">
        <v>99.632000000000005</v>
      </c>
      <c r="AF42" s="131">
        <v>45936.625</v>
      </c>
      <c r="AG42" s="45">
        <f t="shared" si="24"/>
        <v>80.86</v>
      </c>
      <c r="AH42" s="46">
        <f t="shared" si="25"/>
        <v>-47548.474743732695</v>
      </c>
      <c r="AI42" s="46">
        <f t="shared" si="55"/>
        <v>-164499.99999999997</v>
      </c>
      <c r="AJ42" s="45">
        <f t="shared" si="27"/>
        <v>99.46875</v>
      </c>
      <c r="AK42" s="46">
        <f t="shared" si="28"/>
        <v>-35039.0625</v>
      </c>
      <c r="AL42" s="47">
        <f t="shared" si="56"/>
        <v>-12786.126302083328</v>
      </c>
      <c r="AM42" s="45">
        <f t="shared" si="30"/>
        <v>111.19</v>
      </c>
      <c r="AN42" s="46">
        <f t="shared" si="31"/>
        <v>379532.85467599594</v>
      </c>
      <c r="AO42" s="47">
        <f t="shared" si="57"/>
        <v>-169200</v>
      </c>
      <c r="AP42" s="45">
        <f t="shared" si="33"/>
        <v>99.46875</v>
      </c>
      <c r="AQ42" s="46">
        <f t="shared" si="34"/>
        <v>-30546.875</v>
      </c>
      <c r="AR42" s="47">
        <f t="shared" si="58"/>
        <v>-11146.879340277766</v>
      </c>
      <c r="AS42" s="45">
        <f t="shared" si="36"/>
        <v>100.6875</v>
      </c>
      <c r="AT42" s="46">
        <f t="shared" si="37"/>
        <v>42187.5</v>
      </c>
      <c r="AU42" s="47">
        <f t="shared" si="59"/>
        <v>122.60416666667152</v>
      </c>
      <c r="AV42" s="45">
        <f t="shared" si="39"/>
        <v>99.859375</v>
      </c>
      <c r="AW42" s="46">
        <f t="shared" si="40"/>
        <v>252656.25</v>
      </c>
      <c r="AX42" s="47">
        <f t="shared" si="60"/>
        <v>7323.5494791666642</v>
      </c>
      <c r="AY42" s="82">
        <f t="shared" si="61"/>
        <v>-113959.99131208975</v>
      </c>
      <c r="AZ42" s="82"/>
      <c r="BA42" s="82"/>
      <c r="BB42" s="82">
        <f>$AO$4*SUM($AZ$14:AZ42)-$AP$4*SUM($BA$14:BA42)</f>
        <v>71885.032915282383</v>
      </c>
      <c r="BC42" s="82">
        <f t="shared" si="16"/>
        <v>-185845.02422737214</v>
      </c>
      <c r="BE42" s="75">
        <v>45810.625</v>
      </c>
      <c r="BF42" s="54">
        <v>79.180000000000007</v>
      </c>
      <c r="BI42" s="75">
        <v>45810.625</v>
      </c>
      <c r="BJ42" s="54">
        <v>107.07</v>
      </c>
      <c r="BM42" s="75">
        <v>45930.625</v>
      </c>
      <c r="BN42" s="54">
        <v>100.828125</v>
      </c>
      <c r="BO42" s="75">
        <v>45931.625</v>
      </c>
      <c r="BP42" s="54">
        <v>100.578125</v>
      </c>
      <c r="BR42" s="131">
        <v>45936.625</v>
      </c>
      <c r="BS42" s="45">
        <f t="shared" si="17"/>
        <v>108.1194</v>
      </c>
      <c r="BT42" s="46">
        <f t="shared" si="43"/>
        <v>14958.000000000027</v>
      </c>
      <c r="BU42" s="46">
        <f t="shared" si="44"/>
        <v>11111.111111111111</v>
      </c>
      <c r="BV42" s="45">
        <f t="shared" si="45"/>
        <v>46.581000000000003</v>
      </c>
      <c r="BW42" s="46">
        <f t="shared" si="46"/>
        <v>16145.999999999973</v>
      </c>
      <c r="BX42" s="47">
        <f t="shared" si="47"/>
        <v>11111.111111111109</v>
      </c>
      <c r="BY42" s="45">
        <f t="shared" si="48"/>
        <v>-1187.9999999999436</v>
      </c>
      <c r="CA42" s="129">
        <v>45813.625</v>
      </c>
      <c r="CB42" s="54">
        <v>106.2727</v>
      </c>
      <c r="CC42" s="129">
        <v>45813.625</v>
      </c>
      <c r="CD42" s="54">
        <v>55.59</v>
      </c>
      <c r="CF42" s="131">
        <v>45936.625</v>
      </c>
      <c r="CG42" s="45">
        <f t="shared" si="18"/>
        <v>239.226</v>
      </c>
      <c r="CH42" s="46">
        <f t="shared" si="49"/>
        <v>34234.933333333312</v>
      </c>
      <c r="CI42" s="46">
        <f t="shared" si="50"/>
        <v>12345.679012345678</v>
      </c>
      <c r="CJ42" s="45">
        <f t="shared" si="51"/>
        <v>49.597000000000001</v>
      </c>
      <c r="CK42" s="46">
        <f t="shared" si="52"/>
        <v>23828</v>
      </c>
      <c r="CL42" s="47">
        <f t="shared" si="53"/>
        <v>11111.111111111109</v>
      </c>
      <c r="CM42" s="45">
        <f t="shared" si="54"/>
        <v>11641.501234567884</v>
      </c>
      <c r="CO42" s="129">
        <v>45813.625</v>
      </c>
      <c r="CP42" s="54">
        <v>293.76400000000001</v>
      </c>
      <c r="CQ42" s="129">
        <v>45813.625</v>
      </c>
      <c r="CR42" s="54">
        <v>56.481999999999999</v>
      </c>
      <c r="CS42" s="54"/>
      <c r="CT42" s="54"/>
      <c r="CU42" s="54"/>
      <c r="CV42" s="54"/>
      <c r="CW42" s="54"/>
      <c r="CX42" s="54"/>
      <c r="CY42" s="54"/>
      <c r="DF42" s="142">
        <f t="shared" si="1"/>
        <v>45937.625</v>
      </c>
      <c r="DG42" s="58">
        <f t="shared" si="2"/>
        <v>-124144.50467495741</v>
      </c>
      <c r="DH42" s="58">
        <f t="shared" si="3"/>
        <v>-220143.47076595848</v>
      </c>
      <c r="DI42" s="58">
        <v>-795.99999999996544</v>
      </c>
      <c r="DJ42" s="58">
        <v>10793.454320987634</v>
      </c>
      <c r="DK42" s="58">
        <f t="shared" si="19"/>
        <v>-86159.312123881318</v>
      </c>
      <c r="DL42" s="58">
        <f t="shared" si="19"/>
        <v>-34298.446538586344</v>
      </c>
      <c r="DM42" s="58">
        <f t="shared" si="19"/>
        <v>391.99999999997817</v>
      </c>
      <c r="DN42" s="58">
        <f t="shared" si="19"/>
        <v>-848.04691358025048</v>
      </c>
      <c r="DO42" s="58">
        <f t="shared" si="5"/>
        <v>-86159.312123881318</v>
      </c>
      <c r="DP42" s="58">
        <f t="shared" si="5"/>
        <v>-32259.648896282699</v>
      </c>
      <c r="DQ42" s="58">
        <f t="shared" si="5"/>
        <v>21943.582668852512</v>
      </c>
      <c r="DR42" s="58">
        <f t="shared" si="5"/>
        <v>-29729.880467156079</v>
      </c>
      <c r="DS42" s="58">
        <f>SUM(DO$15:DO42)</f>
        <v>-233655.55560354196</v>
      </c>
      <c r="DT42" s="58">
        <f>SUM(DP$15:DP42)</f>
        <v>-249586.61131927185</v>
      </c>
      <c r="DU42" s="58">
        <f>SUM(DQ$15:DQ42)</f>
        <v>-49680.942904604497</v>
      </c>
      <c r="DV42" s="58">
        <f>SUM(DR$15:DR42)</f>
        <v>54893.277470362882</v>
      </c>
      <c r="DZ42" s="133">
        <v>45937.625</v>
      </c>
      <c r="EA42" s="54">
        <v>-233655.55560354196</v>
      </c>
      <c r="EB42" s="54">
        <v>-249586.61131927185</v>
      </c>
      <c r="EC42" s="54">
        <v>-49680.942904604497</v>
      </c>
      <c r="ED42" s="54">
        <v>54893.277470362882</v>
      </c>
    </row>
    <row r="43" spans="1:134" x14ac:dyDescent="0.3">
      <c r="A43" s="142">
        <v>45887.625</v>
      </c>
      <c r="B43" s="76">
        <f t="shared" si="20"/>
        <v>94.83</v>
      </c>
      <c r="C43" s="31">
        <f t="shared" si="6"/>
        <v>247603.83386581152</v>
      </c>
      <c r="D43" s="32">
        <f t="shared" si="7"/>
        <v>-120437.5</v>
      </c>
      <c r="E43" s="76">
        <f t="shared" si="21"/>
        <v>100.953</v>
      </c>
      <c r="F43" s="31">
        <f t="shared" si="8"/>
        <v>-57599.999999999345</v>
      </c>
      <c r="G43" s="32">
        <f t="shared" si="9"/>
        <v>-42879.036833333339</v>
      </c>
      <c r="H43" s="76">
        <f t="shared" si="22"/>
        <v>120.14</v>
      </c>
      <c r="I43" s="31">
        <f t="shared" si="10"/>
        <v>-620836.75143560464</v>
      </c>
      <c r="J43" s="32">
        <f t="shared" si="11"/>
        <v>-207152.5</v>
      </c>
      <c r="K43" s="76">
        <f t="shared" si="23"/>
        <v>99.388999999999996</v>
      </c>
      <c r="L43" s="31">
        <f t="shared" si="12"/>
        <v>-152110.00000000384</v>
      </c>
      <c r="M43" s="32">
        <f t="shared" si="13"/>
        <v>-94315.680222222232</v>
      </c>
      <c r="N43" s="82">
        <f t="shared" si="14"/>
        <v>809208.94191252277</v>
      </c>
      <c r="O43" s="82"/>
      <c r="P43" s="82"/>
      <c r="Q43" s="82">
        <f>$G$5*SUM($O$14:O43)-$H$5*SUM($P$14:P43)</f>
        <v>-685953.76080000005</v>
      </c>
      <c r="R43" s="82">
        <f t="shared" si="15"/>
        <v>123255.18111252273</v>
      </c>
      <c r="S43" s="143"/>
      <c r="U43" s="75">
        <v>45814.625</v>
      </c>
      <c r="V43" s="54">
        <v>93.7</v>
      </c>
      <c r="W43" s="75">
        <v>45812.625</v>
      </c>
      <c r="X43" s="54">
        <v>101.54</v>
      </c>
      <c r="Y43" s="125">
        <v>45818.625</v>
      </c>
      <c r="Z43" s="54">
        <v>121.52</v>
      </c>
      <c r="AA43" s="75">
        <v>45902.625</v>
      </c>
      <c r="AB43" s="54">
        <v>99.481999999999999</v>
      </c>
      <c r="AF43" s="131">
        <v>45937.625</v>
      </c>
      <c r="AG43" s="45">
        <f t="shared" si="24"/>
        <v>80.77</v>
      </c>
      <c r="AH43" s="46">
        <f t="shared" si="25"/>
        <v>-86451.772261333943</v>
      </c>
      <c r="AI43" s="46">
        <f t="shared" si="55"/>
        <v>-168612.49999999997</v>
      </c>
      <c r="AJ43" s="45">
        <f t="shared" si="27"/>
        <v>99.625</v>
      </c>
      <c r="AK43" s="46">
        <f t="shared" si="28"/>
        <v>-4570.3125</v>
      </c>
      <c r="AL43" s="47">
        <f t="shared" si="56"/>
        <v>-13105.779459635422</v>
      </c>
      <c r="AM43" s="45">
        <f t="shared" si="30"/>
        <v>111.4</v>
      </c>
      <c r="AN43" s="46">
        <f t="shared" si="31"/>
        <v>448241.38871217211</v>
      </c>
      <c r="AO43" s="47">
        <f t="shared" si="57"/>
        <v>-173430</v>
      </c>
      <c r="AP43" s="45">
        <f t="shared" si="33"/>
        <v>99.625</v>
      </c>
      <c r="AQ43" s="46">
        <f t="shared" si="34"/>
        <v>-3984.375</v>
      </c>
      <c r="AR43" s="47">
        <f t="shared" si="58"/>
        <v>-11425.551323784719</v>
      </c>
      <c r="AS43" s="45">
        <f t="shared" si="36"/>
        <v>100.96875</v>
      </c>
      <c r="AT43" s="46">
        <f t="shared" si="37"/>
        <v>63281.250000000007</v>
      </c>
      <c r="AU43" s="47">
        <f t="shared" si="59"/>
        <v>125.66927083334303</v>
      </c>
      <c r="AV43" s="45">
        <f t="shared" si="39"/>
        <v>100.390625</v>
      </c>
      <c r="AW43" s="46">
        <f t="shared" si="40"/>
        <v>308437.5</v>
      </c>
      <c r="AX43" s="47">
        <f t="shared" si="60"/>
        <v>7506.6382161458387</v>
      </c>
      <c r="AY43" s="82">
        <f t="shared" si="61"/>
        <v>-148258.4378506761</v>
      </c>
      <c r="AZ43" s="82"/>
      <c r="BA43" s="82"/>
      <c r="BB43" s="82">
        <f>$AO$4*SUM($AZ$14:AZ43)-$AP$4*SUM($BA$14:BA43)</f>
        <v>71885.032915282383</v>
      </c>
      <c r="BC43" s="82">
        <f t="shared" si="16"/>
        <v>-220143.47076595848</v>
      </c>
      <c r="BE43" s="75">
        <v>45811.625</v>
      </c>
      <c r="BF43" s="54">
        <v>79.33</v>
      </c>
      <c r="BI43" s="75">
        <v>45811.625</v>
      </c>
      <c r="BJ43" s="54">
        <v>107.12</v>
      </c>
      <c r="BM43" s="75">
        <v>45931.625</v>
      </c>
      <c r="BN43" s="54">
        <v>101.171875</v>
      </c>
      <c r="BO43" s="75">
        <v>45932.625</v>
      </c>
      <c r="BP43" s="54">
        <v>100.875</v>
      </c>
      <c r="BR43" s="131">
        <v>45937.625</v>
      </c>
      <c r="BS43" s="45">
        <f t="shared" si="17"/>
        <v>108.0094</v>
      </c>
      <c r="BT43" s="46">
        <f t="shared" si="43"/>
        <v>12758.000000000038</v>
      </c>
      <c r="BU43" s="46">
        <f t="shared" si="44"/>
        <v>11388.888888888891</v>
      </c>
      <c r="BV43" s="45">
        <f t="shared" si="45"/>
        <v>47.156999999999996</v>
      </c>
      <c r="BW43" s="46">
        <f t="shared" si="46"/>
        <v>13554.000000000004</v>
      </c>
      <c r="BX43" s="47">
        <f t="shared" si="47"/>
        <v>11388.888888888889</v>
      </c>
      <c r="BY43" s="45">
        <f t="shared" si="48"/>
        <v>-795.99999999996544</v>
      </c>
      <c r="CA43" s="129">
        <v>45814.625</v>
      </c>
      <c r="CB43" s="54">
        <v>106.61709999999999</v>
      </c>
      <c r="CC43" s="129">
        <v>45814.625</v>
      </c>
      <c r="CD43" s="54">
        <v>54.094999999999999</v>
      </c>
      <c r="CF43" s="131">
        <v>45937.625</v>
      </c>
      <c r="CG43" s="45">
        <f t="shared" si="18"/>
        <v>242.00200000000001</v>
      </c>
      <c r="CH43" s="46">
        <f t="shared" si="49"/>
        <v>31520.622222222195</v>
      </c>
      <c r="CI43" s="46">
        <f t="shared" si="50"/>
        <v>12654.320987654321</v>
      </c>
      <c r="CJ43" s="45">
        <f t="shared" si="51"/>
        <v>49.996000000000002</v>
      </c>
      <c r="CK43" s="46">
        <f t="shared" si="52"/>
        <v>21992.599999999995</v>
      </c>
      <c r="CL43" s="47">
        <f t="shared" si="53"/>
        <v>11388.888888888889</v>
      </c>
      <c r="CM43" s="45">
        <f t="shared" si="54"/>
        <v>10793.454320987634</v>
      </c>
      <c r="CO43" s="129">
        <v>45814.625</v>
      </c>
      <c r="CP43" s="54">
        <v>289.697</v>
      </c>
      <c r="CQ43" s="129">
        <v>45814.625</v>
      </c>
      <c r="CR43" s="54">
        <v>55.588999999999999</v>
      </c>
      <c r="CS43" s="54"/>
      <c r="CT43" s="54"/>
      <c r="CU43" s="54"/>
      <c r="CV43" s="54"/>
      <c r="CW43" s="54"/>
      <c r="CX43" s="54"/>
      <c r="CY43" s="54"/>
      <c r="DF43" s="142">
        <f t="shared" si="1"/>
        <v>45938.625</v>
      </c>
      <c r="DG43" s="58">
        <f t="shared" si="2"/>
        <v>-148043.05396576703</v>
      </c>
      <c r="DH43" s="58">
        <f t="shared" si="3"/>
        <v>-220551.70975011477</v>
      </c>
      <c r="DI43" s="58">
        <v>-915.00000000004184</v>
      </c>
      <c r="DJ43" s="58">
        <v>8996.1185185184841</v>
      </c>
      <c r="DK43" s="58">
        <f t="shared" si="19"/>
        <v>-23898.54929080962</v>
      </c>
      <c r="DL43" s="58">
        <f t="shared" si="19"/>
        <v>-408.23898415628355</v>
      </c>
      <c r="DM43" s="58">
        <f t="shared" si="19"/>
        <v>-119.0000000000764</v>
      </c>
      <c r="DN43" s="58">
        <f t="shared" si="19"/>
        <v>-1797.3358024691497</v>
      </c>
      <c r="DO43" s="58">
        <f t="shared" si="5"/>
        <v>-23898.54929080962</v>
      </c>
      <c r="DP43" s="58">
        <f t="shared" si="5"/>
        <v>-383.97209272556245</v>
      </c>
      <c r="DQ43" s="58">
        <f t="shared" si="5"/>
        <v>-6661.4447387634464</v>
      </c>
      <c r="DR43" s="58">
        <f t="shared" si="5"/>
        <v>-63008.988902701043</v>
      </c>
      <c r="DS43" s="58">
        <f>SUM(DO$15:DO43)</f>
        <v>-257554.10489435156</v>
      </c>
      <c r="DT43" s="58">
        <f>SUM(DP$15:DP43)</f>
        <v>-249970.58341199742</v>
      </c>
      <c r="DU43" s="58">
        <f>SUM(DQ$15:DQ43)</f>
        <v>-56342.38764336794</v>
      </c>
      <c r="DV43" s="58">
        <f>SUM(DR$15:DR43)</f>
        <v>-8115.7114323381611</v>
      </c>
      <c r="DZ43" s="133">
        <v>45938.625</v>
      </c>
      <c r="EA43" s="54">
        <v>-257554.10489435156</v>
      </c>
      <c r="EB43" s="54">
        <v>-249970.58341199742</v>
      </c>
      <c r="EC43" s="54">
        <v>-56342.38764336794</v>
      </c>
      <c r="ED43" s="54">
        <v>-8115.7114323381611</v>
      </c>
    </row>
    <row r="44" spans="1:134" x14ac:dyDescent="0.3">
      <c r="A44" s="142">
        <v>45888.625</v>
      </c>
      <c r="B44" s="76">
        <f t="shared" si="20"/>
        <v>94.8</v>
      </c>
      <c r="C44" s="31">
        <f t="shared" si="6"/>
        <v>239616.6134185307</v>
      </c>
      <c r="D44" s="32">
        <f t="shared" si="7"/>
        <v>-123375</v>
      </c>
      <c r="E44" s="76">
        <f t="shared" si="21"/>
        <v>100.99</v>
      </c>
      <c r="F44" s="31">
        <f t="shared" si="8"/>
        <v>-50200.000000000953</v>
      </c>
      <c r="G44" s="32">
        <f t="shared" si="9"/>
        <v>-43924.866999999998</v>
      </c>
      <c r="H44" s="76">
        <f t="shared" si="22"/>
        <v>120.27</v>
      </c>
      <c r="I44" s="31">
        <f t="shared" si="10"/>
        <v>-574979.49138638529</v>
      </c>
      <c r="J44" s="32">
        <f t="shared" si="11"/>
        <v>-212205</v>
      </c>
      <c r="K44" s="76">
        <f t="shared" si="23"/>
        <v>99.484999999999999</v>
      </c>
      <c r="L44" s="31">
        <f t="shared" si="12"/>
        <v>-112750.00000000233</v>
      </c>
      <c r="M44" s="32">
        <f t="shared" si="13"/>
        <v>-96616.062666666665</v>
      </c>
      <c r="N44" s="82">
        <f t="shared" si="14"/>
        <v>788184.90913824795</v>
      </c>
      <c r="O44" s="82"/>
      <c r="P44" s="82"/>
      <c r="Q44" s="82">
        <f>$G$5*SUM($O$14:O44)-$H$5*SUM($P$14:P44)</f>
        <v>-685953.76080000005</v>
      </c>
      <c r="R44" s="82">
        <f t="shared" si="15"/>
        <v>102231.14833824791</v>
      </c>
      <c r="S44" s="143"/>
      <c r="U44" s="75">
        <v>45817.625</v>
      </c>
      <c r="V44" s="54">
        <v>93.62</v>
      </c>
      <c r="W44" s="75">
        <v>45813.625</v>
      </c>
      <c r="X44" s="54">
        <v>101.26</v>
      </c>
      <c r="Y44" s="125">
        <v>45819.625</v>
      </c>
      <c r="Z44" s="54">
        <v>121.56</v>
      </c>
      <c r="AA44" s="75">
        <v>45903.625</v>
      </c>
      <c r="AB44" s="54">
        <v>99.596000000000004</v>
      </c>
      <c r="AF44" s="131">
        <v>45938.625</v>
      </c>
      <c r="AG44" s="45">
        <f t="shared" si="24"/>
        <v>80.650000000000006</v>
      </c>
      <c r="AH44" s="46">
        <f t="shared" si="25"/>
        <v>-138322.83561812653</v>
      </c>
      <c r="AI44" s="46">
        <f t="shared" si="55"/>
        <v>-172725</v>
      </c>
      <c r="AJ44" s="45">
        <f t="shared" si="27"/>
        <v>99.5625</v>
      </c>
      <c r="AK44" s="46">
        <f t="shared" si="28"/>
        <v>-16757.8125</v>
      </c>
      <c r="AL44" s="47">
        <f t="shared" si="56"/>
        <v>-13425.4326171875</v>
      </c>
      <c r="AM44" s="45">
        <f t="shared" si="30"/>
        <v>111.26</v>
      </c>
      <c r="AN44" s="46">
        <f t="shared" si="31"/>
        <v>402435.69935472665</v>
      </c>
      <c r="AO44" s="47">
        <f t="shared" si="57"/>
        <v>-177660</v>
      </c>
      <c r="AP44" s="45">
        <f t="shared" si="33"/>
        <v>99.5625</v>
      </c>
      <c r="AQ44" s="46">
        <f t="shared" si="34"/>
        <v>-14609.375</v>
      </c>
      <c r="AR44" s="47">
        <f t="shared" si="58"/>
        <v>-11704.223307291657</v>
      </c>
      <c r="AS44" s="45">
        <f t="shared" si="36"/>
        <v>100.953125</v>
      </c>
      <c r="AT44" s="46">
        <f t="shared" si="37"/>
        <v>62109.375</v>
      </c>
      <c r="AU44" s="47">
        <f t="shared" si="59"/>
        <v>128.734375</v>
      </c>
      <c r="AV44" s="45">
        <f t="shared" si="39"/>
        <v>100.4375</v>
      </c>
      <c r="AW44" s="46">
        <f t="shared" si="40"/>
        <v>313359.375</v>
      </c>
      <c r="AX44" s="47">
        <f t="shared" si="60"/>
        <v>7689.7269531249985</v>
      </c>
      <c r="AY44" s="82">
        <f t="shared" si="61"/>
        <v>-148666.67683483238</v>
      </c>
      <c r="AZ44" s="82"/>
      <c r="BA44" s="82"/>
      <c r="BB44" s="82">
        <f>$AO$4*SUM($AZ$14:AZ44)-$AP$4*SUM($BA$14:BA44)</f>
        <v>71885.032915282383</v>
      </c>
      <c r="BC44" s="82">
        <f t="shared" si="16"/>
        <v>-220551.70975011477</v>
      </c>
      <c r="BE44" s="75">
        <v>45812.625</v>
      </c>
      <c r="BF44" s="54">
        <v>79.48</v>
      </c>
      <c r="BI44" s="75">
        <v>45812.625</v>
      </c>
      <c r="BJ44" s="54">
        <v>107.9</v>
      </c>
      <c r="BM44" s="75">
        <v>45932.625</v>
      </c>
      <c r="BN44" s="54">
        <v>101.3125</v>
      </c>
      <c r="BO44" s="75">
        <v>45933.625</v>
      </c>
      <c r="BP44" s="54">
        <v>100.609375</v>
      </c>
      <c r="BR44" s="131">
        <v>45938.625</v>
      </c>
      <c r="BS44" s="45">
        <f t="shared" si="17"/>
        <v>107.92919999999999</v>
      </c>
      <c r="BT44" s="46">
        <f t="shared" si="43"/>
        <v>11153.99999999994</v>
      </c>
      <c r="BU44" s="46">
        <f t="shared" si="44"/>
        <v>11666.666666666668</v>
      </c>
      <c r="BV44" s="45">
        <f t="shared" si="45"/>
        <v>47.487000000000002</v>
      </c>
      <c r="BW44" s="46">
        <f t="shared" si="46"/>
        <v>12068.99999999998</v>
      </c>
      <c r="BX44" s="47">
        <f t="shared" si="47"/>
        <v>11666.666666666668</v>
      </c>
      <c r="BY44" s="45">
        <f t="shared" si="48"/>
        <v>-915.00000000004184</v>
      </c>
      <c r="CA44" s="129">
        <v>45817.625</v>
      </c>
      <c r="CB44" s="54">
        <v>106.6589</v>
      </c>
      <c r="CC44" s="129">
        <v>45817.625</v>
      </c>
      <c r="CD44" s="54">
        <v>53.728999999999999</v>
      </c>
      <c r="CF44" s="131">
        <v>45938.625</v>
      </c>
      <c r="CG44" s="45">
        <f t="shared" si="18"/>
        <v>244.23400000000001</v>
      </c>
      <c r="CH44" s="46">
        <f t="shared" si="49"/>
        <v>29338.222222222194</v>
      </c>
      <c r="CI44" s="46">
        <f t="shared" si="50"/>
        <v>12962.962962962964</v>
      </c>
      <c r="CJ44" s="45">
        <f t="shared" si="51"/>
        <v>50.073</v>
      </c>
      <c r="CK44" s="46">
        <f t="shared" si="52"/>
        <v>21638.400000000001</v>
      </c>
      <c r="CL44" s="47">
        <f t="shared" si="53"/>
        <v>11666.666666666668</v>
      </c>
      <c r="CM44" s="45">
        <f t="shared" si="54"/>
        <v>8996.1185185184841</v>
      </c>
      <c r="CO44" s="129">
        <v>45817.625</v>
      </c>
      <c r="CP44" s="54">
        <v>288.13</v>
      </c>
      <c r="CQ44" s="129">
        <v>45817.625</v>
      </c>
      <c r="CR44" s="54">
        <v>55.499000000000002</v>
      </c>
      <c r="CS44" s="54"/>
      <c r="CT44" s="54"/>
      <c r="CU44" s="54"/>
      <c r="CV44" s="54"/>
      <c r="CW44" s="54"/>
      <c r="CX44" s="54"/>
      <c r="CY44" s="54"/>
      <c r="DF44" s="142">
        <f t="shared" si="1"/>
        <v>45939.625</v>
      </c>
      <c r="DG44" s="58">
        <f t="shared" si="2"/>
        <v>-170674.22798346303</v>
      </c>
      <c r="DH44" s="58">
        <f t="shared" si="3"/>
        <v>-257060.30634517863</v>
      </c>
      <c r="DI44" s="58">
        <v>-2434.0000000000309</v>
      </c>
      <c r="DJ44" s="58">
        <v>7048.3160493826945</v>
      </c>
      <c r="DK44" s="58">
        <f t="shared" si="19"/>
        <v>-22631.174017696001</v>
      </c>
      <c r="DL44" s="58">
        <f t="shared" si="19"/>
        <v>-36508.596595063864</v>
      </c>
      <c r="DM44" s="58">
        <f t="shared" si="19"/>
        <v>-1518.9999999999891</v>
      </c>
      <c r="DN44" s="58">
        <f t="shared" si="19"/>
        <v>-1947.8024691357896</v>
      </c>
      <c r="DO44" s="58">
        <f t="shared" si="5"/>
        <v>-22631.174017696001</v>
      </c>
      <c r="DP44" s="58">
        <f t="shared" si="5"/>
        <v>-34338.421319688285</v>
      </c>
      <c r="DQ44" s="58">
        <f t="shared" si="5"/>
        <v>-85031.382841807615</v>
      </c>
      <c r="DR44" s="58">
        <f t="shared" si="5"/>
        <v>-68283.881060972315</v>
      </c>
      <c r="DS44" s="58">
        <f>SUM(DO$15:DO44)</f>
        <v>-280185.27891204756</v>
      </c>
      <c r="DT44" s="58">
        <f>SUM(DP$15:DP44)</f>
        <v>-284309.00473168568</v>
      </c>
      <c r="DU44" s="58">
        <f>SUM(DQ$15:DQ44)</f>
        <v>-141373.77048517554</v>
      </c>
      <c r="DV44" s="58">
        <f>SUM(DR$15:DR44)</f>
        <v>-76399.592493310483</v>
      </c>
      <c r="DZ44" s="133">
        <v>45939.625</v>
      </c>
      <c r="EA44" s="54">
        <v>-280185.27891204756</v>
      </c>
      <c r="EB44" s="54">
        <v>-284309.00473168568</v>
      </c>
      <c r="EC44" s="54">
        <v>-141373.77048517554</v>
      </c>
      <c r="ED44" s="54">
        <v>-76399.592493310483</v>
      </c>
    </row>
    <row r="45" spans="1:134" x14ac:dyDescent="0.3">
      <c r="A45" s="142">
        <v>45889.625</v>
      </c>
      <c r="B45" s="76">
        <f t="shared" si="20"/>
        <v>94.64</v>
      </c>
      <c r="C45" s="31">
        <f t="shared" si="6"/>
        <v>197018.10436634769</v>
      </c>
      <c r="D45" s="32">
        <f t="shared" si="7"/>
        <v>-126312.49999999999</v>
      </c>
      <c r="E45" s="76">
        <f t="shared" si="21"/>
        <v>101.083</v>
      </c>
      <c r="F45" s="31">
        <f t="shared" si="8"/>
        <v>-31600.000000000251</v>
      </c>
      <c r="G45" s="32">
        <f t="shared" si="9"/>
        <v>-44970.697166666672</v>
      </c>
      <c r="H45" s="76">
        <f t="shared" si="22"/>
        <v>120.39</v>
      </c>
      <c r="I45" s="31">
        <f t="shared" si="10"/>
        <v>-532649.71287941281</v>
      </c>
      <c r="J45" s="32">
        <f t="shared" si="11"/>
        <v>-217257.5</v>
      </c>
      <c r="K45" s="76">
        <f t="shared" si="23"/>
        <v>99.653999999999996</v>
      </c>
      <c r="L45" s="31">
        <f t="shared" si="12"/>
        <v>-43460.000000003587</v>
      </c>
      <c r="M45" s="32">
        <f t="shared" si="13"/>
        <v>-98916.445111111141</v>
      </c>
      <c r="N45" s="82">
        <f t="shared" si="14"/>
        <v>754807.06930131267</v>
      </c>
      <c r="O45" s="82"/>
      <c r="P45" s="82"/>
      <c r="Q45" s="82">
        <f>$G$5*SUM($O$14:O45)-$H$5*SUM($P$14:P45)</f>
        <v>-685953.76080000005</v>
      </c>
      <c r="R45" s="82">
        <f t="shared" si="15"/>
        <v>68853.308501312626</v>
      </c>
      <c r="S45" s="143"/>
      <c r="U45" s="75">
        <v>45818.625</v>
      </c>
      <c r="V45" s="54">
        <v>93.67</v>
      </c>
      <c r="W45" s="75">
        <v>45814.625</v>
      </c>
      <c r="X45" s="54">
        <v>101.29900000000001</v>
      </c>
      <c r="Y45" s="125">
        <v>45820.625</v>
      </c>
      <c r="Z45" s="54">
        <v>121.7</v>
      </c>
      <c r="AA45" s="75">
        <v>45904.625</v>
      </c>
      <c r="AB45" s="54">
        <v>99.653999999999996</v>
      </c>
      <c r="AF45" s="131">
        <v>45939.625</v>
      </c>
      <c r="AG45" s="45">
        <f t="shared" si="24"/>
        <v>80.42</v>
      </c>
      <c r="AH45" s="46">
        <f t="shared" si="25"/>
        <v>-237742.3737186596</v>
      </c>
      <c r="AI45" s="46">
        <f t="shared" si="55"/>
        <v>-176837.5</v>
      </c>
      <c r="AJ45" s="45">
        <f t="shared" si="27"/>
        <v>99.5078125</v>
      </c>
      <c r="AK45" s="46">
        <f t="shared" si="28"/>
        <v>-27421.875</v>
      </c>
      <c r="AL45" s="47">
        <f t="shared" si="56"/>
        <v>-13745.085774739578</v>
      </c>
      <c r="AM45" s="45">
        <f t="shared" si="30"/>
        <v>111.04</v>
      </c>
      <c r="AN45" s="46">
        <f t="shared" si="31"/>
        <v>330455.33036444843</v>
      </c>
      <c r="AO45" s="47">
        <f t="shared" si="57"/>
        <v>-181890</v>
      </c>
      <c r="AP45" s="45">
        <f t="shared" si="33"/>
        <v>99.5078125</v>
      </c>
      <c r="AQ45" s="46">
        <f t="shared" si="34"/>
        <v>-23906.25</v>
      </c>
      <c r="AR45" s="47">
        <f t="shared" si="58"/>
        <v>-11982.895290798609</v>
      </c>
      <c r="AS45" s="45">
        <f t="shared" si="36"/>
        <v>100.875</v>
      </c>
      <c r="AT45" s="46">
        <f t="shared" si="37"/>
        <v>56250</v>
      </c>
      <c r="AU45" s="47">
        <f t="shared" si="59"/>
        <v>131.79947916667152</v>
      </c>
      <c r="AV45" s="45">
        <f t="shared" si="39"/>
        <v>100.390625</v>
      </c>
      <c r="AW45" s="46">
        <f t="shared" si="40"/>
        <v>308437.5</v>
      </c>
      <c r="AX45" s="47">
        <f t="shared" si="60"/>
        <v>7872.815690104173</v>
      </c>
      <c r="AY45" s="82">
        <f t="shared" si="61"/>
        <v>-185175.27342989625</v>
      </c>
      <c r="AZ45" s="82"/>
      <c r="BA45" s="82"/>
      <c r="BB45" s="82">
        <f>$AO$4*SUM($AZ$14:AZ45)-$AP$4*SUM($BA$14:BA45)</f>
        <v>71885.032915282383</v>
      </c>
      <c r="BC45" s="82">
        <f t="shared" si="16"/>
        <v>-257060.30634517863</v>
      </c>
      <c r="BE45" s="75">
        <v>45813.625</v>
      </c>
      <c r="BF45" s="54">
        <v>79.31</v>
      </c>
      <c r="BI45" s="75">
        <v>45813.625</v>
      </c>
      <c r="BJ45" s="54">
        <v>107.57</v>
      </c>
      <c r="BM45" s="75">
        <v>45933.625</v>
      </c>
      <c r="BN45" s="54">
        <v>101.046875</v>
      </c>
      <c r="BO45" s="75">
        <v>45936.625</v>
      </c>
      <c r="BP45" s="54">
        <v>99.859375</v>
      </c>
      <c r="BR45" s="131">
        <v>45939.625</v>
      </c>
      <c r="BS45" s="45">
        <f t="shared" si="17"/>
        <v>107.73399999999999</v>
      </c>
      <c r="BT45" s="46">
        <f t="shared" si="43"/>
        <v>7249.9999999999427</v>
      </c>
      <c r="BU45" s="46">
        <f t="shared" si="44"/>
        <v>11944.444444444445</v>
      </c>
      <c r="BV45" s="45">
        <f t="shared" si="45"/>
        <v>48.017000000000003</v>
      </c>
      <c r="BW45" s="46">
        <f t="shared" si="46"/>
        <v>9683.9999999999727</v>
      </c>
      <c r="BX45" s="47">
        <f t="shared" si="47"/>
        <v>11944.444444444445</v>
      </c>
      <c r="BY45" s="45">
        <f t="shared" si="48"/>
        <v>-2434.0000000000309</v>
      </c>
      <c r="CA45" s="129">
        <v>45818.625</v>
      </c>
      <c r="CB45" s="54">
        <v>106.8021</v>
      </c>
      <c r="CC45" s="129">
        <v>45818.625</v>
      </c>
      <c r="CD45" s="54">
        <v>53.005000000000003</v>
      </c>
      <c r="CF45" s="131">
        <v>45939.625</v>
      </c>
      <c r="CG45" s="45">
        <f t="shared" si="18"/>
        <v>249.739</v>
      </c>
      <c r="CH45" s="46">
        <f t="shared" si="49"/>
        <v>23955.555555555529</v>
      </c>
      <c r="CI45" s="46">
        <f t="shared" si="50"/>
        <v>13271.604938271605</v>
      </c>
      <c r="CJ45" s="45">
        <f t="shared" si="51"/>
        <v>50.813000000000002</v>
      </c>
      <c r="CK45" s="46">
        <f t="shared" si="52"/>
        <v>18234.399999999994</v>
      </c>
      <c r="CL45" s="47">
        <f t="shared" si="53"/>
        <v>11944.444444444445</v>
      </c>
      <c r="CM45" s="45">
        <f t="shared" si="54"/>
        <v>7048.3160493826945</v>
      </c>
      <c r="CO45" s="129">
        <v>45818.625</v>
      </c>
      <c r="CP45" s="54">
        <v>288.601</v>
      </c>
      <c r="CQ45" s="129">
        <v>45818.625</v>
      </c>
      <c r="CR45" s="54">
        <v>55.426000000000002</v>
      </c>
      <c r="CS45" s="54"/>
      <c r="CT45" s="54"/>
      <c r="CU45" s="54"/>
      <c r="CV45" s="54"/>
      <c r="CW45" s="54"/>
      <c r="CX45" s="54"/>
      <c r="CY45" s="54"/>
      <c r="DF45" s="142">
        <f t="shared" si="1"/>
        <v>45940.625</v>
      </c>
      <c r="DG45" s="58">
        <f t="shared" si="2"/>
        <v>-166104.21175023937</v>
      </c>
      <c r="DH45" s="58">
        <f t="shared" si="3"/>
        <v>-350423.55702969374</v>
      </c>
      <c r="DI45" s="58">
        <v>-3338.4999999997908</v>
      </c>
      <c r="DJ45" s="58">
        <v>6761.0913580246961</v>
      </c>
      <c r="DK45" s="58">
        <f t="shared" si="19"/>
        <v>4570.016233223665</v>
      </c>
      <c r="DL45" s="58">
        <f t="shared" si="19"/>
        <v>-93363.250684515107</v>
      </c>
      <c r="DM45" s="58">
        <f t="shared" si="19"/>
        <v>-904.49999999975989</v>
      </c>
      <c r="DN45" s="58">
        <f t="shared" si="19"/>
        <v>-287.22469135799838</v>
      </c>
      <c r="DO45" s="58">
        <f t="shared" si="5"/>
        <v>4570.016233223665</v>
      </c>
      <c r="DP45" s="58">
        <f t="shared" si="5"/>
        <v>-87813.472353906225</v>
      </c>
      <c r="DQ45" s="58">
        <f t="shared" si="5"/>
        <v>-50632.577867277898</v>
      </c>
      <c r="DR45" s="58">
        <f t="shared" si="5"/>
        <v>-10069.202074256511</v>
      </c>
      <c r="DS45" s="58">
        <f>SUM(DO$15:DO45)</f>
        <v>-275615.2626788239</v>
      </c>
      <c r="DT45" s="58">
        <f>SUM(DP$15:DP45)</f>
        <v>-372122.47708559188</v>
      </c>
      <c r="DU45" s="58">
        <f>SUM(DQ$15:DQ45)</f>
        <v>-192006.34835245344</v>
      </c>
      <c r="DV45" s="58">
        <f>SUM(DR$15:DR45)</f>
        <v>-86468.794567566991</v>
      </c>
      <c r="DZ45" s="133">
        <v>45940.625</v>
      </c>
      <c r="EA45" s="54">
        <v>-275615.2626788239</v>
      </c>
      <c r="EB45" s="54">
        <v>-372122.47708559188</v>
      </c>
      <c r="EC45" s="54">
        <v>-192006.34835245344</v>
      </c>
      <c r="ED45" s="54">
        <v>-86468.794567566991</v>
      </c>
    </row>
    <row r="46" spans="1:134" x14ac:dyDescent="0.3">
      <c r="A46" s="142">
        <v>45890.625</v>
      </c>
      <c r="B46" s="76">
        <f t="shared" si="20"/>
        <v>94.47</v>
      </c>
      <c r="C46" s="31">
        <f t="shared" si="6"/>
        <v>151757.1884984026</v>
      </c>
      <c r="D46" s="32">
        <f t="shared" si="7"/>
        <v>-129249.99999999999</v>
      </c>
      <c r="E46" s="76">
        <f t="shared" si="21"/>
        <v>100.955</v>
      </c>
      <c r="F46" s="31">
        <f t="shared" si="8"/>
        <v>-57200.000000000269</v>
      </c>
      <c r="G46" s="32">
        <f t="shared" si="9"/>
        <v>-46016.527333333324</v>
      </c>
      <c r="H46" s="76">
        <f t="shared" si="22"/>
        <v>120.12</v>
      </c>
      <c r="I46" s="31">
        <f t="shared" si="10"/>
        <v>-627891.71452009853</v>
      </c>
      <c r="J46" s="32">
        <f t="shared" si="11"/>
        <v>-222309.99999999997</v>
      </c>
      <c r="K46" s="76">
        <f t="shared" si="23"/>
        <v>99.468999999999994</v>
      </c>
      <c r="L46" s="31">
        <f t="shared" si="12"/>
        <v>-119310.00000000453</v>
      </c>
      <c r="M46" s="32">
        <f t="shared" si="13"/>
        <v>-101216.82755555556</v>
      </c>
      <c r="N46" s="82">
        <f t="shared" si="14"/>
        <v>755398.6027962747</v>
      </c>
      <c r="O46" s="82"/>
      <c r="P46" s="82"/>
      <c r="Q46" s="82">
        <f>$G$5*SUM($O$14:O46)-$H$5*SUM($P$14:P46)</f>
        <v>-685953.76080000005</v>
      </c>
      <c r="R46" s="82">
        <f t="shared" si="15"/>
        <v>69444.841996274656</v>
      </c>
      <c r="S46" s="143"/>
      <c r="U46" s="75">
        <v>45819.625</v>
      </c>
      <c r="V46" s="54">
        <v>93.76</v>
      </c>
      <c r="W46" s="75">
        <v>45817.625</v>
      </c>
      <c r="X46" s="54">
        <v>101.297</v>
      </c>
      <c r="Y46" s="125">
        <v>45821.625</v>
      </c>
      <c r="Z46" s="54">
        <v>121.38</v>
      </c>
      <c r="AA46" s="75">
        <v>45905.625</v>
      </c>
      <c r="AB46" s="54">
        <v>99.900999999999996</v>
      </c>
      <c r="AF46" s="131">
        <v>45940.625</v>
      </c>
      <c r="AG46" s="45">
        <f t="shared" si="24"/>
        <v>79.984999999999999</v>
      </c>
      <c r="AH46" s="46">
        <f t="shared" si="25"/>
        <v>-425774.97838705848</v>
      </c>
      <c r="AI46" s="46">
        <f t="shared" si="55"/>
        <v>-180950</v>
      </c>
      <c r="AJ46" s="45">
        <f t="shared" si="27"/>
        <v>99.890625</v>
      </c>
      <c r="AK46" s="46">
        <f t="shared" si="28"/>
        <v>47226.5625</v>
      </c>
      <c r="AL46" s="47">
        <f t="shared" si="56"/>
        <v>-14064.738932291672</v>
      </c>
      <c r="AM46" s="45">
        <f t="shared" si="30"/>
        <v>111.36</v>
      </c>
      <c r="AN46" s="46">
        <f t="shared" si="31"/>
        <v>435154.04889575572</v>
      </c>
      <c r="AO46" s="47">
        <f t="shared" si="57"/>
        <v>-186120</v>
      </c>
      <c r="AP46" s="45">
        <f t="shared" si="33"/>
        <v>99.890625</v>
      </c>
      <c r="AQ46" s="46">
        <f t="shared" si="34"/>
        <v>41171.875</v>
      </c>
      <c r="AR46" s="47">
        <f t="shared" si="58"/>
        <v>-12261.567274305562</v>
      </c>
      <c r="AS46" s="45">
        <f t="shared" si="36"/>
        <v>101.578125</v>
      </c>
      <c r="AT46" s="46">
        <f t="shared" si="37"/>
        <v>108984.375</v>
      </c>
      <c r="AU46" s="47">
        <f t="shared" si="59"/>
        <v>134.86458333334303</v>
      </c>
      <c r="AV46" s="45">
        <f t="shared" si="39"/>
        <v>101.875</v>
      </c>
      <c r="AW46" s="46">
        <f t="shared" si="40"/>
        <v>464296.875</v>
      </c>
      <c r="AX46" s="47">
        <f t="shared" si="60"/>
        <v>8055.9044270833401</v>
      </c>
      <c r="AY46" s="82">
        <f t="shared" si="61"/>
        <v>-278538.52411441132</v>
      </c>
      <c r="AZ46" s="82"/>
      <c r="BA46" s="82"/>
      <c r="BB46" s="82">
        <f>$AO$4*SUM($AZ$14:AZ46)-$AP$4*SUM($BA$14:BA46)</f>
        <v>71885.032915282383</v>
      </c>
      <c r="BC46" s="82">
        <f t="shared" si="16"/>
        <v>-350423.55702969374</v>
      </c>
      <c r="BE46" s="75">
        <v>45814.625</v>
      </c>
      <c r="BF46" s="54">
        <v>79.3</v>
      </c>
      <c r="BI46" s="75">
        <v>45814.625</v>
      </c>
      <c r="BJ46" s="54">
        <v>106.92</v>
      </c>
      <c r="BM46" s="75">
        <v>45936.625</v>
      </c>
      <c r="BN46" s="54">
        <v>100.6875</v>
      </c>
      <c r="BO46" s="75">
        <v>45937.625</v>
      </c>
      <c r="BP46" s="54">
        <v>100.390625</v>
      </c>
      <c r="BR46" s="131">
        <v>45940.625</v>
      </c>
      <c r="BS46" s="45">
        <f t="shared" si="17"/>
        <v>107.01220000000001</v>
      </c>
      <c r="BT46" s="46">
        <f t="shared" si="43"/>
        <v>-7185.9999999998081</v>
      </c>
      <c r="BU46" s="46">
        <f t="shared" si="44"/>
        <v>12222.222222222223</v>
      </c>
      <c r="BV46" s="45">
        <f t="shared" si="45"/>
        <v>51.024000000000001</v>
      </c>
      <c r="BW46" s="46">
        <f t="shared" si="46"/>
        <v>-3847.5000000000177</v>
      </c>
      <c r="BX46" s="47">
        <f t="shared" si="47"/>
        <v>12222.222222222223</v>
      </c>
      <c r="BY46" s="45">
        <f t="shared" si="48"/>
        <v>-3338.4999999997908</v>
      </c>
      <c r="CA46" s="129">
        <v>45819.625</v>
      </c>
      <c r="CB46" s="54">
        <v>106.7745</v>
      </c>
      <c r="CC46" s="129">
        <v>45819.625</v>
      </c>
      <c r="CD46" s="54">
        <v>53.15</v>
      </c>
      <c r="CF46" s="131">
        <v>45940.625</v>
      </c>
      <c r="CG46" s="45">
        <f t="shared" si="18"/>
        <v>260.29199999999997</v>
      </c>
      <c r="CH46" s="46">
        <f t="shared" si="49"/>
        <v>13637.066666666669</v>
      </c>
      <c r="CI46" s="46">
        <f t="shared" si="50"/>
        <v>13580.246913580246</v>
      </c>
      <c r="CJ46" s="45">
        <f t="shared" si="51"/>
        <v>52.987000000000002</v>
      </c>
      <c r="CK46" s="46">
        <f t="shared" si="52"/>
        <v>8233.9999999999964</v>
      </c>
      <c r="CL46" s="47">
        <f t="shared" si="53"/>
        <v>12222.222222222223</v>
      </c>
      <c r="CM46" s="45">
        <f t="shared" si="54"/>
        <v>6761.0913580246961</v>
      </c>
      <c r="CO46" s="129">
        <v>45819.625</v>
      </c>
      <c r="CP46" s="54">
        <v>284.75799999999998</v>
      </c>
      <c r="CQ46" s="129">
        <v>45819.625</v>
      </c>
      <c r="CR46" s="54">
        <v>54.582999999999998</v>
      </c>
      <c r="CS46" s="54"/>
      <c r="CT46" s="54"/>
      <c r="CU46" s="54"/>
      <c r="CV46" s="54"/>
      <c r="CW46" s="54"/>
      <c r="CX46" s="54"/>
      <c r="CY46" s="54"/>
      <c r="DF46" s="142">
        <f t="shared" si="1"/>
        <v>45943.625</v>
      </c>
      <c r="DG46" s="58">
        <f t="shared" si="2"/>
        <v>-147845.27719028643</v>
      </c>
      <c r="DH46" s="58">
        <f t="shared" si="3"/>
        <v>-234486.23727834862</v>
      </c>
      <c r="DI46" s="58">
        <v>-3338.4999999997926</v>
      </c>
      <c r="DJ46" s="58">
        <v>7337.0395061728086</v>
      </c>
      <c r="DK46" s="58">
        <f t="shared" si="19"/>
        <v>18258.934559952933</v>
      </c>
      <c r="DL46" s="58">
        <f t="shared" si="19"/>
        <v>115937.31975134512</v>
      </c>
      <c r="DM46" s="58">
        <f t="shared" si="19"/>
        <v>0</v>
      </c>
      <c r="DN46" s="58">
        <f t="shared" si="19"/>
        <v>575.94814814811252</v>
      </c>
      <c r="DO46" s="58">
        <f t="shared" si="5"/>
        <v>18258.934559952933</v>
      </c>
      <c r="DP46" s="58">
        <f t="shared" si="5"/>
        <v>109045.67426827279</v>
      </c>
      <c r="DQ46" s="58">
        <f t="shared" si="5"/>
        <v>0</v>
      </c>
      <c r="DR46" s="58">
        <f t="shared" si="5"/>
        <v>20190.946191213221</v>
      </c>
      <c r="DS46" s="58">
        <f>SUM(DO$15:DO46)</f>
        <v>-257356.32811887097</v>
      </c>
      <c r="DT46" s="58">
        <f>SUM(DP$15:DP46)</f>
        <v>-263076.80281731905</v>
      </c>
      <c r="DU46" s="58">
        <f>SUM(DQ$15:DQ46)</f>
        <v>-192006.34835245344</v>
      </c>
      <c r="DV46" s="58">
        <f>SUM(DR$15:DR46)</f>
        <v>-66277.848376353766</v>
      </c>
      <c r="DZ46" s="133">
        <v>45943.625</v>
      </c>
      <c r="EA46" s="54">
        <v>-257356.32811887097</v>
      </c>
      <c r="EB46" s="54">
        <v>-263076.80281731905</v>
      </c>
      <c r="EC46" s="54">
        <v>-192006.34835245344</v>
      </c>
      <c r="ED46" s="54">
        <v>-66277.848376353766</v>
      </c>
    </row>
    <row r="47" spans="1:134" x14ac:dyDescent="0.3">
      <c r="A47" s="142">
        <v>45891.625</v>
      </c>
      <c r="B47" s="76">
        <f t="shared" si="20"/>
        <v>94.76</v>
      </c>
      <c r="C47" s="31">
        <f t="shared" si="6"/>
        <v>228966.98615548215</v>
      </c>
      <c r="D47" s="32">
        <f t="shared" si="7"/>
        <v>-132187.5</v>
      </c>
      <c r="E47" s="76">
        <f t="shared" si="21"/>
        <v>101.027</v>
      </c>
      <c r="F47" s="31">
        <f t="shared" si="8"/>
        <v>-42799.999999999731</v>
      </c>
      <c r="G47" s="32">
        <f t="shared" si="9"/>
        <v>-47062.357499999998</v>
      </c>
      <c r="H47" s="76">
        <f t="shared" si="22"/>
        <v>120.28</v>
      </c>
      <c r="I47" s="31">
        <f t="shared" si="10"/>
        <v>-571452.0098441384</v>
      </c>
      <c r="J47" s="32">
        <f t="shared" si="11"/>
        <v>-227362.5</v>
      </c>
      <c r="K47" s="76">
        <f t="shared" si="23"/>
        <v>99.596000000000004</v>
      </c>
      <c r="L47" s="31">
        <f t="shared" si="12"/>
        <v>-67240.000000000597</v>
      </c>
      <c r="M47" s="32">
        <f t="shared" si="13"/>
        <v>-103517.20999999999</v>
      </c>
      <c r="N47" s="82">
        <f t="shared" si="14"/>
        <v>814699.14349961968</v>
      </c>
      <c r="O47" s="82"/>
      <c r="P47" s="82"/>
      <c r="Q47" s="82">
        <f>$G$5*SUM($O$14:O47)-$H$5*SUM($P$14:P47)</f>
        <v>-685953.76080000005</v>
      </c>
      <c r="R47" s="82">
        <f t="shared" si="15"/>
        <v>128745.38269961963</v>
      </c>
      <c r="S47" s="143"/>
      <c r="U47" s="75">
        <v>45820.625</v>
      </c>
      <c r="V47" s="54">
        <v>93.76</v>
      </c>
      <c r="W47" s="75">
        <v>45818.625</v>
      </c>
      <c r="X47" s="54">
        <v>101.38500000000001</v>
      </c>
      <c r="Y47" s="125">
        <v>45825.625</v>
      </c>
      <c r="Z47" s="54">
        <v>121.5</v>
      </c>
      <c r="AA47" s="75">
        <v>45908.625</v>
      </c>
      <c r="AB47" s="54">
        <v>99.972999999999999</v>
      </c>
      <c r="AF47" s="131">
        <v>45943.625</v>
      </c>
      <c r="AG47" s="45">
        <f t="shared" si="24"/>
        <v>80.45</v>
      </c>
      <c r="AH47" s="46">
        <f t="shared" si="25"/>
        <v>-224774.60787946047</v>
      </c>
      <c r="AI47" s="46">
        <f t="shared" si="55"/>
        <v>-193287.5</v>
      </c>
      <c r="AJ47" s="45">
        <f t="shared" si="27"/>
        <v>99.9921875</v>
      </c>
      <c r="AK47" s="46">
        <f t="shared" si="28"/>
        <v>67031.25</v>
      </c>
      <c r="AL47" s="47">
        <f t="shared" si="56"/>
        <v>-15023.698404947922</v>
      </c>
      <c r="AM47" s="45">
        <f t="shared" si="30"/>
        <v>111.73</v>
      </c>
      <c r="AN47" s="46">
        <f t="shared" si="31"/>
        <v>556211.94219758152</v>
      </c>
      <c r="AO47" s="47">
        <f t="shared" si="57"/>
        <v>-198810</v>
      </c>
      <c r="AP47" s="45">
        <f t="shared" si="33"/>
        <v>99.9921875</v>
      </c>
      <c r="AQ47" s="46">
        <f t="shared" si="34"/>
        <v>58437.5</v>
      </c>
      <c r="AR47" s="47">
        <f t="shared" si="58"/>
        <v>-13097.583224826391</v>
      </c>
      <c r="AS47" s="45">
        <f t="shared" si="36"/>
        <v>101.75</v>
      </c>
      <c r="AT47" s="46">
        <f t="shared" si="37"/>
        <v>121875</v>
      </c>
      <c r="AU47" s="47">
        <f t="shared" si="59"/>
        <v>144.05989583334303</v>
      </c>
      <c r="AV47" s="45">
        <f t="shared" si="39"/>
        <v>102.109375</v>
      </c>
      <c r="AW47" s="46">
        <f t="shared" si="40"/>
        <v>488906.25</v>
      </c>
      <c r="AX47" s="47">
        <f t="shared" si="60"/>
        <v>8605.1706380208416</v>
      </c>
      <c r="AY47" s="82">
        <f t="shared" si="61"/>
        <v>-162601.20436306624</v>
      </c>
      <c r="AZ47" s="82"/>
      <c r="BA47" s="82"/>
      <c r="BB47" s="82">
        <f>$AO$4*SUM($AZ$14:AZ47)-$AP$4*SUM($BA$14:BA47)</f>
        <v>71885.032915282383</v>
      </c>
      <c r="BC47" s="82">
        <f t="shared" si="16"/>
        <v>-234486.23727834862</v>
      </c>
      <c r="BE47" s="75">
        <v>45817.625</v>
      </c>
      <c r="BF47" s="54">
        <v>79.34</v>
      </c>
      <c r="BI47" s="75">
        <v>45817.625</v>
      </c>
      <c r="BJ47" s="54">
        <v>107.24</v>
      </c>
      <c r="BM47" s="75">
        <v>45937.625</v>
      </c>
      <c r="BN47" s="54">
        <v>100.96875</v>
      </c>
      <c r="BO47" s="75">
        <v>45938.625</v>
      </c>
      <c r="BP47" s="54">
        <v>100.4375</v>
      </c>
      <c r="BR47" s="131">
        <v>45943.625</v>
      </c>
      <c r="BS47" s="45">
        <f t="shared" si="17"/>
        <v>107.01220000000001</v>
      </c>
      <c r="BT47" s="46">
        <f t="shared" si="43"/>
        <v>-7185.9999999998081</v>
      </c>
      <c r="BU47" s="46">
        <f t="shared" si="44"/>
        <v>13055.555555555557</v>
      </c>
      <c r="BV47" s="45">
        <f t="shared" si="45"/>
        <v>51.024000000000001</v>
      </c>
      <c r="BW47" s="46">
        <f t="shared" si="46"/>
        <v>-3847.5000000000177</v>
      </c>
      <c r="BX47" s="47">
        <f t="shared" si="47"/>
        <v>13055.555555555558</v>
      </c>
      <c r="BY47" s="45">
        <f t="shared" si="48"/>
        <v>-3338.4999999997926</v>
      </c>
      <c r="CA47" s="129">
        <v>45820.625</v>
      </c>
      <c r="CB47" s="54">
        <v>106.71720000000001</v>
      </c>
      <c r="CC47" s="129">
        <v>45820.625</v>
      </c>
      <c r="CD47" s="54">
        <v>53.576999999999998</v>
      </c>
      <c r="CF47" s="131">
        <v>45943.625</v>
      </c>
      <c r="CG47" s="45">
        <f t="shared" si="18"/>
        <v>260.25400000000002</v>
      </c>
      <c r="CH47" s="46">
        <f t="shared" si="49"/>
        <v>13674.222222222181</v>
      </c>
      <c r="CI47" s="46">
        <f t="shared" si="50"/>
        <v>14506.172839506173</v>
      </c>
      <c r="CJ47" s="45">
        <f t="shared" si="51"/>
        <v>53.084000000000003</v>
      </c>
      <c r="CK47" s="46">
        <f t="shared" si="52"/>
        <v>7787.7999999999902</v>
      </c>
      <c r="CL47" s="47">
        <f t="shared" si="53"/>
        <v>13055.555555555558</v>
      </c>
      <c r="CM47" s="45">
        <f t="shared" si="54"/>
        <v>7337.0395061728086</v>
      </c>
      <c r="CO47" s="129">
        <v>45820.625</v>
      </c>
      <c r="CP47" s="54">
        <v>289.94499999999999</v>
      </c>
      <c r="CQ47" s="129">
        <v>45820.625</v>
      </c>
      <c r="CR47" s="54">
        <v>55.628</v>
      </c>
      <c r="CS47" s="54"/>
      <c r="CT47" s="54"/>
      <c r="CU47" s="54"/>
      <c r="CV47" s="54"/>
      <c r="CW47" s="54"/>
      <c r="CX47" s="54"/>
      <c r="CY47" s="54"/>
      <c r="DF47" s="142">
        <f t="shared" si="1"/>
        <v>45944.625</v>
      </c>
      <c r="DG47" s="58">
        <f t="shared" si="2"/>
        <v>-146935.20399598725</v>
      </c>
      <c r="DH47" s="58">
        <f t="shared" si="3"/>
        <v>-308327.44804738241</v>
      </c>
      <c r="DI47" s="58">
        <v>-3885.9999999999745</v>
      </c>
      <c r="DJ47" s="58">
        <v>5910.5037037036855</v>
      </c>
      <c r="DK47" s="58">
        <f t="shared" si="19"/>
        <v>910.07319429918425</v>
      </c>
      <c r="DL47" s="58">
        <f t="shared" si="19"/>
        <v>-73841.210769033787</v>
      </c>
      <c r="DM47" s="58">
        <f t="shared" si="19"/>
        <v>-547.5000000001819</v>
      </c>
      <c r="DN47" s="58">
        <f t="shared" si="19"/>
        <v>-1426.5358024691232</v>
      </c>
      <c r="DO47" s="58">
        <f t="shared" si="5"/>
        <v>910.07319429918425</v>
      </c>
      <c r="DP47" s="58">
        <f t="shared" si="5"/>
        <v>-69451.878259429184</v>
      </c>
      <c r="DQ47" s="58">
        <f t="shared" si="5"/>
        <v>-30648.243651024011</v>
      </c>
      <c r="DR47" s="58">
        <f t="shared" si="5"/>
        <v>-50009.897106373101</v>
      </c>
      <c r="DS47" s="58">
        <f>SUM(DO$15:DO47)</f>
        <v>-256446.25492457178</v>
      </c>
      <c r="DT47" s="58">
        <f>SUM(DP$15:DP47)</f>
        <v>-332528.68107674824</v>
      </c>
      <c r="DU47" s="58">
        <f>SUM(DQ$15:DQ47)</f>
        <v>-222654.59200347745</v>
      </c>
      <c r="DV47" s="58">
        <f>SUM(DR$15:DR47)</f>
        <v>-116287.74548272687</v>
      </c>
      <c r="DZ47" s="133">
        <v>45944.625</v>
      </c>
      <c r="EA47" s="54">
        <v>-256446.25492457178</v>
      </c>
      <c r="EB47" s="54">
        <v>-332528.68107674824</v>
      </c>
      <c r="EC47" s="54">
        <v>-222654.59200347745</v>
      </c>
      <c r="ED47" s="54">
        <v>-116287.74548272687</v>
      </c>
    </row>
    <row r="48" spans="1:134" x14ac:dyDescent="0.3">
      <c r="A48" s="142">
        <v>45894.625</v>
      </c>
      <c r="B48" s="76">
        <f t="shared" si="20"/>
        <v>94.76</v>
      </c>
      <c r="C48" s="31">
        <f t="shared" si="6"/>
        <v>228966.98615548215</v>
      </c>
      <c r="D48" s="32">
        <f t="shared" si="7"/>
        <v>-140999.99999999997</v>
      </c>
      <c r="E48" s="76">
        <f t="shared" si="21"/>
        <v>100.916</v>
      </c>
      <c r="F48" s="31">
        <f t="shared" si="8"/>
        <v>-65000.000000000568</v>
      </c>
      <c r="G48" s="32">
        <f t="shared" si="9"/>
        <v>-50199.847999999984</v>
      </c>
      <c r="H48" s="76">
        <f t="shared" si="22"/>
        <v>120.28</v>
      </c>
      <c r="I48" s="31">
        <f t="shared" si="10"/>
        <v>-571452.0098441384</v>
      </c>
      <c r="J48" s="32">
        <f t="shared" si="11"/>
        <v>-242519.99999999997</v>
      </c>
      <c r="K48" s="76">
        <f t="shared" si="23"/>
        <v>99.394999999999996</v>
      </c>
      <c r="L48" s="31">
        <f t="shared" si="12"/>
        <v>-149650.00000000373</v>
      </c>
      <c r="M48" s="32">
        <f t="shared" si="13"/>
        <v>-110418.35733333332</v>
      </c>
      <c r="N48" s="82">
        <f t="shared" si="14"/>
        <v>757070.48666628415</v>
      </c>
      <c r="O48" s="82"/>
      <c r="P48" s="82"/>
      <c r="Q48" s="82">
        <f>$G$5*SUM($O$14:O48)-$H$5*SUM($P$14:P48)</f>
        <v>-685953.76080000005</v>
      </c>
      <c r="R48" s="82">
        <f t="shared" si="15"/>
        <v>71116.725866284105</v>
      </c>
      <c r="S48" s="143"/>
      <c r="U48" s="75">
        <v>45821.625</v>
      </c>
      <c r="V48" s="54">
        <v>93.42</v>
      </c>
      <c r="W48" s="75">
        <v>45819.625</v>
      </c>
      <c r="X48" s="54">
        <v>101.398</v>
      </c>
      <c r="Y48" s="125">
        <v>45826.625</v>
      </c>
      <c r="Z48" s="54">
        <v>121.52</v>
      </c>
      <c r="AA48" s="75">
        <v>45909.625</v>
      </c>
      <c r="AB48" s="54">
        <v>99.885999999999996</v>
      </c>
      <c r="AF48" s="131">
        <v>45944.625</v>
      </c>
      <c r="AG48" s="45">
        <f t="shared" si="24"/>
        <v>80.540000000000006</v>
      </c>
      <c r="AH48" s="46">
        <f t="shared" si="25"/>
        <v>-185871.31036185921</v>
      </c>
      <c r="AI48" s="46">
        <f t="shared" si="55"/>
        <v>-197400</v>
      </c>
      <c r="AJ48" s="45">
        <f t="shared" si="27"/>
        <v>100.1328125</v>
      </c>
      <c r="AK48" s="46">
        <f t="shared" si="28"/>
        <v>94453.125</v>
      </c>
      <c r="AL48" s="47">
        <f t="shared" si="56"/>
        <v>-15343.3515625</v>
      </c>
      <c r="AM48" s="45">
        <f t="shared" si="30"/>
        <v>112.1</v>
      </c>
      <c r="AN48" s="46">
        <f t="shared" si="31"/>
        <v>677269.83549940737</v>
      </c>
      <c r="AO48" s="47">
        <f t="shared" si="57"/>
        <v>-203040</v>
      </c>
      <c r="AP48" s="45">
        <f t="shared" si="33"/>
        <v>100.1328125</v>
      </c>
      <c r="AQ48" s="46">
        <f t="shared" si="34"/>
        <v>82343.75</v>
      </c>
      <c r="AR48" s="47">
        <f t="shared" si="58"/>
        <v>-13376.255208333328</v>
      </c>
      <c r="AS48" s="45">
        <f t="shared" si="36"/>
        <v>101.859375</v>
      </c>
      <c r="AT48" s="46">
        <f t="shared" si="37"/>
        <v>130078.12500000001</v>
      </c>
      <c r="AU48" s="47">
        <f t="shared" si="59"/>
        <v>147.125</v>
      </c>
      <c r="AV48" s="45">
        <f t="shared" si="39"/>
        <v>102.140625</v>
      </c>
      <c r="AW48" s="46">
        <f t="shared" si="40"/>
        <v>492187.5</v>
      </c>
      <c r="AX48" s="47">
        <f t="shared" si="60"/>
        <v>8788.2593750000087</v>
      </c>
      <c r="AY48" s="82">
        <f t="shared" si="61"/>
        <v>-236442.4151321</v>
      </c>
      <c r="AZ48" s="82"/>
      <c r="BA48" s="82"/>
      <c r="BB48" s="82">
        <f>$AO$4*SUM($AZ$14:AZ48)-$AP$4*SUM($BA$14:BA48)</f>
        <v>71885.032915282383</v>
      </c>
      <c r="BC48" s="82">
        <f t="shared" si="16"/>
        <v>-308327.44804738241</v>
      </c>
      <c r="BE48" s="75">
        <v>45818.625</v>
      </c>
      <c r="BF48" s="54">
        <v>79.53</v>
      </c>
      <c r="BI48" s="75">
        <v>45818.625</v>
      </c>
      <c r="BJ48" s="54">
        <v>107.5</v>
      </c>
      <c r="BM48" s="75">
        <v>45938.625</v>
      </c>
      <c r="BN48" s="54">
        <v>100.953125</v>
      </c>
      <c r="BO48" s="75">
        <v>45939.625</v>
      </c>
      <c r="BP48" s="54">
        <v>100.390625</v>
      </c>
      <c r="BR48" s="131">
        <v>45944.625</v>
      </c>
      <c r="BS48" s="45">
        <f t="shared" si="17"/>
        <v>107.4841</v>
      </c>
      <c r="BT48" s="46">
        <f t="shared" si="43"/>
        <v>2252.0000000000095</v>
      </c>
      <c r="BU48" s="46">
        <f t="shared" si="44"/>
        <v>13333.333333333336</v>
      </c>
      <c r="BV48" s="45">
        <f t="shared" si="45"/>
        <v>48.805</v>
      </c>
      <c r="BW48" s="46">
        <f t="shared" si="46"/>
        <v>6137.9999999999873</v>
      </c>
      <c r="BX48" s="47">
        <f t="shared" si="47"/>
        <v>13333.333333333332</v>
      </c>
      <c r="BY48" s="45">
        <f t="shared" si="48"/>
        <v>-3885.9999999999745</v>
      </c>
      <c r="CA48" s="129">
        <v>45821.625</v>
      </c>
      <c r="CB48" s="54">
        <v>106.2491</v>
      </c>
      <c r="CC48" s="129">
        <v>45821.625</v>
      </c>
      <c r="CD48" s="54">
        <v>56.162999999999997</v>
      </c>
      <c r="CF48" s="131">
        <v>45944.625</v>
      </c>
      <c r="CG48" s="45">
        <f t="shared" si="18"/>
        <v>257.16699999999997</v>
      </c>
      <c r="CH48" s="46">
        <f t="shared" si="49"/>
        <v>16692.622222222224</v>
      </c>
      <c r="CI48" s="46">
        <f t="shared" si="50"/>
        <v>14814.814814814816</v>
      </c>
      <c r="CJ48" s="45">
        <f t="shared" si="51"/>
        <v>52.110999999999997</v>
      </c>
      <c r="CK48" s="46">
        <f t="shared" si="52"/>
        <v>12263.600000000019</v>
      </c>
      <c r="CL48" s="47">
        <f t="shared" si="53"/>
        <v>13333.333333333332</v>
      </c>
      <c r="CM48" s="45">
        <f t="shared" si="54"/>
        <v>5910.5037037036855</v>
      </c>
      <c r="CO48" s="129">
        <v>45821.625</v>
      </c>
      <c r="CP48" s="54">
        <v>299.64600000000002</v>
      </c>
      <c r="CQ48" s="129">
        <v>45821.625</v>
      </c>
      <c r="CR48" s="54">
        <v>57.968000000000004</v>
      </c>
      <c r="CS48" s="54"/>
      <c r="CT48" s="54"/>
      <c r="CU48" s="54"/>
      <c r="CV48" s="54"/>
      <c r="CW48" s="54"/>
      <c r="CX48" s="54"/>
      <c r="CY48" s="54"/>
      <c r="DF48" s="142">
        <f t="shared" si="1"/>
        <v>45945.625</v>
      </c>
      <c r="DG48" s="58">
        <f t="shared" si="2"/>
        <v>-86411.419812810724</v>
      </c>
      <c r="DH48" s="58">
        <f t="shared" si="3"/>
        <v>-225204.88409246295</v>
      </c>
      <c r="DI48" s="58">
        <v>-2358.9999999997999</v>
      </c>
      <c r="DJ48" s="58">
        <v>7125.3012345678944</v>
      </c>
      <c r="DK48" s="58">
        <f t="shared" si="19"/>
        <v>60523.784183176525</v>
      </c>
      <c r="DL48" s="58">
        <f t="shared" si="19"/>
        <v>83122.56395491946</v>
      </c>
      <c r="DM48" s="58">
        <f t="shared" si="19"/>
        <v>1527.0000000001746</v>
      </c>
      <c r="DN48" s="58">
        <f t="shared" si="19"/>
        <v>1214.797530864209</v>
      </c>
      <c r="DO48" s="58">
        <f t="shared" si="5"/>
        <v>60523.784183176525</v>
      </c>
      <c r="DP48" s="58">
        <f t="shared" si="5"/>
        <v>78181.521297991334</v>
      </c>
      <c r="DQ48" s="58">
        <f t="shared" si="5"/>
        <v>85479.211059549707</v>
      </c>
      <c r="DR48" s="58">
        <f t="shared" si="5"/>
        <v>42587.013531972079</v>
      </c>
      <c r="DS48" s="58">
        <f>SUM(DO$15:DO48)</f>
        <v>-195922.47074139526</v>
      </c>
      <c r="DT48" s="58">
        <f>SUM(DP$15:DP48)</f>
        <v>-254347.1597787569</v>
      </c>
      <c r="DU48" s="58">
        <f>SUM(DQ$15:DQ48)</f>
        <v>-137175.38094392774</v>
      </c>
      <c r="DV48" s="58">
        <f>SUM(DR$15:DR48)</f>
        <v>-73700.731950754795</v>
      </c>
      <c r="DZ48" s="133">
        <v>45945.625</v>
      </c>
      <c r="EA48" s="54">
        <v>-195922.47074139526</v>
      </c>
      <c r="EB48" s="54">
        <v>-254347.1597787569</v>
      </c>
      <c r="EC48" s="54">
        <v>-137175.38094392774</v>
      </c>
      <c r="ED48" s="54">
        <v>-73700.731950754795</v>
      </c>
    </row>
    <row r="49" spans="1:134" x14ac:dyDescent="0.3">
      <c r="A49" s="142">
        <v>45895.625</v>
      </c>
      <c r="B49" s="76">
        <f t="shared" si="20"/>
        <v>94.59</v>
      </c>
      <c r="C49" s="31">
        <f t="shared" si="6"/>
        <v>183706.07028753706</v>
      </c>
      <c r="D49" s="32">
        <f t="shared" si="7"/>
        <v>-143937.49999999997</v>
      </c>
      <c r="E49" s="76">
        <f t="shared" si="21"/>
        <v>101.051</v>
      </c>
      <c r="F49" s="31">
        <f t="shared" si="8"/>
        <v>-37999.999999999542</v>
      </c>
      <c r="G49" s="32">
        <f t="shared" si="9"/>
        <v>-51245.678166666636</v>
      </c>
      <c r="H49" s="76">
        <f t="shared" si="22"/>
        <v>120.28</v>
      </c>
      <c r="I49" s="31">
        <f t="shared" si="10"/>
        <v>-571452.0098441384</v>
      </c>
      <c r="J49" s="32">
        <f t="shared" si="11"/>
        <v>-247572.49999999994</v>
      </c>
      <c r="K49" s="76">
        <f t="shared" si="23"/>
        <v>99.643000000000001</v>
      </c>
      <c r="L49" s="31">
        <f t="shared" si="12"/>
        <v>-47970.000000001812</v>
      </c>
      <c r="M49" s="32">
        <f t="shared" si="13"/>
        <v>-112718.73977777774</v>
      </c>
      <c r="N49" s="82">
        <f t="shared" si="14"/>
        <v>787350.01852056209</v>
      </c>
      <c r="O49" s="82"/>
      <c r="P49" s="82"/>
      <c r="Q49" s="82">
        <f>$G$5*SUM($O$14:O49)-$H$5*SUM($P$14:P49)</f>
        <v>-685953.76080000005</v>
      </c>
      <c r="R49" s="82">
        <f t="shared" si="15"/>
        <v>101396.25772056205</v>
      </c>
      <c r="S49" s="143"/>
      <c r="U49" s="75">
        <v>45824.625</v>
      </c>
      <c r="V49" s="54">
        <v>93.76</v>
      </c>
      <c r="W49" s="75">
        <v>45820.625</v>
      </c>
      <c r="X49" s="54">
        <v>101.509</v>
      </c>
      <c r="Y49" s="125">
        <v>45827.625</v>
      </c>
      <c r="Z49" s="54">
        <v>121.37</v>
      </c>
      <c r="AA49" s="75">
        <v>45910.625</v>
      </c>
      <c r="AB49" s="54">
        <v>99.86</v>
      </c>
      <c r="AF49" s="131">
        <v>45945.625</v>
      </c>
      <c r="AG49" s="45">
        <f t="shared" si="24"/>
        <v>80.8</v>
      </c>
      <c r="AH49" s="46">
        <f t="shared" si="25"/>
        <v>-73484.006422130929</v>
      </c>
      <c r="AI49" s="46">
        <f t="shared" si="55"/>
        <v>-201512.49999999994</v>
      </c>
      <c r="AJ49" s="45">
        <f t="shared" si="27"/>
        <v>100.0234375</v>
      </c>
      <c r="AK49" s="46">
        <f t="shared" si="28"/>
        <v>73125</v>
      </c>
      <c r="AL49" s="47">
        <f t="shared" si="56"/>
        <v>-15663.004720052078</v>
      </c>
      <c r="AM49" s="45">
        <f t="shared" si="30"/>
        <v>112.1</v>
      </c>
      <c r="AN49" s="46">
        <f t="shared" si="31"/>
        <v>677269.83549940737</v>
      </c>
      <c r="AO49" s="47">
        <f t="shared" si="57"/>
        <v>-207270</v>
      </c>
      <c r="AP49" s="45">
        <f t="shared" si="33"/>
        <v>100.0234375</v>
      </c>
      <c r="AQ49" s="46">
        <f t="shared" si="34"/>
        <v>63750</v>
      </c>
      <c r="AR49" s="47">
        <f t="shared" si="58"/>
        <v>-13654.927191840281</v>
      </c>
      <c r="AS49" s="45">
        <f t="shared" si="36"/>
        <v>101.734375</v>
      </c>
      <c r="AT49" s="46">
        <f t="shared" si="37"/>
        <v>120703.125</v>
      </c>
      <c r="AU49" s="47">
        <f t="shared" si="59"/>
        <v>150.19010416667152</v>
      </c>
      <c r="AV49" s="45">
        <f t="shared" si="39"/>
        <v>101.921875</v>
      </c>
      <c r="AW49" s="46">
        <f t="shared" si="40"/>
        <v>469218.75</v>
      </c>
      <c r="AX49" s="47">
        <f t="shared" si="60"/>
        <v>8971.3481119791686</v>
      </c>
      <c r="AY49" s="82">
        <f t="shared" si="61"/>
        <v>-153319.85117718056</v>
      </c>
      <c r="AZ49" s="82"/>
      <c r="BA49" s="82"/>
      <c r="BB49" s="82">
        <f>$AO$4*SUM($AZ$14:AZ49)-$AP$4*SUM($BA$14:BA49)</f>
        <v>71885.032915282383</v>
      </c>
      <c r="BC49" s="82">
        <f t="shared" si="16"/>
        <v>-225204.88409246295</v>
      </c>
      <c r="BE49" s="75">
        <v>45819.625</v>
      </c>
      <c r="BF49" s="54">
        <v>79.510000000000005</v>
      </c>
      <c r="BI49" s="75">
        <v>45819.625</v>
      </c>
      <c r="BJ49" s="54">
        <v>107.84</v>
      </c>
      <c r="BM49" s="75">
        <v>45939.625</v>
      </c>
      <c r="BN49" s="54">
        <v>100.875</v>
      </c>
      <c r="BO49" s="75">
        <v>45940.625</v>
      </c>
      <c r="BP49" s="54">
        <v>101.875</v>
      </c>
      <c r="BR49" s="131">
        <v>45945.625</v>
      </c>
      <c r="BS49" s="45">
        <f t="shared" si="17"/>
        <v>107.62390000000001</v>
      </c>
      <c r="BT49" s="46">
        <f t="shared" si="43"/>
        <v>5048.0000000001719</v>
      </c>
      <c r="BU49" s="46">
        <f t="shared" si="44"/>
        <v>13611.111111111109</v>
      </c>
      <c r="BV49" s="45">
        <f t="shared" si="45"/>
        <v>48.523000000000003</v>
      </c>
      <c r="BW49" s="46">
        <f t="shared" si="46"/>
        <v>7406.9999999999709</v>
      </c>
      <c r="BX49" s="47">
        <f t="shared" si="47"/>
        <v>13611.111111111109</v>
      </c>
      <c r="BY49" s="45">
        <f t="shared" si="48"/>
        <v>-2358.9999999997999</v>
      </c>
      <c r="CA49" s="129">
        <v>45824.625</v>
      </c>
      <c r="CB49" s="54">
        <v>106.6006</v>
      </c>
      <c r="CC49" s="129">
        <v>45824.625</v>
      </c>
      <c r="CD49" s="54">
        <v>54.46</v>
      </c>
      <c r="CF49" s="131">
        <v>45945.625</v>
      </c>
      <c r="CG49" s="45">
        <f t="shared" si="18"/>
        <v>245.131</v>
      </c>
      <c r="CH49" s="46">
        <f t="shared" si="49"/>
        <v>28461.155555555535</v>
      </c>
      <c r="CI49" s="46">
        <f t="shared" si="50"/>
        <v>15123.456790123455</v>
      </c>
      <c r="CJ49" s="45">
        <f t="shared" si="51"/>
        <v>49.81</v>
      </c>
      <c r="CK49" s="46">
        <f t="shared" si="52"/>
        <v>22848.19999999999</v>
      </c>
      <c r="CL49" s="47">
        <f t="shared" si="53"/>
        <v>13611.111111111109</v>
      </c>
      <c r="CM49" s="45">
        <f t="shared" si="54"/>
        <v>7125.3012345678944</v>
      </c>
      <c r="CO49" s="129">
        <v>45824.625</v>
      </c>
      <c r="CP49" s="54">
        <v>290.31200000000001</v>
      </c>
      <c r="CQ49" s="129">
        <v>45824.625</v>
      </c>
      <c r="CR49" s="54">
        <v>55.962000000000003</v>
      </c>
      <c r="CS49" s="54"/>
      <c r="CT49" s="54"/>
      <c r="CU49" s="54"/>
      <c r="CV49" s="54"/>
      <c r="CW49" s="54"/>
      <c r="CX49" s="54"/>
      <c r="CY49" s="54"/>
      <c r="DF49" s="142">
        <f t="shared" si="1"/>
        <v>45946.625</v>
      </c>
      <c r="DG49" s="58">
        <f t="shared" si="2"/>
        <v>-132452.11124250438</v>
      </c>
      <c r="DH49" s="58">
        <f t="shared" si="3"/>
        <v>-347062.47488751484</v>
      </c>
      <c r="DI49" s="58">
        <v>-3430.4999999999472</v>
      </c>
      <c r="DJ49" s="58">
        <v>5217.7876543209713</v>
      </c>
      <c r="DK49" s="58">
        <f t="shared" si="19"/>
        <v>-46040.691429693659</v>
      </c>
      <c r="DL49" s="58">
        <f t="shared" si="19"/>
        <v>-121857.59079505189</v>
      </c>
      <c r="DM49" s="58">
        <f t="shared" si="19"/>
        <v>-1071.5000000001473</v>
      </c>
      <c r="DN49" s="58">
        <f t="shared" si="19"/>
        <v>-1907.5135802469231</v>
      </c>
      <c r="DO49" s="58">
        <f t="shared" si="5"/>
        <v>-46040.691429693659</v>
      </c>
      <c r="DP49" s="58">
        <f t="shared" si="5"/>
        <v>-114614.02748875895</v>
      </c>
      <c r="DQ49" s="58">
        <f t="shared" si="5"/>
        <v>-59980.991912449004</v>
      </c>
      <c r="DR49" s="58">
        <f t="shared" si="5"/>
        <v>-66871.478242637924</v>
      </c>
      <c r="DS49" s="58">
        <f>SUM(DO$15:DO49)</f>
        <v>-241963.16217108892</v>
      </c>
      <c r="DT49" s="58">
        <f>SUM(DP$15:DP49)</f>
        <v>-368961.18726751587</v>
      </c>
      <c r="DU49" s="58">
        <f>SUM(DQ$15:DQ49)</f>
        <v>-197156.37285637675</v>
      </c>
      <c r="DV49" s="58">
        <f>SUM(DR$15:DR49)</f>
        <v>-140572.2101933927</v>
      </c>
      <c r="DZ49" s="133">
        <v>45946.625</v>
      </c>
      <c r="EA49" s="54">
        <v>-241963.16217108892</v>
      </c>
      <c r="EB49" s="54">
        <v>-368961.18726751587</v>
      </c>
      <c r="EC49" s="54">
        <v>-197156.37285637675</v>
      </c>
      <c r="ED49" s="54">
        <v>-140572.2101933927</v>
      </c>
    </row>
    <row r="50" spans="1:134" x14ac:dyDescent="0.3">
      <c r="A50" s="142">
        <v>45896.625</v>
      </c>
      <c r="B50" s="76">
        <f t="shared" si="20"/>
        <v>94.56</v>
      </c>
      <c r="C50" s="31">
        <f t="shared" si="6"/>
        <v>175718.84984025621</v>
      </c>
      <c r="D50" s="32">
        <f t="shared" si="7"/>
        <v>-146875</v>
      </c>
      <c r="E50" s="76">
        <f t="shared" si="21"/>
        <v>101.142</v>
      </c>
      <c r="F50" s="31">
        <f t="shared" si="8"/>
        <v>-19800.000000000749</v>
      </c>
      <c r="G50" s="32">
        <f t="shared" si="9"/>
        <v>-52291.508333333331</v>
      </c>
      <c r="H50" s="76">
        <f t="shared" si="22"/>
        <v>120.28</v>
      </c>
      <c r="I50" s="31">
        <f t="shared" si="10"/>
        <v>-571452.0098441384</v>
      </c>
      <c r="J50" s="32">
        <f t="shared" si="11"/>
        <v>-252625</v>
      </c>
      <c r="K50" s="76">
        <f t="shared" si="23"/>
        <v>99.801000000000002</v>
      </c>
      <c r="L50" s="31">
        <f t="shared" si="12"/>
        <v>16809.999999998694</v>
      </c>
      <c r="M50" s="32">
        <f t="shared" si="13"/>
        <v>-115019.12222222221</v>
      </c>
      <c r="N50" s="82">
        <f t="shared" si="14"/>
        <v>826803.24579550512</v>
      </c>
      <c r="O50" s="82"/>
      <c r="P50" s="82"/>
      <c r="Q50" s="82">
        <f>$G$5*SUM($O$14:O50)-$H$5*SUM($P$14:P50)</f>
        <v>-685953.76080000005</v>
      </c>
      <c r="R50" s="82">
        <f t="shared" si="15"/>
        <v>140849.48499550507</v>
      </c>
      <c r="S50" s="143"/>
      <c r="U50" s="75">
        <v>45825.625</v>
      </c>
      <c r="V50" s="54">
        <v>93.56</v>
      </c>
      <c r="W50" s="75">
        <v>45821.625</v>
      </c>
      <c r="X50" s="54">
        <v>101.375</v>
      </c>
      <c r="Y50" s="125">
        <v>45828.625</v>
      </c>
      <c r="Z50" s="54">
        <v>121.48</v>
      </c>
      <c r="AA50" s="75">
        <v>45911.625</v>
      </c>
      <c r="AB50" s="54">
        <v>99.715000000000003</v>
      </c>
      <c r="AF50" s="131">
        <v>45946.625</v>
      </c>
      <c r="AG50" s="45">
        <f t="shared" si="24"/>
        <v>80.510000000000005</v>
      </c>
      <c r="AH50" s="46">
        <f t="shared" si="25"/>
        <v>-198839.07620105834</v>
      </c>
      <c r="AI50" s="46">
        <f t="shared" si="55"/>
        <v>-205624.99999999997</v>
      </c>
      <c r="AJ50" s="45">
        <f t="shared" si="27"/>
        <v>100.359375</v>
      </c>
      <c r="AK50" s="46">
        <f t="shared" si="28"/>
        <v>138632.8125</v>
      </c>
      <c r="AL50" s="47">
        <f t="shared" si="56"/>
        <v>-15982.657877604172</v>
      </c>
      <c r="AM50" s="45">
        <f t="shared" si="30"/>
        <v>112.42</v>
      </c>
      <c r="AN50" s="46">
        <f t="shared" si="31"/>
        <v>781968.55403072259</v>
      </c>
      <c r="AO50" s="47">
        <f t="shared" si="57"/>
        <v>-211500</v>
      </c>
      <c r="AP50" s="45">
        <f t="shared" si="33"/>
        <v>100.359375</v>
      </c>
      <c r="AQ50" s="46">
        <f t="shared" si="34"/>
        <v>120859.375</v>
      </c>
      <c r="AR50" s="47">
        <f t="shared" si="58"/>
        <v>-13933.599175347219</v>
      </c>
      <c r="AS50" s="45">
        <f t="shared" si="36"/>
        <v>102.234375</v>
      </c>
      <c r="AT50" s="46">
        <f t="shared" si="37"/>
        <v>158203.125</v>
      </c>
      <c r="AU50" s="47">
        <f t="shared" si="59"/>
        <v>153.25520833334303</v>
      </c>
      <c r="AV50" s="45">
        <f t="shared" si="39"/>
        <v>102.671875</v>
      </c>
      <c r="AW50" s="46">
        <f t="shared" si="40"/>
        <v>547968.75</v>
      </c>
      <c r="AX50" s="47">
        <f t="shared" si="60"/>
        <v>9154.436848958343</v>
      </c>
      <c r="AY50" s="82">
        <f t="shared" si="61"/>
        <v>-275177.44197223242</v>
      </c>
      <c r="AZ50" s="82"/>
      <c r="BA50" s="82"/>
      <c r="BB50" s="82">
        <f>$AO$4*SUM($AZ$14:AZ50)-$AP$4*SUM($BA$14:BA50)</f>
        <v>71885.032915282383</v>
      </c>
      <c r="BC50" s="82">
        <f t="shared" si="16"/>
        <v>-347062.47488751484</v>
      </c>
      <c r="BE50" s="75">
        <v>45820.625</v>
      </c>
      <c r="BF50" s="54">
        <v>79.599999999999994</v>
      </c>
      <c r="BI50" s="75">
        <v>45820.625</v>
      </c>
      <c r="BJ50" s="54">
        <v>108.44</v>
      </c>
      <c r="BM50" s="75">
        <v>45940.625</v>
      </c>
      <c r="BN50" s="54">
        <v>101.578125</v>
      </c>
      <c r="BO50" s="75">
        <v>45943.625</v>
      </c>
      <c r="BP50" s="54">
        <v>102.109375</v>
      </c>
      <c r="BR50" s="131">
        <v>45946.625</v>
      </c>
      <c r="BS50" s="45">
        <f t="shared" si="17"/>
        <v>107.2029</v>
      </c>
      <c r="BT50" s="46">
        <f t="shared" si="43"/>
        <v>-3371.9999999999573</v>
      </c>
      <c r="BU50" s="46">
        <f t="shared" si="44"/>
        <v>13888.888888888891</v>
      </c>
      <c r="BV50" s="45">
        <f t="shared" si="45"/>
        <v>50.155999999999999</v>
      </c>
      <c r="BW50" s="46">
        <f t="shared" si="46"/>
        <v>58.499999999991566</v>
      </c>
      <c r="BX50" s="47">
        <f t="shared" si="47"/>
        <v>13888.888888888891</v>
      </c>
      <c r="BY50" s="45">
        <f t="shared" si="48"/>
        <v>-3430.4999999999472</v>
      </c>
      <c r="CA50" s="129">
        <v>45825.625</v>
      </c>
      <c r="CB50" s="54">
        <v>106.1914</v>
      </c>
      <c r="CC50" s="129">
        <v>45825.625</v>
      </c>
      <c r="CD50" s="54">
        <v>56.384</v>
      </c>
      <c r="CF50" s="131">
        <v>45946.625</v>
      </c>
      <c r="CG50" s="45">
        <f t="shared" si="18"/>
        <v>250.49600000000001</v>
      </c>
      <c r="CH50" s="46">
        <f t="shared" si="49"/>
        <v>23215.377777777747</v>
      </c>
      <c r="CI50" s="46">
        <f t="shared" si="50"/>
        <v>15432.0987654321</v>
      </c>
      <c r="CJ50" s="45">
        <f t="shared" si="51"/>
        <v>50.529000000000003</v>
      </c>
      <c r="CK50" s="46">
        <f t="shared" si="52"/>
        <v>19540.799999999988</v>
      </c>
      <c r="CL50" s="47">
        <f t="shared" si="53"/>
        <v>13888.888888888891</v>
      </c>
      <c r="CM50" s="45">
        <f t="shared" si="54"/>
        <v>5217.7876543209713</v>
      </c>
      <c r="CO50" s="129">
        <v>45825.625</v>
      </c>
      <c r="CP50" s="54">
        <v>296.12900000000002</v>
      </c>
      <c r="CQ50" s="129">
        <v>45825.625</v>
      </c>
      <c r="CR50" s="54">
        <v>57.487000000000002</v>
      </c>
      <c r="CS50" s="54"/>
      <c r="CT50" s="54"/>
      <c r="CU50" s="54"/>
      <c r="CV50" s="54"/>
      <c r="CW50" s="54"/>
      <c r="CX50" s="54"/>
      <c r="CY50" s="54"/>
      <c r="DF50" s="142"/>
      <c r="DG50" s="58"/>
      <c r="DH50" s="58"/>
      <c r="DI50" s="58"/>
      <c r="DJ50" s="58"/>
      <c r="DK50" s="58"/>
      <c r="DL50" s="58"/>
      <c r="DM50" s="58"/>
      <c r="DN50" s="58"/>
      <c r="DO50" s="58"/>
      <c r="DP50" s="58"/>
      <c r="DZ50" s="133"/>
    </row>
    <row r="51" spans="1:134" x14ac:dyDescent="0.3">
      <c r="A51" s="142">
        <v>45897.625</v>
      </c>
      <c r="B51" s="76">
        <f t="shared" si="20"/>
        <v>94.44</v>
      </c>
      <c r="C51" s="31">
        <f t="shared" si="6"/>
        <v>143769.96805111619</v>
      </c>
      <c r="D51" s="32">
        <f t="shared" si="7"/>
        <v>-149812.5</v>
      </c>
      <c r="E51" s="76">
        <f t="shared" si="21"/>
        <v>101.092</v>
      </c>
      <c r="F51" s="31">
        <f t="shared" si="8"/>
        <v>-29800.000000000182</v>
      </c>
      <c r="G51" s="32">
        <f t="shared" si="9"/>
        <v>-53337.338499999983</v>
      </c>
      <c r="H51" s="76">
        <f t="shared" si="22"/>
        <v>120.28</v>
      </c>
      <c r="I51" s="31">
        <f t="shared" si="10"/>
        <v>-571452.0098441384</v>
      </c>
      <c r="J51" s="32">
        <f t="shared" si="11"/>
        <v>-257677.49999999997</v>
      </c>
      <c r="K51" s="76">
        <f t="shared" si="23"/>
        <v>99.775999999999996</v>
      </c>
      <c r="L51" s="31">
        <f t="shared" si="12"/>
        <v>6559.9999999963647</v>
      </c>
      <c r="M51" s="32">
        <f t="shared" si="13"/>
        <v>-117319.50466666663</v>
      </c>
      <c r="N51" s="82">
        <f t="shared" si="14"/>
        <v>795464.81172858458</v>
      </c>
      <c r="O51" s="82"/>
      <c r="P51" s="82"/>
      <c r="Q51" s="82">
        <f>$G$5*SUM($O$14:O51)-$H$5*SUM($P$14:P51)</f>
        <v>-685953.76080000005</v>
      </c>
      <c r="R51" s="82">
        <f t="shared" si="15"/>
        <v>109511.05092858453</v>
      </c>
      <c r="S51" s="143"/>
      <c r="U51" s="75">
        <v>45826.625</v>
      </c>
      <c r="V51" s="54">
        <v>93.37</v>
      </c>
      <c r="W51" s="75">
        <v>45824.625</v>
      </c>
      <c r="X51" s="54">
        <v>101.402</v>
      </c>
      <c r="Y51" s="125">
        <v>45831.625</v>
      </c>
      <c r="Z51" s="54">
        <v>121.56</v>
      </c>
      <c r="AA51" s="75">
        <v>45912.625</v>
      </c>
      <c r="AB51" s="54">
        <v>99.519000000000005</v>
      </c>
      <c r="AF51" s="131"/>
      <c r="AG51" s="45"/>
      <c r="AH51" s="31"/>
      <c r="AI51" s="31"/>
      <c r="AJ51" s="4"/>
      <c r="AK51" s="31"/>
      <c r="AL51" s="32"/>
      <c r="AM51" s="4"/>
      <c r="AN51" s="31"/>
      <c r="AO51" s="32"/>
      <c r="AP51" s="4"/>
      <c r="AQ51" s="31"/>
      <c r="AR51" s="32"/>
      <c r="AS51" s="4"/>
      <c r="AT51" s="31"/>
      <c r="AU51" s="32"/>
      <c r="AV51" s="4"/>
      <c r="AW51" s="31"/>
      <c r="AX51" s="32"/>
      <c r="AY51" s="38"/>
      <c r="AZ51" s="38"/>
      <c r="BA51" s="38"/>
      <c r="BB51" s="38"/>
      <c r="BC51" s="38"/>
      <c r="BE51" s="75">
        <v>45821.625</v>
      </c>
      <c r="BF51" s="54">
        <v>79.36</v>
      </c>
      <c r="BI51" s="75">
        <v>45821.625</v>
      </c>
      <c r="BJ51" s="54">
        <v>107.79</v>
      </c>
      <c r="BM51" s="75">
        <v>45943.625</v>
      </c>
      <c r="BN51" s="54">
        <v>101.75</v>
      </c>
      <c r="BO51" s="75">
        <v>45944.625</v>
      </c>
      <c r="BP51" s="54">
        <v>102.140625</v>
      </c>
      <c r="BR51" s="131"/>
      <c r="BS51" s="45"/>
      <c r="BT51" s="31"/>
      <c r="BU51" s="31"/>
      <c r="BV51" s="4"/>
      <c r="BW51" s="31"/>
      <c r="BX51" s="32"/>
      <c r="BY51" s="4"/>
      <c r="CA51" s="129">
        <v>45826.625</v>
      </c>
      <c r="CB51" s="54">
        <v>106.2077</v>
      </c>
      <c r="CC51" s="129">
        <v>45826.625</v>
      </c>
      <c r="CD51" s="54">
        <v>56.225000000000001</v>
      </c>
      <c r="CO51" s="129">
        <v>45826.625</v>
      </c>
      <c r="CP51" s="54">
        <v>299.76400000000001</v>
      </c>
      <c r="CQ51" s="129">
        <v>45826.625</v>
      </c>
      <c r="CR51" s="54">
        <v>58.424999999999997</v>
      </c>
    </row>
    <row r="52" spans="1:134" x14ac:dyDescent="0.3">
      <c r="A52" s="142">
        <v>45898.625</v>
      </c>
      <c r="B52" s="76">
        <f t="shared" si="20"/>
        <v>94.44</v>
      </c>
      <c r="C52" s="31">
        <f t="shared" si="6"/>
        <v>143769.96805111619</v>
      </c>
      <c r="D52" s="32">
        <f t="shared" si="7"/>
        <v>-152749.99999999997</v>
      </c>
      <c r="E52" s="76">
        <f t="shared" si="21"/>
        <v>101.096</v>
      </c>
      <c r="F52" s="31">
        <f t="shared" si="8"/>
        <v>-28999.999999999203</v>
      </c>
      <c r="G52" s="32">
        <f t="shared" si="9"/>
        <v>-54383.168666666665</v>
      </c>
      <c r="H52" s="76">
        <f t="shared" si="22"/>
        <v>120.25</v>
      </c>
      <c r="I52" s="31">
        <f t="shared" si="10"/>
        <v>-582034.45447087905</v>
      </c>
      <c r="J52" s="32">
        <f t="shared" si="11"/>
        <v>-262729.99999999994</v>
      </c>
      <c r="K52" s="76">
        <f t="shared" si="23"/>
        <v>99.783000000000001</v>
      </c>
      <c r="L52" s="31">
        <f t="shared" si="12"/>
        <v>9429.9999999984157</v>
      </c>
      <c r="M52" s="32">
        <f t="shared" si="13"/>
        <v>-119619.88711111112</v>
      </c>
      <c r="N52" s="82">
        <f t="shared" si="14"/>
        <v>808977.70407754835</v>
      </c>
      <c r="O52" s="82"/>
      <c r="P52" s="82"/>
      <c r="Q52" s="82">
        <f>$G$5*SUM($O$14:O52)-$H$5*SUM($P$14:P52)</f>
        <v>-685953.76080000005</v>
      </c>
      <c r="R52" s="82">
        <f t="shared" si="15"/>
        <v>123023.9432775483</v>
      </c>
      <c r="S52" s="143"/>
      <c r="U52" s="75">
        <v>45827.625</v>
      </c>
      <c r="V52" s="54">
        <v>93.19</v>
      </c>
      <c r="W52" s="75">
        <v>45825.625</v>
      </c>
      <c r="X52" s="54">
        <v>101.369</v>
      </c>
      <c r="Y52" s="125">
        <v>45832.625</v>
      </c>
      <c r="Z52" s="54">
        <v>121.66</v>
      </c>
      <c r="AA52" s="75">
        <v>45915.625</v>
      </c>
      <c r="AB52" s="54">
        <v>99.558000000000007</v>
      </c>
      <c r="AF52" s="131"/>
      <c r="AG52" s="45"/>
      <c r="AH52" s="31"/>
      <c r="AI52" s="31"/>
      <c r="AJ52" s="4"/>
      <c r="AK52" s="31"/>
      <c r="AL52" s="32"/>
      <c r="AM52" s="4"/>
      <c r="AN52" s="31"/>
      <c r="AO52" s="32"/>
      <c r="AP52" s="4"/>
      <c r="AQ52" s="31"/>
      <c r="AR52" s="32"/>
      <c r="AS52" s="4"/>
      <c r="AT52" s="31"/>
      <c r="AU52" s="32"/>
      <c r="AV52" s="4"/>
      <c r="AW52" s="31"/>
      <c r="AX52" s="32"/>
      <c r="AY52" s="38"/>
      <c r="AZ52" s="38"/>
      <c r="BA52" s="38"/>
      <c r="BB52" s="38"/>
      <c r="BC52" s="38"/>
      <c r="BE52" s="75">
        <v>45824.625</v>
      </c>
      <c r="BF52" s="54">
        <v>79.52</v>
      </c>
      <c r="BI52" s="75">
        <v>45824.625</v>
      </c>
      <c r="BJ52" s="54">
        <v>107.6</v>
      </c>
      <c r="BM52" s="75">
        <v>45944.625</v>
      </c>
      <c r="BN52" s="54">
        <v>101.859375</v>
      </c>
      <c r="BO52" s="75">
        <v>45945.625</v>
      </c>
      <c r="BP52" s="54">
        <v>101.921875</v>
      </c>
      <c r="BR52" s="131"/>
      <c r="BS52" s="45"/>
      <c r="BT52" s="31"/>
      <c r="BU52" s="31"/>
      <c r="BV52" s="4"/>
      <c r="BW52" s="31"/>
      <c r="BX52" s="32"/>
      <c r="BY52" s="4"/>
      <c r="CA52" s="129">
        <v>45828.625</v>
      </c>
      <c r="CB52" s="54">
        <v>106.2469</v>
      </c>
      <c r="CC52" s="129">
        <v>45828.625</v>
      </c>
      <c r="CD52" s="54">
        <v>56.116999999999997</v>
      </c>
      <c r="CO52" s="129">
        <v>45827.625</v>
      </c>
      <c r="CP52" s="54">
        <v>309.26900000000001</v>
      </c>
      <c r="CQ52" s="129">
        <v>45827.625</v>
      </c>
      <c r="CR52" s="54">
        <v>60.579000000000001</v>
      </c>
    </row>
    <row r="53" spans="1:134" x14ac:dyDescent="0.3">
      <c r="A53" s="142">
        <v>45901.625</v>
      </c>
      <c r="B53" s="76">
        <f t="shared" si="20"/>
        <v>94.4</v>
      </c>
      <c r="C53" s="31">
        <f t="shared" si="6"/>
        <v>133120.34078807323</v>
      </c>
      <c r="D53" s="32">
        <f t="shared" si="7"/>
        <v>-161562.5</v>
      </c>
      <c r="E53" s="76">
        <f t="shared" si="21"/>
        <v>101.01900000000001</v>
      </c>
      <c r="F53" s="31">
        <f t="shared" si="8"/>
        <v>-44399.999999998843</v>
      </c>
      <c r="G53" s="32">
        <f t="shared" si="9"/>
        <v>-57520.65916666665</v>
      </c>
      <c r="H53" s="76">
        <f t="shared" si="22"/>
        <v>120.1</v>
      </c>
      <c r="I53" s="31">
        <f t="shared" si="10"/>
        <v>-634946.67760459706</v>
      </c>
      <c r="J53" s="32">
        <f t="shared" si="11"/>
        <v>-277887.5</v>
      </c>
      <c r="K53" s="76">
        <f t="shared" si="23"/>
        <v>99.632000000000005</v>
      </c>
      <c r="L53" s="31">
        <f t="shared" si="12"/>
        <v>-52480.000000000051</v>
      </c>
      <c r="M53" s="32">
        <f t="shared" si="13"/>
        <v>-126521.03444444446</v>
      </c>
      <c r="N53" s="82">
        <f t="shared" si="14"/>
        <v>807311.64311489125</v>
      </c>
      <c r="O53" s="82"/>
      <c r="P53" s="82"/>
      <c r="Q53" s="82">
        <f>$G$5*SUM($O$14:O53)-$H$5*SUM($P$14:P53)</f>
        <v>-685953.76080000005</v>
      </c>
      <c r="R53" s="82">
        <f t="shared" si="15"/>
        <v>121357.88231489121</v>
      </c>
      <c r="S53" s="143"/>
      <c r="U53" s="75">
        <v>45828.625</v>
      </c>
      <c r="V53" s="54">
        <v>93.4</v>
      </c>
      <c r="W53" s="75">
        <v>45826.625</v>
      </c>
      <c r="X53" s="54">
        <v>101.449</v>
      </c>
      <c r="Y53" s="125">
        <v>45833.625</v>
      </c>
      <c r="Z53" s="54">
        <v>121.62</v>
      </c>
      <c r="AA53" s="75">
        <v>45916.625</v>
      </c>
      <c r="AB53" s="54">
        <v>99.569000000000003</v>
      </c>
      <c r="AF53" s="131"/>
      <c r="AG53" s="45"/>
      <c r="AH53" s="31"/>
      <c r="AI53" s="31"/>
      <c r="AJ53" s="4"/>
      <c r="AK53" s="31"/>
      <c r="AL53" s="32"/>
      <c r="AM53" s="4"/>
      <c r="AN53" s="31"/>
      <c r="AO53" s="32"/>
      <c r="AP53" s="4"/>
      <c r="AQ53" s="31"/>
      <c r="AR53" s="32"/>
      <c r="AS53" s="4"/>
      <c r="AT53" s="31"/>
      <c r="AU53" s="32"/>
      <c r="AV53" s="4"/>
      <c r="AW53" s="31"/>
      <c r="AX53" s="32"/>
      <c r="AY53" s="38"/>
      <c r="AZ53" s="38"/>
      <c r="BA53" s="38"/>
      <c r="BB53" s="38"/>
      <c r="BC53" s="38"/>
      <c r="BE53" s="75">
        <v>45825.625</v>
      </c>
      <c r="BF53" s="54">
        <v>79.430000000000007</v>
      </c>
      <c r="BI53" s="75">
        <v>45825.625</v>
      </c>
      <c r="BJ53" s="54">
        <v>107.97</v>
      </c>
      <c r="BM53" s="75">
        <v>45945.625</v>
      </c>
      <c r="BN53" s="54">
        <v>101.734375</v>
      </c>
      <c r="BO53" s="75">
        <v>45946.625</v>
      </c>
      <c r="BP53" s="54">
        <v>102.671875</v>
      </c>
      <c r="BR53" s="131"/>
      <c r="BS53" s="45"/>
      <c r="BT53" s="31"/>
      <c r="BU53" s="31"/>
      <c r="BV53" s="4"/>
      <c r="BW53" s="31"/>
      <c r="BX53" s="32"/>
      <c r="BY53" s="4"/>
      <c r="CA53" s="129">
        <v>45831.625</v>
      </c>
      <c r="CB53" s="54">
        <v>106.4867</v>
      </c>
      <c r="CC53" s="129">
        <v>45831.625</v>
      </c>
      <c r="CD53" s="54">
        <v>54.783000000000001</v>
      </c>
      <c r="CO53" s="129">
        <v>45828.625</v>
      </c>
      <c r="CP53" s="54">
        <v>304.85700000000003</v>
      </c>
      <c r="CQ53" s="129">
        <v>45828.625</v>
      </c>
      <c r="CR53" s="54">
        <v>59.311</v>
      </c>
    </row>
    <row r="54" spans="1:134" x14ac:dyDescent="0.3">
      <c r="A54" s="142">
        <v>45902.625</v>
      </c>
      <c r="B54" s="76">
        <f t="shared" si="20"/>
        <v>94.24</v>
      </c>
      <c r="C54" s="31">
        <f t="shared" si="6"/>
        <v>90521.831735884683</v>
      </c>
      <c r="D54" s="32">
        <f t="shared" si="7"/>
        <v>-164500</v>
      </c>
      <c r="E54" s="76">
        <f t="shared" si="21"/>
        <v>100.976</v>
      </c>
      <c r="F54" s="31">
        <f t="shared" si="8"/>
        <v>-53000.000000000116</v>
      </c>
      <c r="G54" s="32">
        <f t="shared" si="9"/>
        <v>-58566.489333333317</v>
      </c>
      <c r="H54" s="76">
        <f t="shared" si="22"/>
        <v>119.81</v>
      </c>
      <c r="I54" s="31">
        <f t="shared" si="10"/>
        <v>-737243.64232978143</v>
      </c>
      <c r="J54" s="32">
        <f t="shared" si="11"/>
        <v>-282940</v>
      </c>
      <c r="K54" s="76">
        <f t="shared" si="23"/>
        <v>99.481999999999999</v>
      </c>
      <c r="L54" s="31">
        <f t="shared" si="12"/>
        <v>-113980.00000000239</v>
      </c>
      <c r="M54" s="32">
        <f t="shared" si="13"/>
        <v>-128821.4168888889</v>
      </c>
      <c r="N54" s="82">
        <f t="shared" si="14"/>
        <v>814970.54651010828</v>
      </c>
      <c r="O54" s="82"/>
      <c r="P54" s="82"/>
      <c r="Q54" s="82">
        <f>$G$5*SUM($O$14:O54)-$H$5*SUM($P$14:P54)</f>
        <v>-685953.76080000005</v>
      </c>
      <c r="R54" s="82">
        <f t="shared" si="15"/>
        <v>129016.78571010823</v>
      </c>
      <c r="S54" s="143"/>
      <c r="U54" s="75">
        <v>45831.625</v>
      </c>
      <c r="V54" s="54">
        <v>93.3</v>
      </c>
      <c r="W54" s="75">
        <v>45827.625</v>
      </c>
      <c r="X54" s="54">
        <v>101.432</v>
      </c>
      <c r="Y54" s="125">
        <v>45834.625</v>
      </c>
      <c r="Z54" s="54">
        <v>121.66</v>
      </c>
      <c r="AA54" s="75">
        <v>45917.625</v>
      </c>
      <c r="AB54" s="54">
        <v>99.600999999999999</v>
      </c>
      <c r="AF54" s="131"/>
      <c r="AG54" s="45"/>
      <c r="AH54" s="31"/>
      <c r="AI54" s="31"/>
      <c r="AJ54" s="4"/>
      <c r="AK54" s="31"/>
      <c r="AL54" s="32"/>
      <c r="AM54" s="4"/>
      <c r="AN54" s="31"/>
      <c r="AO54" s="32"/>
      <c r="AP54" s="4"/>
      <c r="AQ54" s="31"/>
      <c r="AR54" s="32"/>
      <c r="AS54" s="4"/>
      <c r="AT54" s="31"/>
      <c r="AU54" s="32"/>
      <c r="AV54" s="4"/>
      <c r="AW54" s="31"/>
      <c r="AX54" s="32"/>
      <c r="AY54" s="38"/>
      <c r="AZ54" s="38"/>
      <c r="BA54" s="38"/>
      <c r="BB54" s="38"/>
      <c r="BC54" s="38"/>
      <c r="BE54" s="75">
        <v>45826.625</v>
      </c>
      <c r="BF54" s="54">
        <v>79.55</v>
      </c>
      <c r="BI54" s="75">
        <v>45826.625</v>
      </c>
      <c r="BJ54" s="54">
        <v>108.05</v>
      </c>
      <c r="BM54" s="75">
        <v>45946.625</v>
      </c>
      <c r="BN54" s="54">
        <v>102.234375</v>
      </c>
      <c r="BR54" s="131"/>
      <c r="BS54" s="45"/>
      <c r="BT54" s="31"/>
      <c r="BU54" s="31"/>
      <c r="BV54" s="4"/>
      <c r="BW54" s="31"/>
      <c r="BX54" s="32"/>
      <c r="BY54" s="4"/>
      <c r="CA54" s="129">
        <v>45832.625</v>
      </c>
      <c r="CB54" s="54">
        <v>106.926</v>
      </c>
      <c r="CC54" s="129">
        <v>45832.625</v>
      </c>
      <c r="CD54" s="54">
        <v>52.908999999999999</v>
      </c>
      <c r="CO54" s="129">
        <v>45831.625</v>
      </c>
      <c r="CP54" s="54">
        <v>305.47399999999999</v>
      </c>
      <c r="CQ54" s="129">
        <v>45831.625</v>
      </c>
      <c r="CR54" s="54">
        <v>59.47</v>
      </c>
    </row>
    <row r="55" spans="1:134" x14ac:dyDescent="0.3">
      <c r="A55" s="142">
        <v>45903.625</v>
      </c>
      <c r="B55" s="76">
        <f t="shared" si="20"/>
        <v>94.38</v>
      </c>
      <c r="C55" s="31">
        <f t="shared" si="6"/>
        <v>127795.52715654897</v>
      </c>
      <c r="D55" s="32">
        <f t="shared" si="7"/>
        <v>-167437.5</v>
      </c>
      <c r="E55" s="76">
        <f t="shared" si="21"/>
        <v>101.038</v>
      </c>
      <c r="F55" s="31">
        <f t="shared" si="8"/>
        <v>-40600.000000000589</v>
      </c>
      <c r="G55" s="32">
        <f t="shared" si="9"/>
        <v>-59612.319499999983</v>
      </c>
      <c r="H55" s="76">
        <f t="shared" si="22"/>
        <v>120.08</v>
      </c>
      <c r="I55" s="31">
        <f t="shared" si="10"/>
        <v>-642001.64068909094</v>
      </c>
      <c r="J55" s="32">
        <f t="shared" si="11"/>
        <v>-287992.5</v>
      </c>
      <c r="K55" s="76">
        <f t="shared" si="23"/>
        <v>99.596000000000004</v>
      </c>
      <c r="L55" s="31">
        <f t="shared" si="12"/>
        <v>-67240.000000000597</v>
      </c>
      <c r="M55" s="32">
        <f t="shared" si="13"/>
        <v>-131121.79933333336</v>
      </c>
      <c r="N55" s="82">
        <f t="shared" si="14"/>
        <v>792202.68801230646</v>
      </c>
      <c r="O55" s="82"/>
      <c r="P55" s="82"/>
      <c r="Q55" s="82">
        <f>$G$5*SUM($O$14:O55)-$H$5*SUM($P$14:P55)</f>
        <v>-685953.76080000005</v>
      </c>
      <c r="R55" s="82">
        <f t="shared" si="15"/>
        <v>106248.92721230641</v>
      </c>
      <c r="S55" s="143"/>
      <c r="U55" s="75">
        <v>45832.625</v>
      </c>
      <c r="V55" s="54">
        <v>93.63</v>
      </c>
      <c r="W55" s="75">
        <v>45828.625</v>
      </c>
      <c r="X55" s="54">
        <v>101.38200000000001</v>
      </c>
      <c r="Y55" s="125">
        <v>45835.625</v>
      </c>
      <c r="Z55" s="54">
        <v>121.55</v>
      </c>
      <c r="AA55" s="75">
        <v>45918.625</v>
      </c>
      <c r="AB55" s="54">
        <v>99.516000000000005</v>
      </c>
      <c r="AF55" s="131"/>
      <c r="AG55" s="45"/>
      <c r="AH55" s="31"/>
      <c r="AI55" s="31"/>
      <c r="AJ55" s="4"/>
      <c r="AK55" s="31"/>
      <c r="AL55" s="32"/>
      <c r="AM55" s="4"/>
      <c r="AN55" s="31"/>
      <c r="AO55" s="32"/>
      <c r="AP55" s="4"/>
      <c r="AQ55" s="31"/>
      <c r="AR55" s="32"/>
      <c r="AS55" s="4"/>
      <c r="AT55" s="31"/>
      <c r="AU55" s="32"/>
      <c r="AV55" s="4"/>
      <c r="AW55" s="31"/>
      <c r="AX55" s="32"/>
      <c r="AY55" s="38"/>
      <c r="AZ55" s="38"/>
      <c r="BA55" s="38"/>
      <c r="BB55" s="38"/>
      <c r="BC55" s="38"/>
      <c r="BE55" s="75">
        <v>45828.625</v>
      </c>
      <c r="BF55" s="54">
        <v>79.790000000000006</v>
      </c>
      <c r="BI55" s="75">
        <v>45828.625</v>
      </c>
      <c r="BJ55" s="54">
        <v>108.15</v>
      </c>
      <c r="BR55" s="131"/>
      <c r="BS55" s="45"/>
      <c r="BT55" s="31"/>
      <c r="BU55" s="31"/>
      <c r="BV55" s="4"/>
      <c r="BW55" s="31"/>
      <c r="BX55" s="32"/>
      <c r="BY55" s="4"/>
      <c r="CA55" s="129">
        <v>45833.625</v>
      </c>
      <c r="CB55" s="54">
        <v>106.8379</v>
      </c>
      <c r="CC55" s="129">
        <v>45833.625</v>
      </c>
      <c r="CD55" s="54">
        <v>53.393000000000001</v>
      </c>
      <c r="CO55" s="129">
        <v>45832.625</v>
      </c>
      <c r="CP55" s="54">
        <v>292.42599999999999</v>
      </c>
      <c r="CQ55" s="129">
        <v>45832.625</v>
      </c>
      <c r="CR55" s="54">
        <v>56.341999999999999</v>
      </c>
    </row>
    <row r="56" spans="1:134" x14ac:dyDescent="0.3">
      <c r="A56" s="142">
        <v>45904.625</v>
      </c>
      <c r="B56" s="76">
        <f t="shared" si="20"/>
        <v>94.54</v>
      </c>
      <c r="C56" s="31">
        <f t="shared" si="6"/>
        <v>170394.03620873194</v>
      </c>
      <c r="D56" s="32">
        <f t="shared" si="7"/>
        <v>-170375</v>
      </c>
      <c r="E56" s="76">
        <f t="shared" si="21"/>
        <v>101.06399999999999</v>
      </c>
      <c r="F56" s="31">
        <f t="shared" si="8"/>
        <v>-35400.000000001339</v>
      </c>
      <c r="G56" s="32">
        <f t="shared" si="9"/>
        <v>-60658.149666666664</v>
      </c>
      <c r="H56" s="76">
        <f t="shared" si="22"/>
        <v>120.3</v>
      </c>
      <c r="I56" s="31">
        <f t="shared" si="10"/>
        <v>-564397.04675963975</v>
      </c>
      <c r="J56" s="32">
        <f t="shared" si="11"/>
        <v>-293045</v>
      </c>
      <c r="K56" s="76">
        <f t="shared" si="23"/>
        <v>99.653999999999996</v>
      </c>
      <c r="L56" s="31">
        <f t="shared" si="12"/>
        <v>-43460.000000003587</v>
      </c>
      <c r="M56" s="32">
        <f t="shared" si="13"/>
        <v>-133422.18177777782</v>
      </c>
      <c r="N56" s="82">
        <f t="shared" si="14"/>
        <v>776637.05085725826</v>
      </c>
      <c r="O56" s="82"/>
      <c r="P56" s="82"/>
      <c r="Q56" s="82">
        <f>$G$5*SUM($O$14:O56)-$H$5*SUM($P$14:P56)</f>
        <v>-685953.76080000005</v>
      </c>
      <c r="R56" s="82">
        <f t="shared" si="15"/>
        <v>90683.290057258215</v>
      </c>
      <c r="S56" s="143"/>
      <c r="U56" s="75">
        <v>45833.625</v>
      </c>
      <c r="V56" s="54">
        <v>93.47</v>
      </c>
      <c r="W56" s="75">
        <v>45831.625</v>
      </c>
      <c r="X56" s="54">
        <v>101.441</v>
      </c>
      <c r="Y56" s="125">
        <v>45838.625</v>
      </c>
      <c r="Z56" s="54">
        <v>121.69</v>
      </c>
      <c r="AA56" s="75">
        <v>45919.625</v>
      </c>
      <c r="AB56" s="54">
        <v>99.414000000000001</v>
      </c>
      <c r="AF56" s="131"/>
      <c r="AG56" s="45"/>
      <c r="AH56" s="31"/>
      <c r="AI56" s="31"/>
      <c r="AJ56" s="4"/>
      <c r="AK56" s="31"/>
      <c r="AL56" s="32"/>
      <c r="AM56" s="4"/>
      <c r="AN56" s="31"/>
      <c r="AO56" s="32"/>
      <c r="AP56" s="4"/>
      <c r="AQ56" s="31"/>
      <c r="AR56" s="32"/>
      <c r="AS56" s="4"/>
      <c r="AT56" s="31"/>
      <c r="AU56" s="32"/>
      <c r="AV56" s="4"/>
      <c r="AW56" s="31"/>
      <c r="AX56" s="32"/>
      <c r="AY56" s="38"/>
      <c r="AZ56" s="38"/>
      <c r="BA56" s="38"/>
      <c r="BB56" s="38"/>
      <c r="BC56" s="38"/>
      <c r="BE56" s="75">
        <v>45831.625</v>
      </c>
      <c r="BF56" s="54">
        <v>79.95</v>
      </c>
      <c r="BI56" s="75">
        <v>45831.625</v>
      </c>
      <c r="BJ56" s="54">
        <v>108.41</v>
      </c>
      <c r="BR56" s="131"/>
      <c r="BS56" s="45"/>
      <c r="BT56" s="31"/>
      <c r="BU56" s="31"/>
      <c r="BV56" s="4"/>
      <c r="BW56" s="31"/>
      <c r="BX56" s="32"/>
      <c r="BY56" s="4"/>
      <c r="CA56" s="129">
        <v>45834.625</v>
      </c>
      <c r="CB56" s="54">
        <v>107.0552</v>
      </c>
      <c r="CC56" s="129">
        <v>45834.625</v>
      </c>
      <c r="CD56" s="54">
        <v>52.463000000000001</v>
      </c>
      <c r="CO56" s="129">
        <v>45833.625</v>
      </c>
      <c r="CP56" s="54">
        <v>292.70999999999998</v>
      </c>
      <c r="CQ56" s="129">
        <v>45833.625</v>
      </c>
      <c r="CR56" s="54">
        <v>56.53</v>
      </c>
    </row>
    <row r="57" spans="1:134" x14ac:dyDescent="0.3">
      <c r="A57" s="142">
        <v>45905.625</v>
      </c>
      <c r="B57" s="76">
        <f t="shared" si="20"/>
        <v>94.64</v>
      </c>
      <c r="C57" s="31">
        <f t="shared" si="6"/>
        <v>197018.10436634769</v>
      </c>
      <c r="D57" s="32">
        <f t="shared" si="7"/>
        <v>-173312.5</v>
      </c>
      <c r="E57" s="76">
        <f t="shared" si="21"/>
        <v>101.19</v>
      </c>
      <c r="F57" s="31">
        <f t="shared" si="8"/>
        <v>-10200.000000000387</v>
      </c>
      <c r="G57" s="32">
        <f t="shared" si="9"/>
        <v>-61703.979833333331</v>
      </c>
      <c r="H57" s="76">
        <f t="shared" si="22"/>
        <v>120.64</v>
      </c>
      <c r="I57" s="31">
        <f t="shared" si="10"/>
        <v>-444462.67432321608</v>
      </c>
      <c r="J57" s="32">
        <f t="shared" si="11"/>
        <v>-298097.5</v>
      </c>
      <c r="K57" s="76">
        <f t="shared" si="23"/>
        <v>99.900999999999996</v>
      </c>
      <c r="L57" s="31">
        <f t="shared" si="12"/>
        <v>57809.999999996362</v>
      </c>
      <c r="M57" s="32">
        <f t="shared" si="13"/>
        <v>-135722.56422222222</v>
      </c>
      <c r="N57" s="82">
        <f t="shared" si="14"/>
        <v>760257.19430067169</v>
      </c>
      <c r="O57" s="82"/>
      <c r="P57" s="82"/>
      <c r="Q57" s="82">
        <f>$G$5*SUM($O$14:O57)-$H$5*SUM($P$14:P57)</f>
        <v>-685953.76080000005</v>
      </c>
      <c r="R57" s="82">
        <f t="shared" si="15"/>
        <v>74303.433500671643</v>
      </c>
      <c r="S57" s="143"/>
      <c r="U57" s="75">
        <v>45834.625</v>
      </c>
      <c r="V57" s="54">
        <v>93.5</v>
      </c>
      <c r="W57" s="75">
        <v>45832.625</v>
      </c>
      <c r="X57" s="54">
        <v>101.40600000000001</v>
      </c>
      <c r="Y57" s="125">
        <v>45839.625</v>
      </c>
      <c r="Z57" s="54">
        <v>121.84</v>
      </c>
      <c r="AA57" s="75">
        <v>45922.625</v>
      </c>
      <c r="AB57" s="54">
        <v>99.441000000000003</v>
      </c>
      <c r="AF57" s="131"/>
      <c r="AG57" s="45"/>
      <c r="AH57" s="31"/>
      <c r="AI57" s="31"/>
      <c r="AJ57" s="4"/>
      <c r="AK57" s="31"/>
      <c r="AL57" s="32"/>
      <c r="AM57" s="4"/>
      <c r="AN57" s="31"/>
      <c r="AO57" s="32"/>
      <c r="AP57" s="4"/>
      <c r="AQ57" s="31"/>
      <c r="AR57" s="32"/>
      <c r="AS57" s="4"/>
      <c r="AT57" s="31"/>
      <c r="AU57" s="32"/>
      <c r="AV57" s="4"/>
      <c r="AW57" s="31"/>
      <c r="AX57" s="32"/>
      <c r="AY57" s="38"/>
      <c r="AZ57" s="38"/>
      <c r="BA57" s="38"/>
      <c r="BB57" s="38"/>
      <c r="BC57" s="38"/>
      <c r="BE57" s="75">
        <v>45832.625</v>
      </c>
      <c r="BF57" s="54">
        <v>80.17</v>
      </c>
      <c r="BI57" s="75">
        <v>45832.625</v>
      </c>
      <c r="BJ57" s="54">
        <v>108.92</v>
      </c>
      <c r="BR57" s="131"/>
      <c r="BS57" s="45"/>
      <c r="BT57" s="31"/>
      <c r="BU57" s="31"/>
      <c r="BV57" s="4"/>
      <c r="BW57" s="31"/>
      <c r="BX57" s="32"/>
      <c r="BY57" s="4"/>
      <c r="CA57" s="129">
        <v>45835.625</v>
      </c>
      <c r="CB57" s="54">
        <v>107.2032</v>
      </c>
      <c r="CC57" s="129">
        <v>45835.625</v>
      </c>
      <c r="CD57" s="54">
        <v>52.195</v>
      </c>
      <c r="CO57" s="129">
        <v>45834.625</v>
      </c>
      <c r="CP57" s="54">
        <v>290.971</v>
      </c>
      <c r="CQ57" s="129">
        <v>45834.625</v>
      </c>
      <c r="CR57" s="54">
        <v>56.253999999999998</v>
      </c>
    </row>
    <row r="58" spans="1:134" x14ac:dyDescent="0.3">
      <c r="A58" s="142">
        <v>45908.625</v>
      </c>
      <c r="B58" s="76">
        <f t="shared" si="20"/>
        <v>94.65</v>
      </c>
      <c r="C58" s="31">
        <f t="shared" si="6"/>
        <v>199680.51118210983</v>
      </c>
      <c r="D58" s="32">
        <f t="shared" si="7"/>
        <v>-182125</v>
      </c>
      <c r="E58" s="76">
        <f t="shared" si="21"/>
        <v>101.23099999999999</v>
      </c>
      <c r="F58" s="31">
        <f t="shared" si="8"/>
        <v>-2000.0000000010234</v>
      </c>
      <c r="G58" s="32">
        <f t="shared" si="9"/>
        <v>-64841.470333333316</v>
      </c>
      <c r="H58" s="76">
        <f t="shared" si="22"/>
        <v>120.74</v>
      </c>
      <c r="I58" s="31">
        <f t="shared" si="10"/>
        <v>-409187.85890074214</v>
      </c>
      <c r="J58" s="32">
        <f t="shared" si="11"/>
        <v>-313255</v>
      </c>
      <c r="K58" s="76">
        <f t="shared" si="23"/>
        <v>99.972999999999999</v>
      </c>
      <c r="L58" s="31">
        <f t="shared" si="12"/>
        <v>87329.999999997497</v>
      </c>
      <c r="M58" s="32">
        <f t="shared" si="13"/>
        <v>-142623.71155555558</v>
      </c>
      <c r="N58" s="82">
        <f t="shared" si="14"/>
        <v>751546.12886062812</v>
      </c>
      <c r="O58" s="82"/>
      <c r="P58" s="82"/>
      <c r="Q58" s="82">
        <f>$G$5*SUM($O$14:O58)-$H$5*SUM($P$14:P58)</f>
        <v>-685953.76080000005</v>
      </c>
      <c r="R58" s="82">
        <f t="shared" si="15"/>
        <v>65592.368060628069</v>
      </c>
      <c r="S58" s="143"/>
      <c r="U58" s="75">
        <v>45835.625</v>
      </c>
      <c r="V58" s="54">
        <v>93.63</v>
      </c>
      <c r="W58" s="75">
        <v>45833.625</v>
      </c>
      <c r="X58" s="54">
        <v>101.367</v>
      </c>
      <c r="Y58" s="125">
        <v>45840.625</v>
      </c>
      <c r="Z58" s="54">
        <v>121.82</v>
      </c>
      <c r="AA58" s="75">
        <v>45923.625</v>
      </c>
      <c r="AB58" s="54">
        <v>99.381</v>
      </c>
      <c r="AF58" s="131"/>
      <c r="AG58" s="45"/>
      <c r="AH58" s="31"/>
      <c r="AI58" s="31"/>
      <c r="AJ58" s="4"/>
      <c r="AK58" s="31"/>
      <c r="AL58" s="32"/>
      <c r="AM58" s="4"/>
      <c r="AN58" s="31"/>
      <c r="AO58" s="32"/>
      <c r="AP58" s="4"/>
      <c r="AQ58" s="31"/>
      <c r="AR58" s="32"/>
      <c r="AS58" s="4"/>
      <c r="AT58" s="31"/>
      <c r="AU58" s="32"/>
      <c r="AV58" s="4"/>
      <c r="AW58" s="31"/>
      <c r="AX58" s="32"/>
      <c r="AY58" s="38"/>
      <c r="AZ58" s="38"/>
      <c r="BA58" s="38"/>
      <c r="BB58" s="38"/>
      <c r="BC58" s="38"/>
      <c r="BE58" s="75">
        <v>45833.625</v>
      </c>
      <c r="BF58" s="54">
        <v>80.150000000000006</v>
      </c>
      <c r="BI58" s="75">
        <v>45833.625</v>
      </c>
      <c r="BJ58" s="54">
        <v>108.79</v>
      </c>
      <c r="BR58" s="131"/>
      <c r="BS58" s="45"/>
      <c r="BT58" s="31"/>
      <c r="BU58" s="31"/>
      <c r="BV58" s="4"/>
      <c r="BW58" s="31"/>
      <c r="BX58" s="32"/>
      <c r="BY58" s="4"/>
      <c r="CA58" s="129">
        <v>45838.625</v>
      </c>
      <c r="CB58" s="54">
        <v>107.5166</v>
      </c>
      <c r="CC58" s="129">
        <v>45838.625</v>
      </c>
      <c r="CD58" s="54">
        <v>50.99</v>
      </c>
      <c r="CO58" s="129">
        <v>45835.625</v>
      </c>
      <c r="CP58" s="54">
        <v>285.11700000000002</v>
      </c>
      <c r="CQ58" s="129">
        <v>45835.625</v>
      </c>
      <c r="CR58" s="54">
        <v>54.988</v>
      </c>
    </row>
    <row r="59" spans="1:134" x14ac:dyDescent="0.3">
      <c r="A59" s="142">
        <v>45909.625</v>
      </c>
      <c r="B59" s="76">
        <f t="shared" si="20"/>
        <v>94.54</v>
      </c>
      <c r="C59" s="31">
        <f t="shared" si="6"/>
        <v>170394.03620873194</v>
      </c>
      <c r="D59" s="32">
        <f t="shared" si="7"/>
        <v>-185062.49999999997</v>
      </c>
      <c r="E59" s="76">
        <f t="shared" si="21"/>
        <v>101.163</v>
      </c>
      <c r="F59" s="31">
        <f t="shared" si="8"/>
        <v>-15600.000000000591</v>
      </c>
      <c r="G59" s="32">
        <f t="shared" si="9"/>
        <v>-65887.300500000012</v>
      </c>
      <c r="H59" s="76">
        <f t="shared" si="22"/>
        <v>120.66</v>
      </c>
      <c r="I59" s="31">
        <f t="shared" si="10"/>
        <v>-437407.71123872226</v>
      </c>
      <c r="J59" s="32">
        <f t="shared" si="11"/>
        <v>-318307.5</v>
      </c>
      <c r="K59" s="76">
        <f t="shared" si="23"/>
        <v>99.885999999999996</v>
      </c>
      <c r="L59" s="31">
        <f t="shared" si="12"/>
        <v>51659.999999996136</v>
      </c>
      <c r="M59" s="32">
        <f t="shared" si="13"/>
        <v>-144924.09400000004</v>
      </c>
      <c r="N59" s="82">
        <f t="shared" si="14"/>
        <v>729269.95394745097</v>
      </c>
      <c r="O59" s="82"/>
      <c r="P59" s="82"/>
      <c r="Q59" s="82">
        <f>$G$5*SUM($O$14:O59)-$H$5*SUM($P$14:P59)</f>
        <v>-685953.76080000005</v>
      </c>
      <c r="R59" s="82">
        <f t="shared" si="15"/>
        <v>43316.193147450918</v>
      </c>
      <c r="S59" s="143"/>
      <c r="U59" s="75">
        <v>45838.625</v>
      </c>
      <c r="V59" s="54">
        <v>93.64</v>
      </c>
      <c r="W59" s="75">
        <v>45834.625</v>
      </c>
      <c r="X59" s="54">
        <v>101.43</v>
      </c>
      <c r="Y59" s="125">
        <v>45841.625</v>
      </c>
      <c r="Z59" s="54">
        <v>122.16</v>
      </c>
      <c r="AA59" s="75">
        <v>45924.625</v>
      </c>
      <c r="AB59" s="54">
        <v>99.414000000000001</v>
      </c>
      <c r="AF59" s="131"/>
      <c r="AG59" s="45"/>
      <c r="AH59" s="31"/>
      <c r="AI59" s="31"/>
      <c r="AJ59" s="4"/>
      <c r="AK59" s="31"/>
      <c r="AL59" s="32"/>
      <c r="AM59" s="4"/>
      <c r="AN59" s="31"/>
      <c r="AO59" s="32"/>
      <c r="AP59" s="4"/>
      <c r="AQ59" s="31"/>
      <c r="AR59" s="32"/>
      <c r="AS59" s="4"/>
      <c r="AT59" s="31"/>
      <c r="AU59" s="32"/>
      <c r="AV59" s="4"/>
      <c r="AW59" s="31"/>
      <c r="AX59" s="32"/>
      <c r="AY59" s="38"/>
      <c r="AZ59" s="38"/>
      <c r="BA59" s="38"/>
      <c r="BB59" s="38"/>
      <c r="BC59" s="38"/>
      <c r="BE59" s="75">
        <v>45834.625</v>
      </c>
      <c r="BF59" s="54">
        <v>80.38</v>
      </c>
      <c r="BI59" s="75">
        <v>45834.625</v>
      </c>
      <c r="BJ59" s="54">
        <v>109.19</v>
      </c>
      <c r="BR59" s="131"/>
      <c r="BS59" s="45"/>
      <c r="BT59" s="31"/>
      <c r="BU59" s="31"/>
      <c r="BV59" s="4"/>
      <c r="BW59" s="31"/>
      <c r="BX59" s="32"/>
      <c r="BY59" s="4"/>
      <c r="CA59" s="129">
        <v>45839.625</v>
      </c>
      <c r="CB59" s="54">
        <v>107.5767</v>
      </c>
      <c r="CC59" s="129">
        <v>45839.625</v>
      </c>
      <c r="CD59" s="54">
        <v>50.72</v>
      </c>
      <c r="CO59" s="129">
        <v>45838.625</v>
      </c>
      <c r="CP59" s="54">
        <v>282.50799999999998</v>
      </c>
      <c r="CQ59" s="129">
        <v>45838.625</v>
      </c>
      <c r="CR59" s="54">
        <v>54.523000000000003</v>
      </c>
    </row>
    <row r="60" spans="1:134" x14ac:dyDescent="0.3">
      <c r="A60" s="142">
        <v>45910.625</v>
      </c>
      <c r="B60" s="76">
        <f t="shared" si="20"/>
        <v>94.53</v>
      </c>
      <c r="C60" s="31">
        <f t="shared" si="6"/>
        <v>167731.62939296983</v>
      </c>
      <c r="D60" s="32">
        <f t="shared" si="7"/>
        <v>-188000</v>
      </c>
      <c r="E60" s="76">
        <f t="shared" si="21"/>
        <v>101.126</v>
      </c>
      <c r="F60" s="31">
        <f t="shared" si="8"/>
        <v>-22999.999999998978</v>
      </c>
      <c r="G60" s="32">
        <f t="shared" si="9"/>
        <v>-66933.130666666664</v>
      </c>
      <c r="H60" s="76">
        <f t="shared" si="22"/>
        <v>120.75</v>
      </c>
      <c r="I60" s="31">
        <f t="shared" si="10"/>
        <v>-405660.37735849048</v>
      </c>
      <c r="J60" s="32">
        <f t="shared" si="11"/>
        <v>-323360</v>
      </c>
      <c r="K60" s="76">
        <f t="shared" si="23"/>
        <v>99.86</v>
      </c>
      <c r="L60" s="31">
        <f t="shared" si="12"/>
        <v>40999.999999997672</v>
      </c>
      <c r="M60" s="32">
        <f t="shared" si="13"/>
        <v>-147224.47644444447</v>
      </c>
      <c r="N60" s="82">
        <f t="shared" si="14"/>
        <v>692460.66097367916</v>
      </c>
      <c r="O60" s="82"/>
      <c r="P60" s="82"/>
      <c r="Q60" s="82">
        <f>$G$5*SUM($O$14:O60)-$H$5*SUM($P$14:P60)</f>
        <v>-685953.76080000005</v>
      </c>
      <c r="R60" s="82">
        <f t="shared" si="15"/>
        <v>6506.9001736791106</v>
      </c>
      <c r="S60" s="143"/>
      <c r="U60" s="75">
        <v>45839.625</v>
      </c>
      <c r="V60" s="54">
        <v>93.68</v>
      </c>
      <c r="W60" s="75">
        <v>45835.625</v>
      </c>
      <c r="X60" s="54">
        <v>101.3</v>
      </c>
      <c r="Y60" s="125">
        <v>45842.625</v>
      </c>
      <c r="Z60" s="54">
        <v>122.27</v>
      </c>
      <c r="AA60" s="75">
        <v>45925.625</v>
      </c>
      <c r="AB60" s="54">
        <v>99.263000000000005</v>
      </c>
      <c r="AF60" s="131"/>
      <c r="AG60" s="45"/>
      <c r="AH60" s="31"/>
      <c r="AI60" s="31"/>
      <c r="AJ60" s="4"/>
      <c r="AK60" s="31"/>
      <c r="AL60" s="32"/>
      <c r="AM60" s="4"/>
      <c r="AN60" s="31"/>
      <c r="AO60" s="32"/>
      <c r="AP60" s="4"/>
      <c r="AQ60" s="31"/>
      <c r="AR60" s="32"/>
      <c r="AS60" s="4"/>
      <c r="AT60" s="31"/>
      <c r="AU60" s="32"/>
      <c r="AV60" s="4"/>
      <c r="AW60" s="31"/>
      <c r="AX60" s="32"/>
      <c r="AY60" s="38"/>
      <c r="AZ60" s="38"/>
      <c r="BA60" s="38"/>
      <c r="BB60" s="38"/>
      <c r="BC60" s="38"/>
      <c r="BE60" s="75">
        <v>45835.625</v>
      </c>
      <c r="BF60" s="54">
        <v>80.34</v>
      </c>
      <c r="BI60" s="75">
        <v>45835.625</v>
      </c>
      <c r="BJ60" s="54">
        <v>109.01</v>
      </c>
      <c r="BR60" s="131"/>
      <c r="BS60" s="45"/>
      <c r="BT60" s="31"/>
      <c r="BU60" s="31"/>
      <c r="BV60" s="4"/>
      <c r="BW60" s="31"/>
      <c r="BX60" s="32"/>
      <c r="BY60" s="4"/>
      <c r="CA60" s="129">
        <v>45840.625</v>
      </c>
      <c r="CB60" s="54">
        <v>107.69840000000001</v>
      </c>
      <c r="CC60" s="129">
        <v>45840.625</v>
      </c>
      <c r="CD60" s="54">
        <v>50.170999999999999</v>
      </c>
      <c r="CO60" s="129">
        <v>45839.625</v>
      </c>
      <c r="CP60" s="54">
        <v>283.149</v>
      </c>
      <c r="CQ60" s="129">
        <v>45839.625</v>
      </c>
      <c r="CR60" s="54">
        <v>54.335999999999999</v>
      </c>
    </row>
    <row r="61" spans="1:134" x14ac:dyDescent="0.3">
      <c r="A61" s="142">
        <v>45911.625</v>
      </c>
      <c r="B61" s="76">
        <f t="shared" si="20"/>
        <v>92.29</v>
      </c>
      <c r="C61" s="31">
        <f t="shared" si="6"/>
        <v>-428647.49733759201</v>
      </c>
      <c r="D61" s="32">
        <f t="shared" si="7"/>
        <v>-190937.49999999997</v>
      </c>
      <c r="E61" s="76">
        <f t="shared" si="21"/>
        <v>101.012</v>
      </c>
      <c r="F61" s="31">
        <f t="shared" si="8"/>
        <v>-45799.99999999984</v>
      </c>
      <c r="G61" s="32">
        <f t="shared" si="9"/>
        <v>-67978.960833333345</v>
      </c>
      <c r="H61" s="76">
        <f t="shared" si="22"/>
        <v>120.76</v>
      </c>
      <c r="I61" s="31">
        <f t="shared" si="10"/>
        <v>-402132.89581624354</v>
      </c>
      <c r="J61" s="32">
        <f t="shared" si="11"/>
        <v>-328412.5</v>
      </c>
      <c r="K61" s="76">
        <f t="shared" si="23"/>
        <v>99.715000000000003</v>
      </c>
      <c r="L61" s="31">
        <f t="shared" si="12"/>
        <v>-18450.000000000698</v>
      </c>
      <c r="M61" s="32">
        <f t="shared" si="13"/>
        <v>-149524.85888888888</v>
      </c>
      <c r="N61" s="82">
        <f t="shared" si="14"/>
        <v>56764.500423095218</v>
      </c>
      <c r="O61" s="82">
        <v>2.4173</v>
      </c>
      <c r="P61" s="82"/>
      <c r="Q61" s="82">
        <f>$G$5*SUM($O$14:O61)-$H$5*SUM($P$14:P61)</f>
        <v>-42369.391500000027</v>
      </c>
      <c r="R61" s="82">
        <f t="shared" si="15"/>
        <v>14395.108923095191</v>
      </c>
      <c r="S61" s="143"/>
      <c r="U61" s="75">
        <v>45840.625</v>
      </c>
      <c r="V61" s="54">
        <v>93.74</v>
      </c>
      <c r="W61" s="75">
        <v>45838.625</v>
      </c>
      <c r="X61" s="54">
        <v>101.331</v>
      </c>
      <c r="Y61" s="125">
        <v>45845.625</v>
      </c>
      <c r="Z61" s="54">
        <v>122.05</v>
      </c>
      <c r="AA61" s="75">
        <v>45926.625</v>
      </c>
      <c r="AB61" s="54">
        <v>99.38</v>
      </c>
      <c r="AF61" s="131"/>
      <c r="AG61" s="45"/>
      <c r="AH61" s="31"/>
      <c r="AI61" s="31"/>
      <c r="AJ61" s="4"/>
      <c r="AK61" s="31"/>
      <c r="AL61" s="32"/>
      <c r="AM61" s="4"/>
      <c r="AN61" s="31"/>
      <c r="AO61" s="32"/>
      <c r="AP61" s="4"/>
      <c r="AQ61" s="31"/>
      <c r="AR61" s="32"/>
      <c r="AS61" s="4"/>
      <c r="AT61" s="31"/>
      <c r="AU61" s="32"/>
      <c r="AV61" s="4"/>
      <c r="AW61" s="31"/>
      <c r="AX61" s="32"/>
      <c r="AY61" s="38"/>
      <c r="AZ61" s="38"/>
      <c r="BA61" s="38"/>
      <c r="BB61" s="38"/>
      <c r="BC61" s="38"/>
      <c r="BE61" s="75">
        <v>45838.625</v>
      </c>
      <c r="BF61" s="54">
        <v>80.650000000000006</v>
      </c>
      <c r="BI61" s="75">
        <v>45838.625</v>
      </c>
      <c r="BJ61" s="54">
        <v>109.61</v>
      </c>
      <c r="BR61" s="131"/>
      <c r="BS61" s="45"/>
      <c r="BT61" s="31"/>
      <c r="BU61" s="31"/>
      <c r="BV61" s="4"/>
      <c r="BW61" s="31"/>
      <c r="BX61" s="32"/>
      <c r="BY61" s="4"/>
      <c r="CA61" s="129">
        <v>45845.625</v>
      </c>
      <c r="CB61" s="54">
        <v>107.60639999999999</v>
      </c>
      <c r="CC61" s="129">
        <v>45845.625</v>
      </c>
      <c r="CD61" s="54">
        <v>50.64</v>
      </c>
      <c r="CO61" s="129">
        <v>45840.625</v>
      </c>
      <c r="CP61" s="54">
        <v>283.74200000000002</v>
      </c>
      <c r="CQ61" s="129">
        <v>45840.625</v>
      </c>
      <c r="CR61" s="54">
        <v>54.325000000000003</v>
      </c>
    </row>
    <row r="62" spans="1:134" ht="15" thickBot="1" x14ac:dyDescent="0.35">
      <c r="A62" s="142">
        <v>45912.625</v>
      </c>
      <c r="B62" s="76">
        <f t="shared" si="20"/>
        <v>92.46</v>
      </c>
      <c r="C62" s="31">
        <f t="shared" si="6"/>
        <v>-383386.58146965242</v>
      </c>
      <c r="D62" s="32">
        <f t="shared" si="7"/>
        <v>-193874.99999999997</v>
      </c>
      <c r="E62" s="76">
        <f t="shared" si="21"/>
        <v>100.934</v>
      </c>
      <c r="F62" s="31">
        <f t="shared" si="8"/>
        <v>-61400.000000000429</v>
      </c>
      <c r="G62" s="32">
        <f t="shared" si="9"/>
        <v>-69024.790999999983</v>
      </c>
      <c r="H62" s="76">
        <f t="shared" si="22"/>
        <v>120.63</v>
      </c>
      <c r="I62" s="31">
        <f t="shared" si="10"/>
        <v>-447990.15586546774</v>
      </c>
      <c r="J62" s="32">
        <f t="shared" si="11"/>
        <v>-333464.99999999994</v>
      </c>
      <c r="K62" s="76">
        <f t="shared" si="23"/>
        <v>99.519000000000005</v>
      </c>
      <c r="L62" s="31">
        <f t="shared" si="12"/>
        <v>-98809.999999999869</v>
      </c>
      <c r="M62" s="32">
        <f t="shared" si="13"/>
        <v>-151825.24133333334</v>
      </c>
      <c r="N62" s="82">
        <f t="shared" si="14"/>
        <v>83983.124062482471</v>
      </c>
      <c r="O62" s="82"/>
      <c r="P62" s="82"/>
      <c r="Q62" s="82">
        <f>$G$5*SUM($O$14:O62)-$H$5*SUM($P$14:P62)</f>
        <v>-42369.391500000027</v>
      </c>
      <c r="R62" s="82">
        <f t="shared" si="15"/>
        <v>41613.732562482444</v>
      </c>
      <c r="S62" s="143"/>
      <c r="U62" s="75">
        <v>45841.625</v>
      </c>
      <c r="V62" s="54">
        <v>93.9</v>
      </c>
      <c r="W62" s="75">
        <v>45839.625</v>
      </c>
      <c r="X62" s="54">
        <v>101.357</v>
      </c>
      <c r="Y62" s="125">
        <v>45846.625</v>
      </c>
      <c r="Z62" s="54">
        <v>121.9</v>
      </c>
      <c r="AA62" s="75">
        <v>45929.625</v>
      </c>
      <c r="AB62" s="54">
        <v>99.456000000000003</v>
      </c>
      <c r="AF62" s="132"/>
      <c r="AG62" s="48"/>
      <c r="AH62" s="49"/>
      <c r="AI62" s="49"/>
      <c r="AJ62" s="11"/>
      <c r="AK62" s="49"/>
      <c r="AL62" s="50"/>
      <c r="AM62" s="11"/>
      <c r="AN62" s="49"/>
      <c r="AO62" s="50"/>
      <c r="AP62" s="11"/>
      <c r="AQ62" s="49"/>
      <c r="AR62" s="50"/>
      <c r="AS62" s="11"/>
      <c r="AT62" s="49"/>
      <c r="AU62" s="50"/>
      <c r="AV62" s="11"/>
      <c r="AW62" s="49"/>
      <c r="AX62" s="50"/>
      <c r="AY62" s="51"/>
      <c r="AZ62" s="51"/>
      <c r="BA62" s="51"/>
      <c r="BB62" s="51"/>
      <c r="BC62" s="51"/>
      <c r="BE62" s="75">
        <v>45839.625</v>
      </c>
      <c r="BF62" s="54">
        <v>80.17</v>
      </c>
      <c r="BI62" s="75">
        <v>45839.625</v>
      </c>
      <c r="BJ62" s="54">
        <v>109.34</v>
      </c>
      <c r="BR62" s="132"/>
      <c r="BS62" s="48"/>
      <c r="BT62" s="49"/>
      <c r="BU62" s="49"/>
      <c r="BV62" s="11"/>
      <c r="BW62" s="49"/>
      <c r="BX62" s="50"/>
      <c r="BY62" s="11"/>
      <c r="CA62" s="129">
        <v>45846.625</v>
      </c>
      <c r="CB62" s="54">
        <v>107.4332</v>
      </c>
      <c r="CC62" s="129">
        <v>45846.625</v>
      </c>
      <c r="CD62" s="54">
        <v>51.264000000000003</v>
      </c>
      <c r="CO62" s="129">
        <v>45841.625</v>
      </c>
      <c r="CP62" s="54">
        <v>278.61099999999999</v>
      </c>
      <c r="CQ62" s="129">
        <v>45841.625</v>
      </c>
      <c r="CR62" s="54">
        <v>53.073</v>
      </c>
    </row>
    <row r="63" spans="1:134" x14ac:dyDescent="0.3">
      <c r="A63" s="142">
        <v>45915.625</v>
      </c>
      <c r="B63" s="76">
        <f t="shared" si="20"/>
        <v>92.46</v>
      </c>
      <c r="C63" s="31">
        <f t="shared" si="6"/>
        <v>-383386.58146965242</v>
      </c>
      <c r="D63" s="32">
        <f t="shared" si="7"/>
        <v>-202687.5</v>
      </c>
      <c r="E63" s="76">
        <f t="shared" si="21"/>
        <v>100.944</v>
      </c>
      <c r="F63" s="31">
        <f t="shared" si="8"/>
        <v>-59399.999999999411</v>
      </c>
      <c r="G63" s="32">
        <f t="shared" si="9"/>
        <v>-72162.281499999997</v>
      </c>
      <c r="H63" s="76">
        <f t="shared" si="22"/>
        <v>120.7</v>
      </c>
      <c r="I63" s="31">
        <f t="shared" si="10"/>
        <v>-423297.78506972984</v>
      </c>
      <c r="J63" s="32">
        <f t="shared" si="11"/>
        <v>-348622.5</v>
      </c>
      <c r="K63" s="76">
        <f t="shared" si="23"/>
        <v>99.558000000000007</v>
      </c>
      <c r="L63" s="31">
        <f t="shared" si="12"/>
        <v>-82819.999999999258</v>
      </c>
      <c r="M63" s="32">
        <f t="shared" si="13"/>
        <v>-158726.38866666669</v>
      </c>
      <c r="N63" s="82">
        <f t="shared" si="14"/>
        <v>75862.096433410828</v>
      </c>
      <c r="O63" s="82"/>
      <c r="P63" s="82"/>
      <c r="Q63" s="82">
        <f>$G$5*SUM($O$14:O63)-$H$5*SUM($P$14:P63)</f>
        <v>-42369.391500000027</v>
      </c>
      <c r="R63" s="82">
        <f t="shared" si="15"/>
        <v>33492.704933410801</v>
      </c>
      <c r="S63" s="143"/>
      <c r="U63" s="75">
        <v>45842.625</v>
      </c>
      <c r="V63" s="54">
        <v>93.86</v>
      </c>
      <c r="W63" s="75">
        <v>45840.625</v>
      </c>
      <c r="X63" s="54">
        <v>101.286</v>
      </c>
      <c r="Y63" s="125">
        <v>45847.625</v>
      </c>
      <c r="Z63" s="54">
        <v>122</v>
      </c>
      <c r="AA63" s="75">
        <v>45930.625</v>
      </c>
      <c r="AB63" s="54">
        <v>99.484999999999999</v>
      </c>
      <c r="AG63" s="58"/>
      <c r="AH63" s="58"/>
      <c r="AI63" s="58"/>
      <c r="AJ63" s="58"/>
      <c r="AK63" s="58"/>
      <c r="AM63" s="57"/>
      <c r="AN63" s="57"/>
      <c r="AP63" s="58"/>
      <c r="AQ63" s="58"/>
      <c r="AS63" s="57"/>
      <c r="AT63" s="57"/>
      <c r="AW63" s="57"/>
      <c r="AX63" s="57"/>
      <c r="AY63" s="57"/>
      <c r="AZ63" s="57"/>
      <c r="BA63" s="57"/>
      <c r="BB63" s="57"/>
      <c r="BC63" s="57"/>
      <c r="BE63" s="75">
        <v>45840.625</v>
      </c>
      <c r="BF63" s="54">
        <v>80.319999999999993</v>
      </c>
      <c r="BI63" s="75">
        <v>45840.625</v>
      </c>
      <c r="BJ63" s="54">
        <v>109.32</v>
      </c>
      <c r="BS63" s="58"/>
      <c r="BT63" s="58"/>
      <c r="BU63" s="58"/>
      <c r="BV63" s="58"/>
      <c r="BW63" s="58"/>
      <c r="BY63" s="57"/>
      <c r="CA63" s="129">
        <v>45847.625</v>
      </c>
      <c r="CB63" s="54">
        <v>107.717</v>
      </c>
      <c r="CC63" s="129">
        <v>45847.625</v>
      </c>
      <c r="CD63" s="54">
        <v>50.171999999999997</v>
      </c>
      <c r="CO63" s="129">
        <v>45842.625</v>
      </c>
      <c r="CP63" s="54">
        <v>284.7</v>
      </c>
      <c r="CQ63" s="129">
        <v>45842.625</v>
      </c>
      <c r="CR63" s="54">
        <v>54.459000000000003</v>
      </c>
    </row>
    <row r="64" spans="1:134" x14ac:dyDescent="0.3">
      <c r="A64" s="142">
        <v>45916.625</v>
      </c>
      <c r="B64" s="76">
        <f t="shared" si="20"/>
        <v>92.35</v>
      </c>
      <c r="C64" s="31">
        <f t="shared" si="6"/>
        <v>-412673.05644302757</v>
      </c>
      <c r="D64" s="32">
        <f t="shared" si="7"/>
        <v>-205625</v>
      </c>
      <c r="E64" s="76">
        <f t="shared" si="21"/>
        <v>100.953</v>
      </c>
      <c r="F64" s="31">
        <f t="shared" si="8"/>
        <v>-57599.999999999345</v>
      </c>
      <c r="G64" s="32">
        <f t="shared" si="9"/>
        <v>-73208.111666666664</v>
      </c>
      <c r="H64" s="76">
        <f t="shared" si="22"/>
        <v>120.66</v>
      </c>
      <c r="I64" s="31">
        <f t="shared" si="10"/>
        <v>-437407.71123872226</v>
      </c>
      <c r="J64" s="32">
        <f t="shared" si="11"/>
        <v>-353675</v>
      </c>
      <c r="K64" s="76">
        <f t="shared" si="23"/>
        <v>99.569000000000003</v>
      </c>
      <c r="L64" s="31">
        <f t="shared" si="12"/>
        <v>-78310.000000001019</v>
      </c>
      <c r="M64" s="32">
        <f t="shared" si="13"/>
        <v>-161026.77111111107</v>
      </c>
      <c r="N64" s="82">
        <f t="shared" si="14"/>
        <v>64255.995351248595</v>
      </c>
      <c r="O64" s="82"/>
      <c r="P64" s="82"/>
      <c r="Q64" s="82">
        <f>$G$5*SUM($O$14:O64)-$H$5*SUM($P$14:P64)</f>
        <v>-42369.391500000027</v>
      </c>
      <c r="R64" s="82">
        <f t="shared" si="15"/>
        <v>21886.603851248568</v>
      </c>
      <c r="S64" s="143"/>
      <c r="U64" s="75">
        <v>45845.625</v>
      </c>
      <c r="V64" s="54">
        <v>93.91</v>
      </c>
      <c r="W64" s="75">
        <v>45841.625</v>
      </c>
      <c r="X64" s="54">
        <v>101.379</v>
      </c>
      <c r="Y64" s="125">
        <v>45848.625</v>
      </c>
      <c r="Z64" s="54">
        <v>121.86</v>
      </c>
      <c r="AA64" s="75">
        <v>45931.625</v>
      </c>
      <c r="AB64" s="54">
        <v>99.536000000000001</v>
      </c>
      <c r="AG64" s="75"/>
      <c r="AH64" s="58"/>
      <c r="AI64" s="75"/>
      <c r="AJ64" s="58"/>
      <c r="AK64" s="75"/>
      <c r="AM64" s="75"/>
      <c r="AO64" s="75"/>
      <c r="AP64" s="58"/>
      <c r="AQ64" s="75"/>
      <c r="AW64" s="57"/>
      <c r="AX64" s="57"/>
      <c r="AY64" s="57"/>
      <c r="AZ64" s="57"/>
      <c r="BA64" s="57"/>
      <c r="BB64" s="57"/>
      <c r="BC64" s="57"/>
      <c r="BE64" s="75">
        <v>45841.625</v>
      </c>
      <c r="BF64" s="54">
        <v>80.37</v>
      </c>
      <c r="BI64" s="75">
        <v>45841.625</v>
      </c>
      <c r="BJ64" s="54">
        <v>109.06</v>
      </c>
      <c r="BS64" s="75"/>
      <c r="BT64" s="58"/>
      <c r="BU64" s="75"/>
      <c r="BV64" s="58"/>
      <c r="BW64" s="75"/>
      <c r="BY64" s="75"/>
      <c r="CA64" s="129">
        <v>45848.625</v>
      </c>
      <c r="CB64" s="54">
        <v>107.7636</v>
      </c>
      <c r="CC64" s="129">
        <v>45848.625</v>
      </c>
      <c r="CD64" s="54">
        <v>49.853999999999999</v>
      </c>
      <c r="CO64" s="129">
        <v>45845.625</v>
      </c>
      <c r="CP64" s="54">
        <v>281.32</v>
      </c>
      <c r="CQ64" s="129">
        <v>45845.625</v>
      </c>
      <c r="CR64" s="54">
        <v>53.741999999999997</v>
      </c>
    </row>
    <row r="65" spans="1:96" x14ac:dyDescent="0.3">
      <c r="A65" s="142">
        <v>45917.625</v>
      </c>
      <c r="B65" s="76">
        <f t="shared" si="20"/>
        <v>92.39</v>
      </c>
      <c r="C65" s="31">
        <f t="shared" si="6"/>
        <v>-402023.42917997902</v>
      </c>
      <c r="D65" s="32">
        <f t="shared" si="7"/>
        <v>-208562.49999999997</v>
      </c>
      <c r="E65" s="76">
        <f t="shared" si="21"/>
        <v>100.971</v>
      </c>
      <c r="F65" s="31">
        <f t="shared" si="8"/>
        <v>-53999.999999999207</v>
      </c>
      <c r="G65" s="32">
        <f t="shared" si="9"/>
        <v>-74253.941833333301</v>
      </c>
      <c r="H65" s="76">
        <f t="shared" si="22"/>
        <v>120.67</v>
      </c>
      <c r="I65" s="31">
        <f t="shared" si="10"/>
        <v>-433880.22969647532</v>
      </c>
      <c r="J65" s="32">
        <f t="shared" si="11"/>
        <v>-358727.49999999994</v>
      </c>
      <c r="K65" s="76">
        <f t="shared" si="23"/>
        <v>99.600999999999999</v>
      </c>
      <c r="L65" s="31">
        <f t="shared" si="12"/>
        <v>-65190.000000002474</v>
      </c>
      <c r="M65" s="32">
        <f t="shared" si="13"/>
        <v>-163327.15355555556</v>
      </c>
      <c r="N65" s="82">
        <f t="shared" si="14"/>
        <v>81758.588794270676</v>
      </c>
      <c r="O65" s="82"/>
      <c r="P65" s="82"/>
      <c r="Q65" s="82">
        <f>$G$5*SUM($O$14:O65)-$H$5*SUM($P$14:P65)</f>
        <v>-42369.391500000027</v>
      </c>
      <c r="R65" s="82">
        <f t="shared" si="15"/>
        <v>39389.197294270649</v>
      </c>
      <c r="S65" s="143"/>
      <c r="U65" s="75">
        <v>45846.625</v>
      </c>
      <c r="V65" s="54">
        <v>93.9</v>
      </c>
      <c r="W65" s="75">
        <v>45842.625</v>
      </c>
      <c r="X65" s="54">
        <v>101.465</v>
      </c>
      <c r="Y65" s="125">
        <v>45849.625</v>
      </c>
      <c r="Z65" s="54">
        <v>121.72</v>
      </c>
      <c r="AA65" s="75">
        <v>45932.625</v>
      </c>
      <c r="AB65" s="54">
        <v>99.51</v>
      </c>
      <c r="AG65" s="75"/>
      <c r="AH65" s="58"/>
      <c r="AI65" s="75"/>
      <c r="AJ65" s="58"/>
      <c r="AK65" s="75"/>
      <c r="AM65" s="75"/>
      <c r="AO65" s="75"/>
      <c r="AP65" s="58"/>
      <c r="AQ65" s="75"/>
      <c r="AW65" s="57"/>
      <c r="AX65" s="57"/>
      <c r="AY65" s="57"/>
      <c r="AZ65" s="57"/>
      <c r="BA65" s="57"/>
      <c r="BB65" s="57"/>
      <c r="BC65" s="57"/>
      <c r="BE65" s="75">
        <v>45845.625</v>
      </c>
      <c r="BF65" s="54">
        <v>80.099999999999994</v>
      </c>
      <c r="BI65" s="75">
        <v>45845.625</v>
      </c>
      <c r="BJ65" s="54">
        <v>108.41</v>
      </c>
      <c r="BS65" s="75"/>
      <c r="BT65" s="58"/>
      <c r="BU65" s="75"/>
      <c r="BV65" s="58"/>
      <c r="BW65" s="75"/>
      <c r="BY65" s="75"/>
      <c r="CA65" s="129">
        <v>45849.625</v>
      </c>
      <c r="CB65" s="54">
        <v>107.52670000000001</v>
      </c>
      <c r="CC65" s="129">
        <v>45849.625</v>
      </c>
      <c r="CD65" s="54">
        <v>50.515999999999998</v>
      </c>
      <c r="CO65" s="129">
        <v>45846.625</v>
      </c>
      <c r="CP65" s="54">
        <v>282.44299999999998</v>
      </c>
      <c r="CQ65" s="129">
        <v>45846.625</v>
      </c>
      <c r="CR65" s="54">
        <v>54.017000000000003</v>
      </c>
    </row>
    <row r="66" spans="1:96" x14ac:dyDescent="0.3">
      <c r="A66" s="142">
        <v>45918.625</v>
      </c>
      <c r="B66" s="76">
        <f t="shared" si="20"/>
        <v>92.67</v>
      </c>
      <c r="C66" s="31">
        <f t="shared" si="6"/>
        <v>-327476.03833865881</v>
      </c>
      <c r="D66" s="32">
        <f t="shared" si="7"/>
        <v>-211500</v>
      </c>
      <c r="E66" s="76">
        <f t="shared" si="21"/>
        <v>100.956</v>
      </c>
      <c r="F66" s="31">
        <f t="shared" si="8"/>
        <v>-56999.999999999316</v>
      </c>
      <c r="G66" s="32">
        <f t="shared" si="9"/>
        <v>-75299.771999999983</v>
      </c>
      <c r="H66" s="76">
        <f t="shared" si="22"/>
        <v>120.7</v>
      </c>
      <c r="I66" s="31">
        <f t="shared" si="10"/>
        <v>-423297.78506972984</v>
      </c>
      <c r="J66" s="32">
        <f t="shared" si="11"/>
        <v>-363780</v>
      </c>
      <c r="K66" s="76">
        <f t="shared" si="23"/>
        <v>99.516000000000005</v>
      </c>
      <c r="L66" s="31">
        <f t="shared" si="12"/>
        <v>-100039.99999999991</v>
      </c>
      <c r="M66" s="32">
        <f t="shared" si="13"/>
        <v>-165627.53600000002</v>
      </c>
      <c r="N66" s="82">
        <f t="shared" si="14"/>
        <v>114733.98273107031</v>
      </c>
      <c r="O66" s="82"/>
      <c r="P66" s="82"/>
      <c r="Q66" s="82">
        <f>$G$5*SUM($O$14:O66)-$H$5*SUM($P$14:P66)</f>
        <v>-42369.391500000027</v>
      </c>
      <c r="R66" s="82">
        <f t="shared" si="15"/>
        <v>72364.591231070284</v>
      </c>
      <c r="S66" s="143"/>
      <c r="U66" s="75">
        <v>45847.625</v>
      </c>
      <c r="V66" s="54">
        <v>94.17</v>
      </c>
      <c r="W66" s="75">
        <v>45845.625</v>
      </c>
      <c r="X66" s="54">
        <v>101.348</v>
      </c>
      <c r="Y66" s="125">
        <v>45852.625</v>
      </c>
      <c r="Z66" s="54">
        <v>121.74</v>
      </c>
      <c r="AA66" s="75">
        <v>45933.625</v>
      </c>
      <c r="AB66" s="54">
        <v>99.492999999999995</v>
      </c>
      <c r="AG66" s="75"/>
      <c r="AH66" s="58"/>
      <c r="AI66" s="75"/>
      <c r="AJ66" s="58"/>
      <c r="AK66" s="75"/>
      <c r="AM66" s="75"/>
      <c r="AO66" s="75"/>
      <c r="AP66" s="58"/>
      <c r="AQ66" s="75"/>
      <c r="AW66" s="57"/>
      <c r="AX66" s="57"/>
      <c r="AY66" s="57"/>
      <c r="AZ66" s="57"/>
      <c r="BA66" s="57"/>
      <c r="BB66" s="57"/>
      <c r="BC66" s="57"/>
      <c r="BE66" s="75">
        <v>45846.625</v>
      </c>
      <c r="BF66" s="54">
        <v>79.989999999999995</v>
      </c>
      <c r="BI66" s="75">
        <v>45846.625</v>
      </c>
      <c r="BJ66" s="54">
        <v>108.1</v>
      </c>
      <c r="BS66" s="75"/>
      <c r="BT66" s="58"/>
      <c r="BU66" s="75"/>
      <c r="BV66" s="58"/>
      <c r="BW66" s="75"/>
      <c r="BY66" s="75"/>
      <c r="CA66" s="129">
        <v>45852.625</v>
      </c>
      <c r="CB66" s="54">
        <v>107.4284</v>
      </c>
      <c r="CC66" s="129">
        <v>45852.625</v>
      </c>
      <c r="CD66" s="54">
        <v>50.954000000000001</v>
      </c>
      <c r="CO66" s="129">
        <v>45847.625</v>
      </c>
      <c r="CP66" s="54">
        <v>278.82100000000003</v>
      </c>
      <c r="CQ66" s="129">
        <v>45847.625</v>
      </c>
      <c r="CR66" s="54">
        <v>53.445999999999998</v>
      </c>
    </row>
    <row r="67" spans="1:96" x14ac:dyDescent="0.3">
      <c r="A67" s="142">
        <v>45919.625</v>
      </c>
      <c r="B67" s="76">
        <f t="shared" si="20"/>
        <v>92.67</v>
      </c>
      <c r="C67" s="31">
        <f t="shared" si="6"/>
        <v>-327476.03833865881</v>
      </c>
      <c r="D67" s="32">
        <f t="shared" si="7"/>
        <v>-214437.5</v>
      </c>
      <c r="E67" s="76">
        <f t="shared" si="21"/>
        <v>100.904</v>
      </c>
      <c r="F67" s="31">
        <f t="shared" si="8"/>
        <v>-67400.000000000669</v>
      </c>
      <c r="G67" s="32">
        <f t="shared" si="9"/>
        <v>-76345.602166666693</v>
      </c>
      <c r="H67" s="76">
        <f t="shared" si="22"/>
        <v>120.71</v>
      </c>
      <c r="I67" s="31">
        <f t="shared" si="10"/>
        <v>-419770.30352748767</v>
      </c>
      <c r="J67" s="32">
        <f t="shared" si="11"/>
        <v>-368832.5</v>
      </c>
      <c r="K67" s="76">
        <f t="shared" si="23"/>
        <v>99.414000000000001</v>
      </c>
      <c r="L67" s="31">
        <f t="shared" si="12"/>
        <v>-141860.00000000148</v>
      </c>
      <c r="M67" s="32">
        <f t="shared" si="13"/>
        <v>-167927.91844444443</v>
      </c>
      <c r="N67" s="82">
        <f t="shared" si="14"/>
        <v>80646.948911050305</v>
      </c>
      <c r="O67" s="82"/>
      <c r="P67" s="82"/>
      <c r="Q67" s="82">
        <f>$G$5*SUM($O$14:O67)-$H$5*SUM($P$14:P67)</f>
        <v>-42369.391500000027</v>
      </c>
      <c r="R67" s="82">
        <f t="shared" si="15"/>
        <v>38277.557411050278</v>
      </c>
      <c r="S67" s="143"/>
      <c r="U67" s="75">
        <v>45848.625</v>
      </c>
      <c r="V67" s="54">
        <v>94.22</v>
      </c>
      <c r="W67" s="75">
        <v>45846.625</v>
      </c>
      <c r="X67" s="54">
        <v>101.241</v>
      </c>
      <c r="Y67" s="125">
        <v>45853.625</v>
      </c>
      <c r="Z67" s="54">
        <v>121.85</v>
      </c>
      <c r="AA67" s="75">
        <v>45936.625</v>
      </c>
      <c r="AB67" s="54">
        <v>99.536000000000001</v>
      </c>
      <c r="AG67" s="75"/>
      <c r="AH67" s="58"/>
      <c r="AI67" s="75"/>
      <c r="AJ67" s="58"/>
      <c r="AK67" s="75"/>
      <c r="AM67" s="75"/>
      <c r="AO67" s="75"/>
      <c r="AP67" s="58"/>
      <c r="AQ67" s="75"/>
      <c r="BE67" s="75">
        <v>45847.625</v>
      </c>
      <c r="BF67" s="54">
        <v>80.209999999999994</v>
      </c>
      <c r="BI67" s="75">
        <v>45847.625</v>
      </c>
      <c r="BJ67" s="54">
        <v>108.71</v>
      </c>
      <c r="BS67" s="75"/>
      <c r="BT67" s="58"/>
      <c r="BU67" s="75"/>
      <c r="BV67" s="58"/>
      <c r="BW67" s="75"/>
      <c r="BY67" s="75"/>
      <c r="CA67" s="129">
        <v>45853.625</v>
      </c>
      <c r="CB67" s="54">
        <v>107.2017</v>
      </c>
      <c r="CC67" s="129">
        <v>45853.625</v>
      </c>
      <c r="CD67" s="54">
        <v>51.889000000000003</v>
      </c>
      <c r="CO67" s="129">
        <v>45848.625</v>
      </c>
      <c r="CP67" s="54">
        <v>278.61399999999998</v>
      </c>
      <c r="CQ67" s="129">
        <v>45848.625</v>
      </c>
      <c r="CR67" s="54">
        <v>53.453000000000003</v>
      </c>
    </row>
    <row r="68" spans="1:96" x14ac:dyDescent="0.3">
      <c r="A68" s="142">
        <v>45922.625</v>
      </c>
      <c r="B68" s="76">
        <f t="shared" si="20"/>
        <v>92.52</v>
      </c>
      <c r="C68" s="31">
        <f t="shared" si="6"/>
        <v>-367412.14057508245</v>
      </c>
      <c r="D68" s="32">
        <f t="shared" si="7"/>
        <v>-223249.99999999997</v>
      </c>
      <c r="E68" s="76">
        <f t="shared" si="21"/>
        <v>100.913</v>
      </c>
      <c r="F68" s="31">
        <f t="shared" si="8"/>
        <v>-65600.000000000582</v>
      </c>
      <c r="G68" s="32">
        <f t="shared" si="9"/>
        <v>-79483.092666666649</v>
      </c>
      <c r="H68" s="76">
        <f t="shared" si="22"/>
        <v>120.61</v>
      </c>
      <c r="I68" s="31">
        <f t="shared" si="10"/>
        <v>-455045.11894996156</v>
      </c>
      <c r="J68" s="32">
        <f t="shared" si="11"/>
        <v>-383989.99999999994</v>
      </c>
      <c r="K68" s="76">
        <f t="shared" si="23"/>
        <v>99.441000000000003</v>
      </c>
      <c r="L68" s="31">
        <f t="shared" si="12"/>
        <v>-130790.00000000108</v>
      </c>
      <c r="M68" s="32">
        <f t="shared" si="13"/>
        <v>-174829.06577777772</v>
      </c>
      <c r="N68" s="82">
        <f t="shared" si="14"/>
        <v>87837.005263767525</v>
      </c>
      <c r="O68" s="82"/>
      <c r="P68" s="82"/>
      <c r="Q68" s="82">
        <f>$G$5*SUM($O$14:O68)-$H$5*SUM($P$14:P68)</f>
        <v>-42369.391500000027</v>
      </c>
      <c r="R68" s="82">
        <f t="shared" si="15"/>
        <v>45467.613763767498</v>
      </c>
      <c r="S68" s="143"/>
      <c r="U68" s="75">
        <v>45849.625</v>
      </c>
      <c r="V68" s="54">
        <v>94.12</v>
      </c>
      <c r="W68" s="75">
        <v>45847.625</v>
      </c>
      <c r="X68" s="54">
        <v>101.289</v>
      </c>
      <c r="Y68" s="125">
        <v>45854.625</v>
      </c>
      <c r="Z68" s="54">
        <v>121.87</v>
      </c>
      <c r="AA68" s="75">
        <v>45937.625</v>
      </c>
      <c r="AB68" s="54">
        <v>99.483000000000004</v>
      </c>
      <c r="AG68" s="75"/>
      <c r="AH68" s="58"/>
      <c r="AI68" s="75"/>
      <c r="AJ68" s="58"/>
      <c r="AK68" s="75"/>
      <c r="AM68" s="75"/>
      <c r="AO68" s="75"/>
      <c r="AP68" s="58"/>
      <c r="AQ68" s="75"/>
      <c r="BE68" s="75">
        <v>45848.625</v>
      </c>
      <c r="BF68" s="54">
        <v>80.13</v>
      </c>
      <c r="BI68" s="75">
        <v>45848.625</v>
      </c>
      <c r="BJ68" s="54">
        <v>108.74</v>
      </c>
      <c r="BS68" s="75"/>
      <c r="BT68" s="58"/>
      <c r="BU68" s="75"/>
      <c r="BV68" s="58"/>
      <c r="BW68" s="75"/>
      <c r="BY68" s="75"/>
      <c r="CA68" s="129">
        <v>45854.625</v>
      </c>
      <c r="CB68" s="54">
        <v>107.2169</v>
      </c>
      <c r="CC68" s="129">
        <v>45854.625</v>
      </c>
      <c r="CD68" s="54">
        <v>51.680999999999997</v>
      </c>
      <c r="CO68" s="129">
        <v>45849.625</v>
      </c>
      <c r="CP68" s="54">
        <v>281.92899999999997</v>
      </c>
      <c r="CQ68" s="129">
        <v>45849.625</v>
      </c>
      <c r="CR68" s="54">
        <v>54.234999999999999</v>
      </c>
    </row>
    <row r="69" spans="1:96" x14ac:dyDescent="0.3">
      <c r="A69" s="142">
        <v>45923.625</v>
      </c>
      <c r="B69" s="76">
        <f t="shared" si="20"/>
        <v>92.67</v>
      </c>
      <c r="C69" s="31">
        <f t="shared" si="6"/>
        <v>-327476.03833865881</v>
      </c>
      <c r="D69" s="32">
        <f t="shared" si="7"/>
        <v>-226187.49999999994</v>
      </c>
      <c r="E69" s="76">
        <f t="shared" si="21"/>
        <v>100.883</v>
      </c>
      <c r="F69" s="31">
        <f t="shared" si="8"/>
        <v>-71600.000000000815</v>
      </c>
      <c r="G69" s="32">
        <f t="shared" si="9"/>
        <v>-80528.922833333272</v>
      </c>
      <c r="H69" s="76">
        <f t="shared" si="22"/>
        <v>120.6</v>
      </c>
      <c r="I69" s="31">
        <f t="shared" si="10"/>
        <v>-458572.6004922085</v>
      </c>
      <c r="J69" s="32">
        <f t="shared" si="11"/>
        <v>-389042.49999999994</v>
      </c>
      <c r="K69" s="76">
        <f t="shared" si="23"/>
        <v>99.381</v>
      </c>
      <c r="L69" s="31">
        <f t="shared" si="12"/>
        <v>-155390.00000000201</v>
      </c>
      <c r="M69" s="32">
        <f t="shared" si="13"/>
        <v>-177129.44822222221</v>
      </c>
      <c r="N69" s="82">
        <f t="shared" si="14"/>
        <v>113561.03676465951</v>
      </c>
      <c r="O69" s="82"/>
      <c r="P69" s="82"/>
      <c r="Q69" s="82">
        <f>$G$5*SUM($O$14:O69)-$H$5*SUM($P$14:P69)</f>
        <v>-42369.391500000027</v>
      </c>
      <c r="R69" s="82">
        <f t="shared" si="15"/>
        <v>71191.645264659484</v>
      </c>
      <c r="S69" s="143"/>
      <c r="U69" s="75">
        <v>45852.625</v>
      </c>
      <c r="V69" s="54">
        <v>94.05</v>
      </c>
      <c r="W69" s="75">
        <v>45848.625</v>
      </c>
      <c r="X69" s="54">
        <v>101.181</v>
      </c>
      <c r="Y69" s="125">
        <v>45855.625</v>
      </c>
      <c r="Z69" s="54">
        <v>120.13</v>
      </c>
      <c r="AA69" s="75">
        <v>45938.625</v>
      </c>
      <c r="AB69" s="54">
        <v>99.673000000000002</v>
      </c>
      <c r="AG69" s="75"/>
      <c r="AH69" s="58"/>
      <c r="AI69" s="75"/>
      <c r="AJ69" s="58"/>
      <c r="AK69" s="75"/>
      <c r="AM69" s="75"/>
      <c r="AO69" s="75"/>
      <c r="AP69" s="58"/>
      <c r="AQ69" s="75"/>
      <c r="BE69" s="75">
        <v>45849.625</v>
      </c>
      <c r="BF69" s="54">
        <v>80.03</v>
      </c>
      <c r="BI69" s="75">
        <v>45849.625</v>
      </c>
      <c r="BJ69" s="54">
        <v>108.08</v>
      </c>
      <c r="BS69" s="75"/>
      <c r="BT69" s="58"/>
      <c r="BU69" s="75"/>
      <c r="BV69" s="58"/>
      <c r="BW69" s="75"/>
      <c r="BY69" s="75"/>
      <c r="CA69" s="129">
        <v>45855.625</v>
      </c>
      <c r="CB69" s="54">
        <v>107.4862</v>
      </c>
      <c r="CC69" s="129">
        <v>45855.625</v>
      </c>
      <c r="CD69" s="54">
        <v>50.808</v>
      </c>
      <c r="CO69" s="129">
        <v>45852.625</v>
      </c>
      <c r="CP69" s="54">
        <v>283.81700000000001</v>
      </c>
      <c r="CQ69" s="129">
        <v>45852.625</v>
      </c>
      <c r="CR69" s="54">
        <v>54.883000000000003</v>
      </c>
    </row>
    <row r="70" spans="1:96" x14ac:dyDescent="0.3">
      <c r="A70" s="142">
        <v>45924.625</v>
      </c>
      <c r="B70" s="76">
        <f t="shared" si="20"/>
        <v>92.59</v>
      </c>
      <c r="C70" s="31">
        <f t="shared" si="6"/>
        <v>-348775.29286475031</v>
      </c>
      <c r="D70" s="32">
        <f t="shared" si="7"/>
        <v>-229125</v>
      </c>
      <c r="E70" s="76">
        <f t="shared" si="21"/>
        <v>100.893</v>
      </c>
      <c r="F70" s="31">
        <f t="shared" si="8"/>
        <v>-69599.999999999796</v>
      </c>
      <c r="G70" s="32">
        <f t="shared" si="9"/>
        <v>-81574.752999999982</v>
      </c>
      <c r="H70" s="76">
        <f t="shared" si="22"/>
        <v>120.67</v>
      </c>
      <c r="I70" s="31">
        <f t="shared" si="10"/>
        <v>-433880.22969647532</v>
      </c>
      <c r="J70" s="32">
        <f t="shared" si="11"/>
        <v>-394095</v>
      </c>
      <c r="K70" s="76">
        <f t="shared" si="23"/>
        <v>99.414000000000001</v>
      </c>
      <c r="L70" s="31">
        <f t="shared" si="12"/>
        <v>-141860.00000000148</v>
      </c>
      <c r="M70" s="32">
        <f t="shared" si="13"/>
        <v>-179429.83066666668</v>
      </c>
      <c r="N70" s="82">
        <f t="shared" si="14"/>
        <v>79959.859165056521</v>
      </c>
      <c r="O70" s="82"/>
      <c r="P70" s="82"/>
      <c r="Q70" s="82">
        <f>$G$5*SUM($O$14:O70)-$H$5*SUM($P$14:P70)</f>
        <v>-42369.391500000027</v>
      </c>
      <c r="R70" s="82">
        <f t="shared" si="15"/>
        <v>37590.467665056494</v>
      </c>
      <c r="S70" s="143"/>
      <c r="U70" s="75">
        <v>45853.625</v>
      </c>
      <c r="V70" s="54">
        <v>94.05</v>
      </c>
      <c r="W70" s="75">
        <v>45849.625</v>
      </c>
      <c r="X70" s="54">
        <v>101.123</v>
      </c>
      <c r="Y70" s="125">
        <v>45856.625</v>
      </c>
      <c r="Z70" s="54">
        <v>120.01</v>
      </c>
      <c r="AA70" s="75">
        <v>45939.625</v>
      </c>
      <c r="AB70" s="54">
        <v>99.552999999999997</v>
      </c>
      <c r="AG70" s="75"/>
      <c r="AH70" s="58"/>
      <c r="AI70" s="75"/>
      <c r="AJ70" s="58"/>
      <c r="AK70" s="75"/>
      <c r="AM70" s="75"/>
      <c r="AO70" s="75"/>
      <c r="AP70" s="58"/>
      <c r="AQ70" s="75"/>
      <c r="BE70" s="75">
        <v>45852.625</v>
      </c>
      <c r="BF70" s="54">
        <v>80.09</v>
      </c>
      <c r="BI70" s="75">
        <v>45852.625</v>
      </c>
      <c r="BJ70" s="54">
        <v>108.05</v>
      </c>
      <c r="BS70" s="75"/>
      <c r="BT70" s="58"/>
      <c r="BU70" s="75"/>
      <c r="BV70" s="58"/>
      <c r="BW70" s="75"/>
      <c r="BY70" s="75"/>
      <c r="CA70" s="129">
        <v>45856.625</v>
      </c>
      <c r="CB70" s="54">
        <v>107.51779999999999</v>
      </c>
      <c r="CC70" s="129">
        <v>45856.625</v>
      </c>
      <c r="CD70" s="54">
        <v>50.996000000000002</v>
      </c>
      <c r="CO70" s="129">
        <v>45853.625</v>
      </c>
      <c r="CP70" s="54">
        <v>284.40899999999999</v>
      </c>
      <c r="CQ70" s="129">
        <v>45853.625</v>
      </c>
      <c r="CR70" s="54">
        <v>55.322000000000003</v>
      </c>
    </row>
    <row r="71" spans="1:96" x14ac:dyDescent="0.3">
      <c r="A71" s="142">
        <v>45925.625</v>
      </c>
      <c r="B71" s="76">
        <f t="shared" si="20"/>
        <v>92.45</v>
      </c>
      <c r="C71" s="31">
        <f t="shared" si="6"/>
        <v>-386048.98828541179</v>
      </c>
      <c r="D71" s="32">
        <f t="shared" si="7"/>
        <v>-232062.49999999997</v>
      </c>
      <c r="E71" s="76">
        <f t="shared" si="21"/>
        <v>100.822</v>
      </c>
      <c r="F71" s="31">
        <f t="shared" si="8"/>
        <v>-83799.999999999374</v>
      </c>
      <c r="G71" s="32">
        <f t="shared" si="9"/>
        <v>-82620.583166666649</v>
      </c>
      <c r="H71" s="76">
        <f t="shared" si="22"/>
        <v>120.43</v>
      </c>
      <c r="I71" s="31">
        <f t="shared" si="10"/>
        <v>-518539.78671042033</v>
      </c>
      <c r="J71" s="32">
        <f t="shared" si="11"/>
        <v>-399147.49999999994</v>
      </c>
      <c r="K71" s="76">
        <f t="shared" si="23"/>
        <v>99.263000000000005</v>
      </c>
      <c r="L71" s="31">
        <f t="shared" si="12"/>
        <v>-203769.99999999994</v>
      </c>
      <c r="M71" s="32">
        <f t="shared" si="13"/>
        <v>-181730.21311111108</v>
      </c>
      <c r="N71" s="82">
        <f t="shared" si="14"/>
        <v>80496.168480563618</v>
      </c>
      <c r="O71" s="82"/>
      <c r="P71" s="82"/>
      <c r="Q71" s="82">
        <f>$G$5*SUM($O$14:O71)-$H$5*SUM($P$14:P71)</f>
        <v>-42369.391500000027</v>
      </c>
      <c r="R71" s="82">
        <f t="shared" si="15"/>
        <v>38126.776980563591</v>
      </c>
      <c r="S71" s="143"/>
      <c r="U71" s="75">
        <v>45854.625</v>
      </c>
      <c r="V71" s="54">
        <v>93.96</v>
      </c>
      <c r="W71" s="75">
        <v>45852.625</v>
      </c>
      <c r="X71" s="54">
        <v>101.181</v>
      </c>
      <c r="Y71" s="125">
        <v>45859.625</v>
      </c>
      <c r="Z71" s="54">
        <v>120.31</v>
      </c>
      <c r="AA71" s="75">
        <v>45940.625</v>
      </c>
      <c r="AB71" s="54">
        <v>99.754000000000005</v>
      </c>
      <c r="AG71" s="75"/>
      <c r="AH71" s="58"/>
      <c r="AI71" s="75"/>
      <c r="AJ71" s="58"/>
      <c r="AK71" s="75"/>
      <c r="AM71" s="75"/>
      <c r="AO71" s="75"/>
      <c r="AP71" s="58"/>
      <c r="AQ71" s="75"/>
      <c r="BE71" s="75">
        <v>45853.625</v>
      </c>
      <c r="BF71" s="54">
        <v>79.849999999999994</v>
      </c>
      <c r="BI71" s="75">
        <v>45853.625</v>
      </c>
      <c r="BJ71" s="54">
        <v>107.66</v>
      </c>
      <c r="BS71" s="75"/>
      <c r="BT71" s="58"/>
      <c r="BU71" s="75"/>
      <c r="BV71" s="58"/>
      <c r="BW71" s="75"/>
      <c r="BY71" s="75"/>
      <c r="CA71" s="129">
        <v>45859.625</v>
      </c>
      <c r="CB71" s="54">
        <v>107.4918</v>
      </c>
      <c r="CC71" s="129">
        <v>45859.625</v>
      </c>
      <c r="CD71" s="54">
        <v>51.058999999999997</v>
      </c>
      <c r="CO71" s="129">
        <v>45854.625</v>
      </c>
      <c r="CP71" s="54">
        <v>285.31700000000001</v>
      </c>
      <c r="CQ71" s="129">
        <v>45854.625</v>
      </c>
      <c r="CR71" s="54">
        <v>55.634</v>
      </c>
    </row>
    <row r="72" spans="1:96" x14ac:dyDescent="0.3">
      <c r="A72" s="142">
        <v>45926.625</v>
      </c>
      <c r="B72" s="76">
        <f t="shared" si="20"/>
        <v>92.46</v>
      </c>
      <c r="C72" s="31">
        <f t="shared" si="6"/>
        <v>-383386.58146965242</v>
      </c>
      <c r="D72" s="32">
        <f t="shared" si="7"/>
        <v>-234999.99999999997</v>
      </c>
      <c r="E72" s="76">
        <f t="shared" si="21"/>
        <v>100.866</v>
      </c>
      <c r="F72" s="31">
        <f t="shared" si="8"/>
        <v>-75000</v>
      </c>
      <c r="G72" s="32">
        <f t="shared" si="9"/>
        <v>-83666.413333333301</v>
      </c>
      <c r="H72" s="76">
        <f t="shared" si="22"/>
        <v>120.43</v>
      </c>
      <c r="I72" s="31">
        <f t="shared" si="10"/>
        <v>-518539.78671042033</v>
      </c>
      <c r="J72" s="32">
        <f t="shared" si="11"/>
        <v>-404199.99999999994</v>
      </c>
      <c r="K72" s="76">
        <f t="shared" si="23"/>
        <v>99.38</v>
      </c>
      <c r="L72" s="31">
        <f t="shared" si="12"/>
        <v>-155800.00000000396</v>
      </c>
      <c r="M72" s="32">
        <f t="shared" si="13"/>
        <v>-184030.59555555551</v>
      </c>
      <c r="N72" s="82">
        <f t="shared" si="14"/>
        <v>123189.02301854177</v>
      </c>
      <c r="O72" s="82"/>
      <c r="P72" s="82"/>
      <c r="Q72" s="82">
        <f>$G$5*SUM($O$14:O72)-$H$5*SUM($P$14:P72)</f>
        <v>-42369.391500000027</v>
      </c>
      <c r="R72" s="82">
        <f t="shared" si="15"/>
        <v>80819.631518541748</v>
      </c>
      <c r="S72" s="143"/>
      <c r="U72" s="75">
        <v>45855.625</v>
      </c>
      <c r="V72" s="54">
        <v>94.08</v>
      </c>
      <c r="W72" s="75">
        <v>45853.625</v>
      </c>
      <c r="X72" s="54">
        <v>101.23699999999999</v>
      </c>
      <c r="Y72" s="125">
        <v>45860.625</v>
      </c>
      <c r="Z72" s="54">
        <v>120.48</v>
      </c>
      <c r="AA72" s="75">
        <v>45943.625</v>
      </c>
      <c r="AB72" s="54">
        <v>99.923000000000002</v>
      </c>
      <c r="AG72" s="75"/>
      <c r="AH72" s="58"/>
      <c r="AI72" s="75"/>
      <c r="AJ72" s="58"/>
      <c r="AK72" s="75"/>
      <c r="AM72" s="75"/>
      <c r="AO72" s="75"/>
      <c r="AP72" s="58"/>
      <c r="AQ72" s="75"/>
      <c r="BE72" s="75">
        <v>45854.625</v>
      </c>
      <c r="BF72" s="54">
        <v>80.06</v>
      </c>
      <c r="BI72" s="75">
        <v>45854.625</v>
      </c>
      <c r="BJ72" s="54">
        <v>107.83</v>
      </c>
      <c r="BS72" s="75"/>
      <c r="BT72" s="58"/>
      <c r="BU72" s="75"/>
      <c r="BV72" s="58"/>
      <c r="BW72" s="75"/>
      <c r="BY72" s="75"/>
      <c r="CA72" s="129">
        <v>45860.625</v>
      </c>
      <c r="CB72" s="54">
        <v>107.44840000000001</v>
      </c>
      <c r="CC72" s="129">
        <v>45860.625</v>
      </c>
      <c r="CD72" s="54">
        <v>51.103000000000002</v>
      </c>
      <c r="CO72" s="129">
        <v>45855.625</v>
      </c>
      <c r="CP72" s="54">
        <v>279.93299999999999</v>
      </c>
      <c r="CQ72" s="129">
        <v>45855.625</v>
      </c>
      <c r="CR72" s="54">
        <v>54.454000000000001</v>
      </c>
    </row>
    <row r="73" spans="1:96" x14ac:dyDescent="0.3">
      <c r="A73" s="142">
        <v>45929.625</v>
      </c>
      <c r="B73" s="76">
        <f t="shared" si="20"/>
        <v>92.5</v>
      </c>
      <c r="C73" s="31">
        <f t="shared" si="6"/>
        <v>-372736.95420660393</v>
      </c>
      <c r="D73" s="32">
        <f t="shared" si="7"/>
        <v>-243812.50000000003</v>
      </c>
      <c r="E73" s="76">
        <f t="shared" si="21"/>
        <v>100.89</v>
      </c>
      <c r="F73" s="31">
        <f t="shared" si="8"/>
        <v>-70199.999999999825</v>
      </c>
      <c r="G73" s="32">
        <f t="shared" si="9"/>
        <v>-86803.903833333359</v>
      </c>
      <c r="H73" s="76">
        <f t="shared" si="22"/>
        <v>120.76</v>
      </c>
      <c r="I73" s="31">
        <f t="shared" si="10"/>
        <v>-402132.89581624354</v>
      </c>
      <c r="J73" s="32">
        <f t="shared" si="11"/>
        <v>-419357.50000000006</v>
      </c>
      <c r="K73" s="76">
        <f t="shared" si="23"/>
        <v>99.456000000000003</v>
      </c>
      <c r="L73" s="31">
        <f t="shared" si="12"/>
        <v>-124640.00000000084</v>
      </c>
      <c r="M73" s="32">
        <f t="shared" si="13"/>
        <v>-190931.74288888896</v>
      </c>
      <c r="N73" s="82">
        <f t="shared" si="14"/>
        <v>46373.102554083103</v>
      </c>
      <c r="O73" s="82"/>
      <c r="P73" s="82"/>
      <c r="Q73" s="82">
        <f>$G$5*SUM($O$14:O73)-$H$5*SUM($P$14:P73)</f>
        <v>-42369.391500000027</v>
      </c>
      <c r="R73" s="82">
        <f t="shared" si="15"/>
        <v>4003.7110540830763</v>
      </c>
      <c r="S73" s="143"/>
      <c r="U73" s="75">
        <v>45856.625</v>
      </c>
      <c r="V73" s="54">
        <v>94.09</v>
      </c>
      <c r="W73" s="75">
        <v>45854.625</v>
      </c>
      <c r="X73" s="54">
        <v>101.31</v>
      </c>
      <c r="Y73" s="125">
        <v>45861.625</v>
      </c>
      <c r="Z73" s="54">
        <v>120.5</v>
      </c>
      <c r="AA73" s="75">
        <v>45944.625</v>
      </c>
      <c r="AB73" s="54">
        <v>99.977999999999994</v>
      </c>
      <c r="AG73" s="75"/>
      <c r="AH73" s="58"/>
      <c r="AI73" s="75"/>
      <c r="AJ73" s="58"/>
      <c r="AK73" s="75"/>
      <c r="AM73" s="75"/>
      <c r="AO73" s="75"/>
      <c r="AP73" s="58"/>
      <c r="AQ73" s="75"/>
      <c r="BE73" s="75">
        <v>45855.625</v>
      </c>
      <c r="BF73" s="54">
        <v>80.14</v>
      </c>
      <c r="BI73" s="75">
        <v>45855.625</v>
      </c>
      <c r="BJ73" s="54">
        <v>108.09</v>
      </c>
      <c r="BS73" s="75"/>
      <c r="BT73" s="58"/>
      <c r="BU73" s="75"/>
      <c r="BV73" s="58"/>
      <c r="BW73" s="75"/>
      <c r="BY73" s="75"/>
      <c r="CA73" s="129">
        <v>45861.625</v>
      </c>
      <c r="CB73" s="54">
        <v>107.6756</v>
      </c>
      <c r="CC73" s="129">
        <v>45861.625</v>
      </c>
      <c r="CD73" s="54">
        <v>50.188000000000002</v>
      </c>
      <c r="CO73" s="129">
        <v>45856.625</v>
      </c>
      <c r="CP73" s="54">
        <v>277.86799999999999</v>
      </c>
      <c r="CQ73" s="129">
        <v>45856.625</v>
      </c>
      <c r="CR73" s="54">
        <v>53.975999999999999</v>
      </c>
    </row>
    <row r="74" spans="1:96" x14ac:dyDescent="0.3">
      <c r="A74" s="142">
        <v>45930.625</v>
      </c>
      <c r="B74" s="76">
        <f t="shared" si="20"/>
        <v>92.47</v>
      </c>
      <c r="C74" s="31">
        <f t="shared" si="6"/>
        <v>-380724.17465388752</v>
      </c>
      <c r="D74" s="32">
        <f t="shared" si="7"/>
        <v>-246750</v>
      </c>
      <c r="E74" s="76">
        <f t="shared" si="21"/>
        <v>100.89400000000001</v>
      </c>
      <c r="F74" s="31">
        <f t="shared" si="8"/>
        <v>-69399.999999998836</v>
      </c>
      <c r="G74" s="32">
        <f t="shared" si="9"/>
        <v>-87849.733999999997</v>
      </c>
      <c r="H74" s="76">
        <f t="shared" si="22"/>
        <v>120.78</v>
      </c>
      <c r="I74" s="31">
        <f t="shared" si="10"/>
        <v>-395077.93273174972</v>
      </c>
      <c r="J74" s="32">
        <f t="shared" si="11"/>
        <v>-424410</v>
      </c>
      <c r="K74" s="76">
        <f t="shared" si="23"/>
        <v>99.484999999999999</v>
      </c>
      <c r="L74" s="31">
        <f t="shared" si="12"/>
        <v>-112750.00000000233</v>
      </c>
      <c r="M74" s="32">
        <f t="shared" si="13"/>
        <v>-193232.12533333333</v>
      </c>
      <c r="N74" s="82">
        <f t="shared" si="14"/>
        <v>43281.366744525381</v>
      </c>
      <c r="O74" s="82"/>
      <c r="P74" s="82"/>
      <c r="Q74" s="82">
        <f>$G$5*SUM($O$14:O74)-$H$5*SUM($P$14:P74)</f>
        <v>-42369.391500000027</v>
      </c>
      <c r="R74" s="82">
        <f t="shared" si="15"/>
        <v>911.97524452535436</v>
      </c>
      <c r="S74" s="143"/>
      <c r="U74" s="75">
        <v>45859.625</v>
      </c>
      <c r="V74" s="54">
        <v>94.13</v>
      </c>
      <c r="W74" s="75">
        <v>45855.625</v>
      </c>
      <c r="X74" s="54">
        <v>101.328</v>
      </c>
      <c r="Y74" s="125">
        <v>45862.625</v>
      </c>
      <c r="Z74" s="54">
        <v>120.16</v>
      </c>
      <c r="AA74" s="75">
        <v>45945.625</v>
      </c>
      <c r="AB74" s="54">
        <v>100.18899999999999</v>
      </c>
      <c r="AG74" s="75"/>
      <c r="AH74" s="58"/>
      <c r="AI74" s="75"/>
      <c r="AJ74" s="58"/>
      <c r="AK74" s="75"/>
      <c r="AM74" s="75"/>
      <c r="AO74" s="75"/>
      <c r="AP74" s="58"/>
      <c r="AQ74" s="75"/>
      <c r="BE74" s="75">
        <v>45856.625</v>
      </c>
      <c r="BF74" s="54">
        <v>80.25</v>
      </c>
      <c r="BI74" s="75">
        <v>45856.625</v>
      </c>
      <c r="BJ74" s="54">
        <v>108.29</v>
      </c>
      <c r="BS74" s="75"/>
      <c r="BT74" s="58"/>
      <c r="BU74" s="75"/>
      <c r="BV74" s="58"/>
      <c r="BW74" s="75"/>
      <c r="BY74" s="75"/>
      <c r="CA74" s="129">
        <v>45862.625</v>
      </c>
      <c r="CB74" s="54">
        <v>107.5968</v>
      </c>
      <c r="CC74" s="129">
        <v>45862.625</v>
      </c>
      <c r="CD74" s="54">
        <v>50.165999999999997</v>
      </c>
      <c r="CO74" s="129">
        <v>45859.625</v>
      </c>
      <c r="CP74" s="54">
        <v>278.05399999999997</v>
      </c>
      <c r="CQ74" s="129">
        <v>45859.625</v>
      </c>
      <c r="CR74" s="54">
        <v>54.119</v>
      </c>
    </row>
    <row r="75" spans="1:96" x14ac:dyDescent="0.3">
      <c r="A75" s="142">
        <v>45931.625</v>
      </c>
      <c r="B75" s="76">
        <f t="shared" si="20"/>
        <v>92.57</v>
      </c>
      <c r="C75" s="31">
        <f t="shared" si="6"/>
        <v>-354100.10649627732</v>
      </c>
      <c r="D75" s="32">
        <f t="shared" si="7"/>
        <v>-249687.5</v>
      </c>
      <c r="E75" s="76">
        <f t="shared" si="21"/>
        <v>100.92</v>
      </c>
      <c r="F75" s="31">
        <f t="shared" si="8"/>
        <v>-64199.999999999585</v>
      </c>
      <c r="G75" s="32">
        <f t="shared" si="9"/>
        <v>-88895.564166666663</v>
      </c>
      <c r="H75" s="76">
        <f t="shared" si="22"/>
        <v>120.85</v>
      </c>
      <c r="I75" s="31">
        <f t="shared" si="10"/>
        <v>-370385.56193601654</v>
      </c>
      <c r="J75" s="32">
        <f t="shared" si="11"/>
        <v>-429462.5</v>
      </c>
      <c r="K75" s="76">
        <f t="shared" si="23"/>
        <v>99.536000000000001</v>
      </c>
      <c r="L75" s="31">
        <f t="shared" si="12"/>
        <v>-91840.000000001543</v>
      </c>
      <c r="M75" s="32">
        <f t="shared" si="13"/>
        <v>-195532.50777777776</v>
      </c>
      <c r="N75" s="82">
        <f t="shared" si="14"/>
        <v>61783.511828626157</v>
      </c>
      <c r="O75" s="82"/>
      <c r="P75" s="82"/>
      <c r="Q75" s="82">
        <f>$G$5*SUM($O$14:O75)-$H$5*SUM($P$14:P75)</f>
        <v>-42369.391500000027</v>
      </c>
      <c r="R75" s="82">
        <f t="shared" si="15"/>
        <v>19414.12032862613</v>
      </c>
      <c r="S75" s="143"/>
      <c r="U75" s="75">
        <v>45860.625</v>
      </c>
      <c r="V75" s="54">
        <v>94.13</v>
      </c>
      <c r="W75" s="75">
        <v>45856.625</v>
      </c>
      <c r="X75" s="54">
        <v>101.28</v>
      </c>
      <c r="Y75" s="125">
        <v>45863.625</v>
      </c>
      <c r="Z75" s="54">
        <v>120.06</v>
      </c>
      <c r="AA75" s="75">
        <v>45946.625</v>
      </c>
      <c r="AB75" s="54">
        <v>100.14700000000001</v>
      </c>
      <c r="AG75" s="75"/>
      <c r="AI75" s="75"/>
      <c r="AK75" s="75"/>
      <c r="AM75" s="75"/>
      <c r="AO75" s="75"/>
      <c r="AQ75" s="75"/>
      <c r="BE75" s="75">
        <v>45859.625</v>
      </c>
      <c r="BF75" s="54">
        <v>80.36</v>
      </c>
      <c r="BI75" s="75">
        <v>45859.625</v>
      </c>
      <c r="BJ75" s="54">
        <v>108.71</v>
      </c>
      <c r="BS75" s="75"/>
      <c r="BU75" s="75"/>
      <c r="BW75" s="75"/>
      <c r="BY75" s="75"/>
      <c r="CA75" s="129">
        <v>45863.625</v>
      </c>
      <c r="CB75" s="54">
        <v>107.6135</v>
      </c>
      <c r="CC75" s="129">
        <v>45863.625</v>
      </c>
      <c r="CD75" s="54">
        <v>49.981999999999999</v>
      </c>
      <c r="CO75" s="129">
        <v>45860.625</v>
      </c>
      <c r="CP75" s="54">
        <v>280.26299999999998</v>
      </c>
      <c r="CQ75" s="129">
        <v>45860.625</v>
      </c>
      <c r="CR75" s="54">
        <v>54.722000000000001</v>
      </c>
    </row>
    <row r="76" spans="1:96" x14ac:dyDescent="0.3">
      <c r="A76" s="142">
        <v>45932.625</v>
      </c>
      <c r="B76" s="76">
        <f t="shared" si="20"/>
        <v>92.64</v>
      </c>
      <c r="C76" s="31">
        <f t="shared" si="6"/>
        <v>-335463.25878594519</v>
      </c>
      <c r="D76" s="32">
        <f t="shared" si="7"/>
        <v>-252624.99999999997</v>
      </c>
      <c r="E76" s="76">
        <f t="shared" si="21"/>
        <v>100.905</v>
      </c>
      <c r="F76" s="31">
        <f t="shared" si="8"/>
        <v>-67199.999999999709</v>
      </c>
      <c r="G76" s="32">
        <f t="shared" si="9"/>
        <v>-89941.394333333345</v>
      </c>
      <c r="H76" s="76">
        <f t="shared" si="22"/>
        <v>120.92</v>
      </c>
      <c r="I76" s="31">
        <f t="shared" si="10"/>
        <v>-345693.19114027865</v>
      </c>
      <c r="J76" s="32">
        <f t="shared" si="11"/>
        <v>-434515</v>
      </c>
      <c r="K76" s="76">
        <f t="shared" si="23"/>
        <v>99.51</v>
      </c>
      <c r="L76" s="31">
        <f t="shared" si="12"/>
        <v>-102500</v>
      </c>
      <c r="M76" s="32">
        <f t="shared" si="13"/>
        <v>-197832.89022222228</v>
      </c>
      <c r="N76" s="82">
        <f t="shared" si="14"/>
        <v>48928.436465444305</v>
      </c>
      <c r="O76" s="82"/>
      <c r="P76" s="82"/>
      <c r="Q76" s="82">
        <f>$G$5*SUM($O$14:O76)-$H$5*SUM($P$14:P76)</f>
        <v>-42369.391500000027</v>
      </c>
      <c r="R76" s="82">
        <f t="shared" si="15"/>
        <v>6559.0449654442782</v>
      </c>
      <c r="S76" s="143"/>
      <c r="U76" s="75">
        <v>45861.625</v>
      </c>
      <c r="V76" s="54">
        <v>94.21</v>
      </c>
      <c r="W76" s="75">
        <v>45859.625</v>
      </c>
      <c r="X76" s="54">
        <v>101.45</v>
      </c>
      <c r="Y76" s="125">
        <v>45866.625</v>
      </c>
      <c r="Z76" s="54">
        <v>120.25</v>
      </c>
      <c r="AA76" s="75">
        <v>45947.625</v>
      </c>
      <c r="AB76" s="54">
        <v>100.146</v>
      </c>
      <c r="AG76" s="75"/>
      <c r="AI76" s="75"/>
      <c r="AK76" s="75"/>
      <c r="AM76" s="75"/>
      <c r="AO76" s="75"/>
      <c r="AQ76" s="75"/>
      <c r="BE76" s="75">
        <v>45860.625</v>
      </c>
      <c r="BF76" s="54">
        <v>80.5</v>
      </c>
      <c r="BI76" s="75">
        <v>45860.625</v>
      </c>
      <c r="BJ76" s="54">
        <v>108.97</v>
      </c>
      <c r="BS76" s="75"/>
      <c r="BU76" s="75"/>
      <c r="BW76" s="75"/>
      <c r="BY76" s="75"/>
      <c r="CA76" s="129">
        <v>45866.625</v>
      </c>
      <c r="CB76" s="54">
        <v>107.57810000000001</v>
      </c>
      <c r="CC76" s="129">
        <v>45866.625</v>
      </c>
      <c r="CD76" s="54">
        <v>50.213999999999999</v>
      </c>
      <c r="CO76" s="129">
        <v>45861.625</v>
      </c>
      <c r="CP76" s="54">
        <v>276.29399999999998</v>
      </c>
      <c r="CQ76" s="129">
        <v>45861.625</v>
      </c>
      <c r="CR76" s="54">
        <v>53.884</v>
      </c>
    </row>
    <row r="77" spans="1:96" x14ac:dyDescent="0.3">
      <c r="A77" s="142">
        <v>45933.625</v>
      </c>
      <c r="B77" s="76">
        <f t="shared" si="20"/>
        <v>92.6</v>
      </c>
      <c r="C77" s="31">
        <f t="shared" si="6"/>
        <v>-346112.88604899094</v>
      </c>
      <c r="D77" s="32">
        <f t="shared" si="7"/>
        <v>-255562.49999999997</v>
      </c>
      <c r="E77" s="76">
        <f t="shared" si="21"/>
        <v>100.893</v>
      </c>
      <c r="F77" s="31">
        <f t="shared" si="8"/>
        <v>-69599.999999999796</v>
      </c>
      <c r="G77" s="32">
        <f t="shared" si="9"/>
        <v>-90987.224499999938</v>
      </c>
      <c r="H77" s="76">
        <f t="shared" si="22"/>
        <v>120.97</v>
      </c>
      <c r="I77" s="31">
        <f t="shared" si="10"/>
        <v>-328055.78342904407</v>
      </c>
      <c r="J77" s="32">
        <f t="shared" si="11"/>
        <v>-439567.49999999994</v>
      </c>
      <c r="K77" s="76">
        <f t="shared" si="23"/>
        <v>99.492999999999995</v>
      </c>
      <c r="L77" s="31">
        <f t="shared" si="12"/>
        <v>-109470.00000000415</v>
      </c>
      <c r="M77" s="32">
        <f t="shared" si="13"/>
        <v>-200133.27266666657</v>
      </c>
      <c r="N77" s="82">
        <f t="shared" si="14"/>
        <v>16931.849213382142</v>
      </c>
      <c r="O77" s="82"/>
      <c r="P77" s="82"/>
      <c r="Q77" s="82">
        <f>$G$5*SUM($O$14:O77)-$H$5*SUM($P$14:P77)</f>
        <v>-42369.391500000027</v>
      </c>
      <c r="R77" s="82">
        <f t="shared" si="15"/>
        <v>-25437.542286617885</v>
      </c>
      <c r="S77" s="143"/>
      <c r="U77" s="75">
        <v>45862.625</v>
      </c>
      <c r="V77" s="54">
        <v>94.34</v>
      </c>
      <c r="W77" s="75">
        <v>45860.625</v>
      </c>
      <c r="X77" s="54">
        <v>101.5</v>
      </c>
      <c r="Y77" s="125">
        <v>45867.625</v>
      </c>
      <c r="Z77" s="54">
        <v>120.32</v>
      </c>
      <c r="AG77" s="75"/>
      <c r="AI77" s="75"/>
      <c r="AK77" s="75"/>
      <c r="AM77" s="75"/>
      <c r="AO77" s="75"/>
      <c r="AQ77" s="75"/>
      <c r="BE77" s="75">
        <v>45861.625</v>
      </c>
      <c r="BF77" s="54">
        <v>80.540000000000006</v>
      </c>
      <c r="BI77" s="75">
        <v>45861.625</v>
      </c>
      <c r="BJ77" s="54">
        <v>108.8</v>
      </c>
      <c r="BS77" s="75"/>
      <c r="BU77" s="75"/>
      <c r="BW77" s="75"/>
      <c r="BY77" s="75"/>
      <c r="CA77" s="129">
        <v>45867.625</v>
      </c>
      <c r="CB77" s="54">
        <v>107.3954</v>
      </c>
      <c r="CC77" s="129">
        <v>45867.625</v>
      </c>
      <c r="CD77" s="54">
        <v>50.765000000000001</v>
      </c>
      <c r="CO77" s="129">
        <v>45862.625</v>
      </c>
      <c r="CP77" s="54">
        <v>269.95100000000002</v>
      </c>
      <c r="CQ77" s="129">
        <v>45862.625</v>
      </c>
      <c r="CR77" s="54">
        <v>52.994999999999997</v>
      </c>
    </row>
    <row r="78" spans="1:96" x14ac:dyDescent="0.3">
      <c r="A78" s="142">
        <v>45936.625</v>
      </c>
      <c r="B78" s="76">
        <f t="shared" si="20"/>
        <v>92.49</v>
      </c>
      <c r="C78" s="31">
        <f t="shared" si="6"/>
        <v>-375399.36102236604</v>
      </c>
      <c r="D78" s="32">
        <f t="shared" si="7"/>
        <v>-264375</v>
      </c>
      <c r="E78" s="76">
        <f t="shared" si="21"/>
        <v>100.928</v>
      </c>
      <c r="F78" s="31">
        <f t="shared" si="8"/>
        <v>-62600.000000000473</v>
      </c>
      <c r="G78" s="32">
        <f t="shared" si="9"/>
        <v>-94124.714999999997</v>
      </c>
      <c r="H78" s="76">
        <f t="shared" si="22"/>
        <v>120.96</v>
      </c>
      <c r="I78" s="31">
        <f t="shared" si="10"/>
        <v>-331583.26497129101</v>
      </c>
      <c r="J78" s="32">
        <f t="shared" si="11"/>
        <v>-454725</v>
      </c>
      <c r="K78" s="76">
        <f t="shared" si="23"/>
        <v>99.536000000000001</v>
      </c>
      <c r="L78" s="31">
        <f t="shared" si="12"/>
        <v>-91840.000000001543</v>
      </c>
      <c r="M78" s="32">
        <f t="shared" si="13"/>
        <v>-207034.41999999998</v>
      </c>
      <c r="N78" s="82">
        <f t="shared" si="14"/>
        <v>4384.1989489239349</v>
      </c>
      <c r="O78" s="82"/>
      <c r="P78" s="82"/>
      <c r="Q78" s="82">
        <f>$G$5*SUM($O$14:O78)-$H$5*SUM($P$14:P78)</f>
        <v>-42369.391500000027</v>
      </c>
      <c r="R78" s="82">
        <f t="shared" si="15"/>
        <v>-37985.192551076092</v>
      </c>
      <c r="S78" s="143"/>
      <c r="U78" s="75">
        <v>45863.625</v>
      </c>
      <c r="V78" s="54">
        <v>94.27</v>
      </c>
      <c r="W78" s="75">
        <v>45861.625</v>
      </c>
      <c r="X78" s="54">
        <v>101.505</v>
      </c>
      <c r="Y78" s="125">
        <v>45868.625</v>
      </c>
      <c r="Z78" s="54">
        <v>120.21</v>
      </c>
      <c r="AG78" s="75"/>
      <c r="AI78" s="75"/>
      <c r="AK78" s="75"/>
      <c r="AM78" s="75"/>
      <c r="AO78" s="75"/>
      <c r="AQ78" s="75"/>
      <c r="BE78" s="75">
        <v>45862.625</v>
      </c>
      <c r="BF78" s="54">
        <v>80.44</v>
      </c>
      <c r="BI78" s="75">
        <v>45862.625</v>
      </c>
      <c r="BJ78" s="54">
        <v>108.64</v>
      </c>
      <c r="BS78" s="75"/>
      <c r="BU78" s="75"/>
      <c r="BW78" s="75"/>
      <c r="BY78" s="75"/>
      <c r="CA78" s="129">
        <v>45868.625</v>
      </c>
      <c r="CB78" s="54">
        <v>107.27</v>
      </c>
      <c r="CC78" s="129">
        <v>45868.625</v>
      </c>
      <c r="CD78" s="54">
        <v>50.996000000000002</v>
      </c>
      <c r="CO78" s="129">
        <v>45863.625</v>
      </c>
      <c r="CP78" s="54">
        <v>269.66199999999998</v>
      </c>
      <c r="CQ78" s="129">
        <v>45863.625</v>
      </c>
      <c r="CR78" s="54">
        <v>52.911000000000001</v>
      </c>
    </row>
    <row r="79" spans="1:96" x14ac:dyDescent="0.3">
      <c r="A79" s="142">
        <v>45937.625</v>
      </c>
      <c r="B79" s="76">
        <f t="shared" si="20"/>
        <v>92.19</v>
      </c>
      <c r="C79" s="31">
        <f t="shared" ref="C79:C86" si="62">(B79/$B$14-1)*$B$5</f>
        <v>-455271.56549521053</v>
      </c>
      <c r="D79" s="32">
        <f t="shared" ref="D79:D86" si="63">-1*(A79-$A$14)/360*$B$7*$B$5</f>
        <v>-267312.5</v>
      </c>
      <c r="E79" s="76">
        <f t="shared" si="21"/>
        <v>100.908</v>
      </c>
      <c r="F79" s="31">
        <f t="shared" ref="F79:F86" si="64">(E79-$E$14)/100*$C$5</f>
        <v>-66599.99999999968</v>
      </c>
      <c r="G79" s="32">
        <f t="shared" ref="G79:G86" si="65">(A79-$A$14)/360*$C$6*$C$5-(A79-$A$14)/360*$C$7*$C$5*$E$14/100</f>
        <v>-95170.545166666663</v>
      </c>
      <c r="H79" s="76">
        <f t="shared" si="22"/>
        <v>120.93</v>
      </c>
      <c r="I79" s="31">
        <f t="shared" ref="I79:I86" si="66">(H79/$H$14-1)*$D$5</f>
        <v>-342165.70959803171</v>
      </c>
      <c r="J79" s="32">
        <f t="shared" ref="J79:J86" si="67">-1*(A79-$A$14)/360*$D$7*$D$5</f>
        <v>-459777.49999999994</v>
      </c>
      <c r="K79" s="76">
        <f t="shared" si="23"/>
        <v>99.483000000000004</v>
      </c>
      <c r="L79" s="31">
        <f t="shared" ref="L79:L86" si="68">(K79-$K$14)/100*$E$5</f>
        <v>-113570.00000000042</v>
      </c>
      <c r="M79" s="32">
        <f t="shared" ref="M79:M86" si="69">(A79-$A$14)/360*$E$6*$E$5-(A79-$A$14)/360*$E$7*$E$5*$K$14/100</f>
        <v>-209334.80244444442</v>
      </c>
      <c r="N79" s="82">
        <f t="shared" ref="N79:N86" si="70">C79+D79-F79-G79-I79-J79+L79+M79</f>
        <v>-81775.113174957383</v>
      </c>
      <c r="O79" s="82"/>
      <c r="P79" s="82"/>
      <c r="Q79" s="82">
        <f>$G$5*SUM($O$14:O79)-$H$5*SUM($P$14:P79)</f>
        <v>-42369.391500000027</v>
      </c>
      <c r="R79" s="82">
        <f t="shared" ref="R79:R86" si="71">N79+Q79</f>
        <v>-124144.50467495741</v>
      </c>
      <c r="S79" s="143"/>
      <c r="U79" s="75">
        <v>45866.625</v>
      </c>
      <c r="V79" s="54">
        <v>94.37</v>
      </c>
      <c r="W79" s="75">
        <v>45862.625</v>
      </c>
      <c r="X79" s="54">
        <v>101.15300000000001</v>
      </c>
      <c r="Y79" s="125">
        <v>45869.625</v>
      </c>
      <c r="Z79" s="54">
        <v>120.26</v>
      </c>
      <c r="AG79" s="75"/>
      <c r="AI79" s="75"/>
      <c r="AK79" s="75"/>
      <c r="AM79" s="75"/>
      <c r="AO79" s="75"/>
      <c r="AQ79" s="75"/>
      <c r="BE79" s="75">
        <v>45863.625</v>
      </c>
      <c r="BF79" s="54">
        <v>80.489999999999995</v>
      </c>
      <c r="BI79" s="75">
        <v>45863.625</v>
      </c>
      <c r="BJ79" s="54">
        <v>108.99</v>
      </c>
      <c r="BS79" s="75"/>
      <c r="BU79" s="75"/>
      <c r="BW79" s="75"/>
      <c r="BY79" s="75"/>
      <c r="CA79" s="129">
        <v>45869.625</v>
      </c>
      <c r="CB79" s="54">
        <v>107.2366</v>
      </c>
      <c r="CC79" s="129">
        <v>45869.625</v>
      </c>
      <c r="CD79" s="54">
        <v>51.091000000000001</v>
      </c>
      <c r="CO79" s="129">
        <v>45866.625</v>
      </c>
      <c r="CP79" s="54">
        <v>267.17500000000001</v>
      </c>
      <c r="CQ79" s="129">
        <v>45866.625</v>
      </c>
      <c r="CR79" s="54">
        <v>52.787999999999997</v>
      </c>
    </row>
    <row r="80" spans="1:96" x14ac:dyDescent="0.3">
      <c r="A80" s="142">
        <v>45938.625</v>
      </c>
      <c r="B80" s="76">
        <f t="shared" ref="B80:B86" si="72">VLOOKUP($A80+$I$2,U$3:V$500,2)</f>
        <v>92.12</v>
      </c>
      <c r="C80" s="31">
        <f t="shared" si="62"/>
        <v>-473908.41320553713</v>
      </c>
      <c r="D80" s="32">
        <f t="shared" si="63"/>
        <v>-270249.99999999994</v>
      </c>
      <c r="E80" s="76">
        <f t="shared" ref="E80:E86" si="73">VLOOKUP($A80+$I$2,W$3:X$500,2)</f>
        <v>100.99299999999999</v>
      </c>
      <c r="F80" s="31">
        <f t="shared" si="64"/>
        <v>-49600.000000000931</v>
      </c>
      <c r="G80" s="32">
        <f t="shared" si="65"/>
        <v>-96216.375333333301</v>
      </c>
      <c r="H80" s="76">
        <f t="shared" ref="H80:H86" si="74">VLOOKUP($A80+$I$2,Y$3:Z$500,2)</f>
        <v>121.12</v>
      </c>
      <c r="I80" s="31">
        <f t="shared" si="66"/>
        <v>-275143.56029532605</v>
      </c>
      <c r="J80" s="32">
        <f t="shared" si="67"/>
        <v>-464829.99999999994</v>
      </c>
      <c r="K80" s="76">
        <f t="shared" ref="K80:K86" si="75">VLOOKUP($A80+$I$2,AA$3:AB$500,2)</f>
        <v>99.673000000000002</v>
      </c>
      <c r="L80" s="31">
        <f t="shared" si="68"/>
        <v>-35670.000000001353</v>
      </c>
      <c r="M80" s="32">
        <f t="shared" si="69"/>
        <v>-211635.18488888885</v>
      </c>
      <c r="N80" s="82">
        <f t="shared" si="70"/>
        <v>-105673.66246576702</v>
      </c>
      <c r="O80" s="82"/>
      <c r="P80" s="82"/>
      <c r="Q80" s="82">
        <f>$G$5*SUM($O$14:O80)-$H$5*SUM($P$14:P80)</f>
        <v>-42369.391500000027</v>
      </c>
      <c r="R80" s="82">
        <f t="shared" si="71"/>
        <v>-148043.05396576703</v>
      </c>
      <c r="S80" s="143"/>
      <c r="U80" s="75">
        <v>45867.625</v>
      </c>
      <c r="V80" s="54">
        <v>94.46</v>
      </c>
      <c r="W80" s="75">
        <v>45863.625</v>
      </c>
      <c r="X80" s="54">
        <v>101.054</v>
      </c>
      <c r="Y80" s="125">
        <v>45870.625</v>
      </c>
      <c r="Z80" s="54">
        <v>120.22</v>
      </c>
      <c r="AG80" s="75"/>
      <c r="AI80" s="75"/>
      <c r="AK80" s="75"/>
      <c r="AM80" s="75"/>
      <c r="AO80" s="75"/>
      <c r="AQ80" s="75"/>
      <c r="BE80" s="75">
        <v>45866.625</v>
      </c>
      <c r="BF80" s="54">
        <v>80.45</v>
      </c>
      <c r="BI80" s="75">
        <v>45866.625</v>
      </c>
      <c r="BJ80" s="54">
        <v>108.77</v>
      </c>
      <c r="BS80" s="75"/>
      <c r="BU80" s="75"/>
      <c r="BW80" s="75"/>
      <c r="BY80" s="75"/>
      <c r="CA80" s="129">
        <v>45870.625</v>
      </c>
      <c r="CB80" s="54">
        <v>106.53149999999999</v>
      </c>
      <c r="CC80" s="129">
        <v>45870.625</v>
      </c>
      <c r="CD80" s="54">
        <v>54.185000000000002</v>
      </c>
      <c r="CO80" s="129">
        <v>45867.625</v>
      </c>
      <c r="CP80" s="54">
        <v>264.13499999999999</v>
      </c>
      <c r="CQ80" s="129">
        <v>45867.625</v>
      </c>
      <c r="CR80" s="54">
        <v>52.537999999999997</v>
      </c>
    </row>
    <row r="81" spans="1:96" x14ac:dyDescent="0.3">
      <c r="A81" s="142">
        <v>45939.625</v>
      </c>
      <c r="B81" s="76">
        <f t="shared" si="72"/>
        <v>92</v>
      </c>
      <c r="C81" s="31">
        <f t="shared" si="62"/>
        <v>-505857.29499467713</v>
      </c>
      <c r="D81" s="32">
        <f t="shared" si="63"/>
        <v>-273187.5</v>
      </c>
      <c r="E81" s="76">
        <f t="shared" si="73"/>
        <v>100.934</v>
      </c>
      <c r="F81" s="31">
        <f t="shared" si="64"/>
        <v>-61400.000000000429</v>
      </c>
      <c r="G81" s="32">
        <f t="shared" si="65"/>
        <v>-97262.205499999996</v>
      </c>
      <c r="H81" s="76">
        <f t="shared" si="74"/>
        <v>120.99</v>
      </c>
      <c r="I81" s="31">
        <f t="shared" si="66"/>
        <v>-321000.82034455024</v>
      </c>
      <c r="J81" s="32">
        <f t="shared" si="67"/>
        <v>-469882.5</v>
      </c>
      <c r="K81" s="76">
        <f t="shared" si="75"/>
        <v>99.552999999999997</v>
      </c>
      <c r="L81" s="31">
        <f t="shared" si="68"/>
        <v>-84870.000000003216</v>
      </c>
      <c r="M81" s="32">
        <f t="shared" si="69"/>
        <v>-213935.56733333337</v>
      </c>
      <c r="N81" s="82">
        <f t="shared" si="70"/>
        <v>-128304.83648346302</v>
      </c>
      <c r="O81" s="82"/>
      <c r="P81" s="82"/>
      <c r="Q81" s="82">
        <f>$G$5*SUM($O$14:O81)-$H$5*SUM($P$14:P81)</f>
        <v>-42369.391500000027</v>
      </c>
      <c r="R81" s="82">
        <f t="shared" si="71"/>
        <v>-170674.22798346303</v>
      </c>
      <c r="S81" s="143"/>
      <c r="U81" s="75">
        <v>45868.625</v>
      </c>
      <c r="V81" s="54">
        <v>94.48</v>
      </c>
      <c r="W81" s="75">
        <v>45866.625</v>
      </c>
      <c r="X81" s="54">
        <v>101.17</v>
      </c>
      <c r="Y81" s="125">
        <v>45873.625</v>
      </c>
      <c r="Z81" s="54">
        <v>120.41</v>
      </c>
      <c r="AG81" s="75"/>
      <c r="AI81" s="75"/>
      <c r="AK81" s="75"/>
      <c r="AM81" s="75"/>
      <c r="AO81" s="75"/>
      <c r="AQ81" s="75"/>
      <c r="BE81" s="75">
        <v>45867.625</v>
      </c>
      <c r="BF81" s="54">
        <v>80.5</v>
      </c>
      <c r="BI81" s="75">
        <v>45867.625</v>
      </c>
      <c r="BJ81" s="54">
        <v>109.49</v>
      </c>
      <c r="BS81" s="75"/>
      <c r="BU81" s="75"/>
      <c r="BW81" s="75"/>
      <c r="BY81" s="75"/>
      <c r="CA81" s="129">
        <v>45873.625</v>
      </c>
      <c r="CB81" s="54">
        <v>107.0245</v>
      </c>
      <c r="CC81" s="129">
        <v>45873.625</v>
      </c>
      <c r="CD81" s="54">
        <v>52.07</v>
      </c>
      <c r="CO81" s="129">
        <v>45868.625</v>
      </c>
      <c r="CP81" s="54">
        <v>265.81200000000001</v>
      </c>
      <c r="CQ81" s="129">
        <v>45868.625</v>
      </c>
      <c r="CR81" s="54">
        <v>52.783999999999999</v>
      </c>
    </row>
    <row r="82" spans="1:96" x14ac:dyDescent="0.3">
      <c r="A82" s="142">
        <v>45940.625</v>
      </c>
      <c r="B82" s="76">
        <f t="shared" si="72"/>
        <v>91.78</v>
      </c>
      <c r="C82" s="31">
        <f t="shared" si="62"/>
        <v>-564430.24494142737</v>
      </c>
      <c r="D82" s="32">
        <f t="shared" si="63"/>
        <v>-276125</v>
      </c>
      <c r="E82" s="76">
        <f t="shared" si="73"/>
        <v>101.017</v>
      </c>
      <c r="F82" s="31">
        <f t="shared" si="64"/>
        <v>-44800.000000000749</v>
      </c>
      <c r="G82" s="32">
        <f t="shared" si="65"/>
        <v>-98308.035666666634</v>
      </c>
      <c r="H82" s="76">
        <f t="shared" si="74"/>
        <v>121</v>
      </c>
      <c r="I82" s="31">
        <f t="shared" si="66"/>
        <v>-317473.33880229853</v>
      </c>
      <c r="J82" s="32">
        <f t="shared" si="67"/>
        <v>-474934.99999999994</v>
      </c>
      <c r="K82" s="76">
        <f t="shared" si="75"/>
        <v>99.754000000000005</v>
      </c>
      <c r="L82" s="31">
        <f t="shared" si="68"/>
        <v>-2460.0000000000932</v>
      </c>
      <c r="M82" s="32">
        <f t="shared" si="69"/>
        <v>-216235.94977777774</v>
      </c>
      <c r="N82" s="82">
        <f t="shared" si="70"/>
        <v>-123734.82025023934</v>
      </c>
      <c r="O82" s="82"/>
      <c r="P82" s="82"/>
      <c r="Q82" s="82">
        <f>$G$5*SUM($O$14:O82)-$H$5*SUM($P$14:P82)</f>
        <v>-42369.391500000027</v>
      </c>
      <c r="R82" s="82">
        <f t="shared" si="71"/>
        <v>-166104.21175023937</v>
      </c>
      <c r="S82" s="143"/>
      <c r="U82" s="75">
        <v>45869.625</v>
      </c>
      <c r="V82" s="54">
        <v>94.45</v>
      </c>
      <c r="W82" s="75">
        <v>45867.625</v>
      </c>
      <c r="X82" s="54">
        <v>101.105</v>
      </c>
      <c r="Y82" s="125">
        <v>45874.625</v>
      </c>
      <c r="Z82" s="54">
        <v>120.52</v>
      </c>
      <c r="AG82" s="75"/>
      <c r="AI82" s="75"/>
      <c r="AK82" s="75"/>
      <c r="AM82" s="75"/>
      <c r="AO82" s="75"/>
      <c r="AQ82" s="75"/>
      <c r="BE82" s="75">
        <v>45868.625</v>
      </c>
      <c r="BF82" s="54">
        <v>80.33</v>
      </c>
      <c r="BI82" s="75">
        <v>45868.625</v>
      </c>
      <c r="BJ82" s="54">
        <v>109.08</v>
      </c>
      <c r="BS82" s="75"/>
      <c r="BU82" s="75"/>
      <c r="BW82" s="75"/>
      <c r="BY82" s="75"/>
      <c r="CA82" s="129">
        <v>45874.625</v>
      </c>
      <c r="CB82" s="54">
        <v>106.9378</v>
      </c>
      <c r="CC82" s="129">
        <v>45874.625</v>
      </c>
      <c r="CD82" s="54">
        <v>52.485999999999997</v>
      </c>
      <c r="CO82" s="129">
        <v>45869.625</v>
      </c>
      <c r="CP82" s="54">
        <v>268.60899999999998</v>
      </c>
      <c r="CQ82" s="129">
        <v>45869.625</v>
      </c>
      <c r="CR82" s="54">
        <v>53.713999999999999</v>
      </c>
    </row>
    <row r="83" spans="1:96" x14ac:dyDescent="0.3">
      <c r="A83" s="142">
        <v>45943.625</v>
      </c>
      <c r="B83" s="76">
        <f t="shared" si="72"/>
        <v>91.79</v>
      </c>
      <c r="C83" s="31">
        <f t="shared" si="62"/>
        <v>-561767.83812566521</v>
      </c>
      <c r="D83" s="32">
        <f t="shared" si="63"/>
        <v>-284937.49999999994</v>
      </c>
      <c r="E83" s="76">
        <f t="shared" si="73"/>
        <v>101.122</v>
      </c>
      <c r="F83" s="31">
        <f t="shared" si="64"/>
        <v>-23799.999999999953</v>
      </c>
      <c r="G83" s="32">
        <f t="shared" si="65"/>
        <v>-101445.52616666663</v>
      </c>
      <c r="H83" s="76">
        <f t="shared" si="74"/>
        <v>121.1</v>
      </c>
      <c r="I83" s="31">
        <f t="shared" si="66"/>
        <v>-282198.52337982465</v>
      </c>
      <c r="J83" s="32">
        <f t="shared" si="67"/>
        <v>-490092.49999999988</v>
      </c>
      <c r="K83" s="76">
        <f t="shared" si="75"/>
        <v>99.923000000000002</v>
      </c>
      <c r="L83" s="31">
        <f t="shared" si="68"/>
        <v>66829.999999998647</v>
      </c>
      <c r="M83" s="32">
        <f t="shared" si="69"/>
        <v>-223137.09711111104</v>
      </c>
      <c r="N83" s="82">
        <f t="shared" si="70"/>
        <v>-105475.88569028642</v>
      </c>
      <c r="O83" s="82"/>
      <c r="P83" s="82"/>
      <c r="Q83" s="82">
        <f>$G$5*SUM($O$14:O83)-$H$5*SUM($P$14:P83)</f>
        <v>-42369.391500000027</v>
      </c>
      <c r="R83" s="82">
        <f t="shared" si="71"/>
        <v>-147845.27719028643</v>
      </c>
      <c r="S83" s="143"/>
      <c r="U83" s="75">
        <v>45870.625</v>
      </c>
      <c r="V83" s="54">
        <v>94.32</v>
      </c>
      <c r="W83" s="75">
        <v>45868.625</v>
      </c>
      <c r="X83" s="54">
        <v>101.048</v>
      </c>
      <c r="Y83" s="125">
        <v>45875.625</v>
      </c>
      <c r="Z83" s="54">
        <v>120.41</v>
      </c>
      <c r="AM83" s="75"/>
      <c r="AO83" s="75"/>
      <c r="AQ83" s="75"/>
      <c r="BE83" s="75">
        <v>45869.625</v>
      </c>
      <c r="BF83" s="54">
        <v>80.38</v>
      </c>
      <c r="BI83" s="75">
        <v>45869.625</v>
      </c>
      <c r="BJ83" s="54">
        <v>109.11</v>
      </c>
      <c r="BY83" s="75"/>
      <c r="CA83" s="129">
        <v>45875.625</v>
      </c>
      <c r="CB83" s="54">
        <v>107.005</v>
      </c>
      <c r="CC83" s="129">
        <v>45875.625</v>
      </c>
      <c r="CD83" s="54">
        <v>52.058999999999997</v>
      </c>
      <c r="CO83" s="129">
        <v>45870.625</v>
      </c>
      <c r="CP83" s="54">
        <v>281.363</v>
      </c>
      <c r="CQ83" s="129">
        <v>45870.625</v>
      </c>
      <c r="CR83" s="54">
        <v>56.575000000000003</v>
      </c>
    </row>
    <row r="84" spans="1:96" x14ac:dyDescent="0.3">
      <c r="A84" s="142">
        <v>45944.625</v>
      </c>
      <c r="B84" s="76">
        <f t="shared" si="72"/>
        <v>91.85</v>
      </c>
      <c r="C84" s="31">
        <f t="shared" si="62"/>
        <v>-545793.39723110071</v>
      </c>
      <c r="D84" s="32">
        <f t="shared" si="63"/>
        <v>-287874.99999999994</v>
      </c>
      <c r="E84" s="76">
        <f t="shared" si="73"/>
        <v>101.13800000000001</v>
      </c>
      <c r="F84" s="31">
        <f t="shared" si="64"/>
        <v>-20599.999999998887</v>
      </c>
      <c r="G84" s="32">
        <f t="shared" si="65"/>
        <v>-102491.35633333327</v>
      </c>
      <c r="H84" s="76">
        <f t="shared" si="74"/>
        <v>121.2</v>
      </c>
      <c r="I84" s="31">
        <f t="shared" si="66"/>
        <v>-246923.70795734119</v>
      </c>
      <c r="J84" s="32">
        <f t="shared" si="67"/>
        <v>-495144.99999999988</v>
      </c>
      <c r="K84" s="76">
        <f t="shared" si="75"/>
        <v>99.977999999999994</v>
      </c>
      <c r="L84" s="31">
        <f t="shared" si="68"/>
        <v>89379.999999995605</v>
      </c>
      <c r="M84" s="32">
        <f t="shared" si="69"/>
        <v>-225437.47955555547</v>
      </c>
      <c r="N84" s="82">
        <f t="shared" si="70"/>
        <v>-104565.81249598722</v>
      </c>
      <c r="O84" s="82"/>
      <c r="P84" s="82"/>
      <c r="Q84" s="82">
        <f>$G$5*SUM($O$14:O84)-$H$5*SUM($P$14:P84)</f>
        <v>-42369.391500000027</v>
      </c>
      <c r="R84" s="82">
        <f t="shared" si="71"/>
        <v>-146935.20399598725</v>
      </c>
      <c r="S84" s="143"/>
      <c r="U84" s="75">
        <v>45873.625</v>
      </c>
      <c r="V84" s="54">
        <v>94.38</v>
      </c>
      <c r="W84" s="75">
        <v>45869.625</v>
      </c>
      <c r="X84" s="54">
        <v>101.02200000000001</v>
      </c>
      <c r="Y84" s="125">
        <v>45876.625</v>
      </c>
      <c r="Z84" s="54">
        <v>120.52</v>
      </c>
      <c r="AM84" s="75"/>
      <c r="AO84" s="75"/>
      <c r="BE84" s="75">
        <v>45870.625</v>
      </c>
      <c r="BF84" s="54">
        <v>79.98</v>
      </c>
      <c r="BI84" s="75">
        <v>45870.625</v>
      </c>
      <c r="BJ84" s="54">
        <v>109.63</v>
      </c>
      <c r="BY84" s="75"/>
      <c r="CA84" s="129">
        <v>45876.625</v>
      </c>
      <c r="CB84" s="54">
        <v>106.95959999999999</v>
      </c>
      <c r="CC84" s="129">
        <v>45876.625</v>
      </c>
      <c r="CD84" s="54">
        <v>52.031999999999996</v>
      </c>
      <c r="CO84" s="129">
        <v>45873.625</v>
      </c>
      <c r="CP84" s="54">
        <v>276.33199999999999</v>
      </c>
      <c r="CQ84" s="129">
        <v>45873.625</v>
      </c>
      <c r="CR84" s="54">
        <v>55.798000000000002</v>
      </c>
    </row>
    <row r="85" spans="1:96" x14ac:dyDescent="0.3">
      <c r="A85" s="142">
        <v>45945.625</v>
      </c>
      <c r="B85" s="76">
        <f t="shared" si="72"/>
        <v>92.38</v>
      </c>
      <c r="C85" s="31">
        <f t="shared" si="62"/>
        <v>-404685.83599574392</v>
      </c>
      <c r="D85" s="32">
        <f t="shared" si="63"/>
        <v>-290812.5</v>
      </c>
      <c r="E85" s="76">
        <f t="shared" si="73"/>
        <v>101.23699999999999</v>
      </c>
      <c r="F85" s="31">
        <f t="shared" si="64"/>
        <v>-800.00000000097771</v>
      </c>
      <c r="G85" s="32">
        <f t="shared" si="65"/>
        <v>-103537.18649999995</v>
      </c>
      <c r="H85" s="76">
        <f t="shared" si="74"/>
        <v>121.62</v>
      </c>
      <c r="I85" s="31">
        <f t="shared" si="66"/>
        <v>-98769.483182937431</v>
      </c>
      <c r="J85" s="32">
        <f t="shared" si="67"/>
        <v>-500197.5</v>
      </c>
      <c r="K85" s="76">
        <f t="shared" si="75"/>
        <v>100.18899999999999</v>
      </c>
      <c r="L85" s="31">
        <f t="shared" si="68"/>
        <v>175889.99999999499</v>
      </c>
      <c r="M85" s="32">
        <f t="shared" si="69"/>
        <v>-227737.86200000002</v>
      </c>
      <c r="N85" s="82">
        <f t="shared" si="70"/>
        <v>-44042.028312810697</v>
      </c>
      <c r="O85" s="82"/>
      <c r="P85" s="82"/>
      <c r="Q85" s="82">
        <f>$G$5*SUM($O$14:O85)-$H$5*SUM($P$14:P85)</f>
        <v>-42369.391500000027</v>
      </c>
      <c r="R85" s="82">
        <f t="shared" si="71"/>
        <v>-86411.419812810724</v>
      </c>
      <c r="S85" s="143"/>
      <c r="U85" s="75">
        <v>45874.625</v>
      </c>
      <c r="V85" s="54">
        <v>94.45</v>
      </c>
      <c r="W85" s="75">
        <v>45870.625</v>
      </c>
      <c r="X85" s="54">
        <v>101.155</v>
      </c>
      <c r="Y85" s="125">
        <v>45877.625</v>
      </c>
      <c r="Z85" s="54">
        <v>120.29</v>
      </c>
      <c r="AM85" s="75"/>
      <c r="AO85" s="75"/>
      <c r="BE85" s="75">
        <v>45873.625</v>
      </c>
      <c r="BF85" s="54">
        <v>80.25</v>
      </c>
      <c r="BI85" s="75">
        <v>45873.625</v>
      </c>
      <c r="BJ85" s="54">
        <v>109.82</v>
      </c>
      <c r="BY85" s="75"/>
      <c r="CA85" s="129">
        <v>45877.625</v>
      </c>
      <c r="CB85" s="54">
        <v>107.1588</v>
      </c>
      <c r="CC85" s="129">
        <v>45877.625</v>
      </c>
      <c r="CD85" s="54">
        <v>51.154000000000003</v>
      </c>
      <c r="CO85" s="129">
        <v>45874.625</v>
      </c>
      <c r="CP85" s="54">
        <v>275.041</v>
      </c>
      <c r="CQ85" s="129">
        <v>45874.625</v>
      </c>
      <c r="CR85" s="54">
        <v>55.579000000000001</v>
      </c>
    </row>
    <row r="86" spans="1:96" x14ac:dyDescent="0.3">
      <c r="A86" s="142">
        <v>45946.625</v>
      </c>
      <c r="B86" s="76">
        <f t="shared" si="72"/>
        <v>92.23</v>
      </c>
      <c r="C86" s="31">
        <f t="shared" si="62"/>
        <v>-444621.93823216198</v>
      </c>
      <c r="D86" s="32">
        <f t="shared" si="63"/>
        <v>-293750</v>
      </c>
      <c r="E86" s="76">
        <f t="shared" si="73"/>
        <v>101.221</v>
      </c>
      <c r="F86" s="31">
        <f t="shared" si="64"/>
        <v>-3999.9999999992042</v>
      </c>
      <c r="G86" s="32">
        <f t="shared" si="65"/>
        <v>-104583.01666666666</v>
      </c>
      <c r="H86" s="76">
        <f t="shared" si="74"/>
        <v>121.6</v>
      </c>
      <c r="I86" s="31">
        <f t="shared" si="66"/>
        <v>-105824.44626743604</v>
      </c>
      <c r="J86" s="32">
        <f t="shared" si="67"/>
        <v>-505250</v>
      </c>
      <c r="K86" s="76">
        <f t="shared" si="75"/>
        <v>100.14700000000001</v>
      </c>
      <c r="L86" s="31">
        <f t="shared" si="68"/>
        <v>158670.00000000017</v>
      </c>
      <c r="M86" s="32">
        <f t="shared" si="69"/>
        <v>-230038.24444444443</v>
      </c>
      <c r="N86" s="82">
        <f t="shared" si="70"/>
        <v>-90082.719742504356</v>
      </c>
      <c r="O86" s="82"/>
      <c r="P86" s="82"/>
      <c r="Q86" s="82">
        <f>$G$5*SUM($O$14:O86)-$H$5*SUM($P$14:P86)</f>
        <v>-42369.391500000027</v>
      </c>
      <c r="R86" s="82">
        <f t="shared" si="71"/>
        <v>-132452.11124250438</v>
      </c>
      <c r="S86" s="143"/>
      <c r="U86" s="75">
        <v>45875.625</v>
      </c>
      <c r="V86" s="54">
        <v>94.47</v>
      </c>
      <c r="W86" s="75">
        <v>45873.625</v>
      </c>
      <c r="X86" s="54">
        <v>101.214</v>
      </c>
      <c r="Y86" s="125">
        <v>45880.625</v>
      </c>
      <c r="Z86" s="54">
        <v>120.27</v>
      </c>
      <c r="AM86" s="75"/>
      <c r="AO86" s="75"/>
      <c r="BE86" s="75">
        <v>45874.625</v>
      </c>
      <c r="BF86" s="54">
        <v>80.209999999999994</v>
      </c>
      <c r="BI86" s="75">
        <v>45874.625</v>
      </c>
      <c r="BJ86" s="54">
        <v>109.9</v>
      </c>
      <c r="BY86" s="75"/>
      <c r="CA86" s="129">
        <v>45880.625</v>
      </c>
      <c r="CB86" s="54">
        <v>107.04949999999999</v>
      </c>
      <c r="CC86" s="129">
        <v>45880.625</v>
      </c>
      <c r="CD86" s="54">
        <v>51.481000000000002</v>
      </c>
      <c r="CO86" s="129">
        <v>45875.625</v>
      </c>
      <c r="CP86" s="54">
        <v>276.83699999999999</v>
      </c>
      <c r="CQ86" s="129">
        <v>45875.625</v>
      </c>
      <c r="CR86" s="54">
        <v>55.622999999999998</v>
      </c>
    </row>
    <row r="87" spans="1:96" x14ac:dyDescent="0.3">
      <c r="U87" s="75">
        <v>45876.625</v>
      </c>
      <c r="V87" s="54">
        <v>94.64</v>
      </c>
      <c r="W87" s="75">
        <v>45874.625</v>
      </c>
      <c r="X87" s="54">
        <v>101.217</v>
      </c>
      <c r="Y87" s="125">
        <v>45881.625</v>
      </c>
      <c r="Z87" s="54">
        <v>120.15</v>
      </c>
      <c r="AM87" s="75"/>
      <c r="AO87" s="75"/>
      <c r="BE87" s="75">
        <v>45875.625</v>
      </c>
      <c r="BF87" s="54">
        <v>80.290000000000006</v>
      </c>
      <c r="BI87" s="75">
        <v>45875.625</v>
      </c>
      <c r="BJ87" s="54">
        <v>109.87</v>
      </c>
      <c r="BY87" s="75"/>
      <c r="CA87" s="129">
        <v>45881.625</v>
      </c>
      <c r="CB87" s="54">
        <v>107.3578</v>
      </c>
      <c r="CC87" s="129">
        <v>45881.625</v>
      </c>
      <c r="CD87" s="54">
        <v>50.027000000000001</v>
      </c>
      <c r="CO87" s="129">
        <v>45876.625</v>
      </c>
      <c r="CP87" s="54">
        <v>269.959</v>
      </c>
      <c r="CQ87" s="129">
        <v>45876.625</v>
      </c>
      <c r="CR87" s="54">
        <v>54.149000000000001</v>
      </c>
    </row>
    <row r="88" spans="1:96" x14ac:dyDescent="0.3">
      <c r="U88" s="75">
        <v>45877.625</v>
      </c>
      <c r="V88" s="54">
        <v>94.67</v>
      </c>
      <c r="W88" s="75">
        <v>45875.625</v>
      </c>
      <c r="X88" s="54">
        <v>101.197</v>
      </c>
      <c r="Y88" s="125">
        <v>45882.625</v>
      </c>
      <c r="Z88" s="54">
        <v>120.52</v>
      </c>
      <c r="AM88" s="75"/>
      <c r="AO88" s="75"/>
      <c r="BE88" s="75">
        <v>45876.625</v>
      </c>
      <c r="BF88" s="54">
        <v>80.209999999999994</v>
      </c>
      <c r="BI88" s="75">
        <v>45876.625</v>
      </c>
      <c r="BJ88" s="54">
        <v>109.76</v>
      </c>
      <c r="BY88" s="75"/>
      <c r="CA88" s="129">
        <v>45882.625</v>
      </c>
      <c r="CB88" s="54">
        <v>107.5305</v>
      </c>
      <c r="CC88" s="129">
        <v>45882.625</v>
      </c>
      <c r="CD88" s="54">
        <v>49.564</v>
      </c>
      <c r="CO88" s="129">
        <v>45877.625</v>
      </c>
      <c r="CP88" s="54">
        <v>267.15899999999999</v>
      </c>
      <c r="CQ88" s="129">
        <v>45877.625</v>
      </c>
      <c r="CR88" s="54">
        <v>53.585000000000001</v>
      </c>
    </row>
    <row r="89" spans="1:96" x14ac:dyDescent="0.3">
      <c r="U89" s="75">
        <v>45880.625</v>
      </c>
      <c r="V89" s="54">
        <v>94.66</v>
      </c>
      <c r="W89" s="75">
        <v>45876.625</v>
      </c>
      <c r="X89" s="54">
        <v>101.16500000000001</v>
      </c>
      <c r="Y89" s="125">
        <v>45883.625</v>
      </c>
      <c r="Z89" s="54">
        <v>120.46</v>
      </c>
      <c r="AM89" s="75"/>
      <c r="AO89" s="75"/>
      <c r="BE89" s="75">
        <v>45877.625</v>
      </c>
      <c r="BF89" s="54">
        <v>80.22</v>
      </c>
      <c r="BI89" s="75">
        <v>45877.625</v>
      </c>
      <c r="BJ89" s="54">
        <v>109.41</v>
      </c>
      <c r="BY89" s="75"/>
      <c r="CA89" s="129">
        <v>45883.625</v>
      </c>
      <c r="CB89" s="54">
        <v>107.40009999999999</v>
      </c>
      <c r="CC89" s="129">
        <v>45883.625</v>
      </c>
      <c r="CD89" s="54">
        <v>49.968000000000004</v>
      </c>
      <c r="CO89" s="129">
        <v>45880.625</v>
      </c>
      <c r="CP89" s="54">
        <v>267.584</v>
      </c>
      <c r="CQ89" s="129">
        <v>45880.625</v>
      </c>
      <c r="CR89" s="54">
        <v>53.674999999999997</v>
      </c>
    </row>
    <row r="90" spans="1:96" x14ac:dyDescent="0.3">
      <c r="U90" s="75">
        <v>45881.625</v>
      </c>
      <c r="V90" s="54">
        <v>94.75</v>
      </c>
      <c r="W90" s="75">
        <v>45877.625</v>
      </c>
      <c r="X90" s="54">
        <v>101.039</v>
      </c>
      <c r="Y90" s="125">
        <v>45887.625</v>
      </c>
      <c r="Z90" s="54">
        <v>120.14</v>
      </c>
      <c r="AM90" s="75"/>
      <c r="AO90" s="75"/>
      <c r="BE90" s="75">
        <v>45880.625</v>
      </c>
      <c r="BF90" s="54">
        <v>80.22</v>
      </c>
      <c r="BI90" s="75">
        <v>45880.625</v>
      </c>
      <c r="BJ90" s="54">
        <v>109.58499999999999</v>
      </c>
      <c r="BY90" s="75"/>
      <c r="CA90" s="129">
        <v>45884.625</v>
      </c>
      <c r="CB90" s="54">
        <v>107.37390000000001</v>
      </c>
      <c r="CC90" s="129">
        <v>45884.625</v>
      </c>
      <c r="CD90" s="54">
        <v>49.91</v>
      </c>
      <c r="CO90" s="129">
        <v>45881.625</v>
      </c>
      <c r="CP90" s="54">
        <v>265.14</v>
      </c>
      <c r="CQ90" s="129">
        <v>45881.625</v>
      </c>
      <c r="CR90" s="54">
        <v>52.881999999999998</v>
      </c>
    </row>
    <row r="91" spans="1:96" x14ac:dyDescent="0.3">
      <c r="U91" s="75">
        <v>45882.625</v>
      </c>
      <c r="V91" s="54">
        <v>94.88</v>
      </c>
      <c r="W91" s="75">
        <v>45880.625</v>
      </c>
      <c r="X91" s="54">
        <v>101.004</v>
      </c>
      <c r="Y91" s="125">
        <v>45888.625</v>
      </c>
      <c r="Z91" s="54">
        <v>120.27</v>
      </c>
      <c r="AM91" s="75"/>
      <c r="BE91" s="75">
        <v>45881.625</v>
      </c>
      <c r="BF91" s="54">
        <v>80.400000000000006</v>
      </c>
      <c r="BI91" s="75">
        <v>45881.625</v>
      </c>
      <c r="BJ91" s="54">
        <v>109.68</v>
      </c>
      <c r="BY91" s="75"/>
      <c r="CA91" s="129">
        <v>45887.625</v>
      </c>
      <c r="CB91" s="54">
        <v>107.3562</v>
      </c>
      <c r="CC91" s="129">
        <v>45887.625</v>
      </c>
      <c r="CD91" s="54">
        <v>50.018000000000001</v>
      </c>
      <c r="CO91" s="129">
        <v>45882.625</v>
      </c>
      <c r="CP91" s="54">
        <v>260.87599999999998</v>
      </c>
      <c r="CQ91" s="129">
        <v>45882.625</v>
      </c>
      <c r="CR91" s="54">
        <v>51.805</v>
      </c>
    </row>
    <row r="92" spans="1:96" x14ac:dyDescent="0.3">
      <c r="U92" s="75">
        <v>45883.625</v>
      </c>
      <c r="V92" s="54">
        <v>94.94</v>
      </c>
      <c r="W92" s="75">
        <v>45881.625</v>
      </c>
      <c r="X92" s="54">
        <v>100.947</v>
      </c>
      <c r="Y92" s="125">
        <v>45889.625</v>
      </c>
      <c r="Z92" s="54">
        <v>120.39</v>
      </c>
      <c r="AM92" s="75"/>
      <c r="BE92" s="75">
        <v>45882.625</v>
      </c>
      <c r="BF92" s="54">
        <v>80.61</v>
      </c>
      <c r="BI92" s="75">
        <v>45882.625</v>
      </c>
      <c r="BJ92" s="54">
        <v>110.26</v>
      </c>
      <c r="BY92" s="75"/>
      <c r="CA92" s="129">
        <v>45888.625</v>
      </c>
      <c r="CB92" s="54">
        <v>107.22490000000001</v>
      </c>
      <c r="CC92" s="129">
        <v>45888.625</v>
      </c>
      <c r="CD92" s="54">
        <v>50.395000000000003</v>
      </c>
      <c r="CO92" s="129">
        <v>45883.625</v>
      </c>
      <c r="CP92" s="54">
        <v>260.50799999999998</v>
      </c>
      <c r="CQ92" s="129">
        <v>45883.625</v>
      </c>
      <c r="CR92" s="54">
        <v>51.789000000000001</v>
      </c>
    </row>
    <row r="93" spans="1:96" x14ac:dyDescent="0.3">
      <c r="U93" s="75">
        <v>45884.625</v>
      </c>
      <c r="V93" s="54">
        <v>94.87</v>
      </c>
      <c r="W93" s="75">
        <v>45882.625</v>
      </c>
      <c r="X93" s="54">
        <v>101.11799999999999</v>
      </c>
      <c r="Y93" s="125">
        <v>45890.625</v>
      </c>
      <c r="Z93" s="54">
        <v>120.12</v>
      </c>
      <c r="AM93" s="75"/>
      <c r="BE93" s="75">
        <v>45883.625</v>
      </c>
      <c r="BF93" s="54">
        <v>80.400000000000006</v>
      </c>
      <c r="BI93" s="75">
        <v>45883.625</v>
      </c>
      <c r="BJ93" s="54">
        <v>109.88</v>
      </c>
      <c r="BY93" s="75"/>
      <c r="CA93" s="129">
        <v>45889.625</v>
      </c>
      <c r="CB93" s="54">
        <v>107.1161</v>
      </c>
      <c r="CC93" s="129">
        <v>45889.625</v>
      </c>
      <c r="CD93" s="54">
        <v>50.768000000000001</v>
      </c>
      <c r="CO93" s="129">
        <v>45884.625</v>
      </c>
      <c r="CP93" s="54">
        <v>259.67399999999998</v>
      </c>
      <c r="CQ93" s="129">
        <v>45884.625</v>
      </c>
      <c r="CR93" s="54">
        <v>51.633000000000003</v>
      </c>
    </row>
    <row r="94" spans="1:96" x14ac:dyDescent="0.3">
      <c r="U94" s="75">
        <v>45887.625</v>
      </c>
      <c r="V94" s="54">
        <v>94.83</v>
      </c>
      <c r="W94" s="75">
        <v>45883.625</v>
      </c>
      <c r="X94" s="54">
        <v>101.057</v>
      </c>
      <c r="Y94" s="125">
        <v>45891.625</v>
      </c>
      <c r="Z94" s="54">
        <v>120.28</v>
      </c>
      <c r="AM94" s="75"/>
      <c r="BE94" s="75">
        <v>45884.625</v>
      </c>
      <c r="BF94" s="54">
        <v>80.459999999999994</v>
      </c>
      <c r="BI94" s="75">
        <v>45884.625</v>
      </c>
      <c r="BJ94" s="54">
        <v>109.74</v>
      </c>
      <c r="BY94" s="75"/>
      <c r="CA94" s="129">
        <v>45890.625</v>
      </c>
      <c r="CB94" s="54">
        <v>106.9358</v>
      </c>
      <c r="CC94" s="129">
        <v>45890.625</v>
      </c>
      <c r="CD94" s="54">
        <v>51.694000000000003</v>
      </c>
      <c r="CO94" s="129">
        <v>45887.625</v>
      </c>
      <c r="CP94" s="54">
        <v>260.94299999999998</v>
      </c>
      <c r="CQ94" s="129">
        <v>45887.625</v>
      </c>
      <c r="CR94" s="54">
        <v>51.783999999999999</v>
      </c>
    </row>
    <row r="95" spans="1:96" x14ac:dyDescent="0.3">
      <c r="U95" s="75">
        <v>45888.625</v>
      </c>
      <c r="V95" s="54">
        <v>94.8</v>
      </c>
      <c r="W95" s="75">
        <v>45884.625</v>
      </c>
      <c r="X95" s="54">
        <v>100.946</v>
      </c>
      <c r="Y95" s="125">
        <v>45898.625</v>
      </c>
      <c r="Z95" s="54">
        <v>120.25</v>
      </c>
      <c r="BE95" s="75">
        <v>45887.625</v>
      </c>
      <c r="BF95" s="54">
        <v>80.400000000000006</v>
      </c>
      <c r="BI95" s="75">
        <v>45887.625</v>
      </c>
      <c r="BJ95" s="54">
        <v>109.54</v>
      </c>
      <c r="CA95" s="129">
        <v>45891.625</v>
      </c>
      <c r="CB95" s="54">
        <v>107.5735</v>
      </c>
      <c r="CC95" s="129">
        <v>45891.625</v>
      </c>
      <c r="CD95" s="54">
        <v>49.182000000000002</v>
      </c>
      <c r="CO95" s="129">
        <v>45888.625</v>
      </c>
      <c r="CP95" s="54">
        <v>260.10500000000002</v>
      </c>
      <c r="CQ95" s="129">
        <v>45888.625</v>
      </c>
      <c r="CR95" s="54">
        <v>51.459000000000003</v>
      </c>
    </row>
    <row r="96" spans="1:96" x14ac:dyDescent="0.3">
      <c r="U96" s="75">
        <v>45889.625</v>
      </c>
      <c r="V96" s="54">
        <v>94.64</v>
      </c>
      <c r="W96" s="75">
        <v>45887.625</v>
      </c>
      <c r="X96" s="54">
        <v>100.953</v>
      </c>
      <c r="Y96" s="125">
        <v>45901.625</v>
      </c>
      <c r="Z96" s="54">
        <v>120.1</v>
      </c>
      <c r="BE96" s="75">
        <v>45888.625</v>
      </c>
      <c r="BF96" s="54">
        <v>80.38</v>
      </c>
      <c r="BI96" s="75">
        <v>45888.625</v>
      </c>
      <c r="BJ96" s="54">
        <v>109.71</v>
      </c>
      <c r="CA96" s="129">
        <v>45894.625</v>
      </c>
      <c r="CB96" s="54">
        <v>107.43819999999999</v>
      </c>
      <c r="CC96" s="129">
        <v>45894.625</v>
      </c>
      <c r="CD96" s="54">
        <v>49.68</v>
      </c>
      <c r="CO96" s="129">
        <v>45889.625</v>
      </c>
      <c r="CP96" s="54">
        <v>265.99299999999999</v>
      </c>
      <c r="CQ96" s="129">
        <v>45889.625</v>
      </c>
      <c r="CR96" s="54">
        <v>52.55</v>
      </c>
    </row>
    <row r="97" spans="21:96" x14ac:dyDescent="0.3">
      <c r="U97" s="75">
        <v>45890.625</v>
      </c>
      <c r="V97" s="54">
        <v>94.47</v>
      </c>
      <c r="W97" s="75">
        <v>45888.625</v>
      </c>
      <c r="X97" s="54">
        <v>100.99</v>
      </c>
      <c r="Y97" s="125">
        <v>45902.625</v>
      </c>
      <c r="Z97" s="54">
        <v>119.81</v>
      </c>
      <c r="BE97" s="75">
        <v>45889.625</v>
      </c>
      <c r="BF97" s="54">
        <v>80.349999999999994</v>
      </c>
      <c r="BI97" s="75">
        <v>45889.625</v>
      </c>
      <c r="BJ97" s="54">
        <v>109.76</v>
      </c>
      <c r="CA97" s="129">
        <v>45895.625</v>
      </c>
      <c r="CB97" s="54">
        <v>107.50369999999999</v>
      </c>
      <c r="CC97" s="129">
        <v>45895.625</v>
      </c>
      <c r="CD97" s="54">
        <v>49.631</v>
      </c>
      <c r="CO97" s="129">
        <v>45890.625</v>
      </c>
      <c r="CP97" s="54">
        <v>266.79599999999999</v>
      </c>
      <c r="CQ97" s="129">
        <v>45890.625</v>
      </c>
      <c r="CR97" s="54">
        <v>52.808999999999997</v>
      </c>
    </row>
    <row r="98" spans="21:96" x14ac:dyDescent="0.3">
      <c r="U98" s="75">
        <v>45891.625</v>
      </c>
      <c r="V98" s="54">
        <v>94.76</v>
      </c>
      <c r="W98" s="75">
        <v>45889.625</v>
      </c>
      <c r="X98" s="54">
        <v>101.083</v>
      </c>
      <c r="Y98" s="125">
        <v>45903.625</v>
      </c>
      <c r="Z98" s="54">
        <v>120.08</v>
      </c>
      <c r="BE98" s="75">
        <v>45890.625</v>
      </c>
      <c r="BF98" s="54">
        <v>80.2</v>
      </c>
      <c r="BI98" s="75">
        <v>45890.625</v>
      </c>
      <c r="BJ98" s="54">
        <v>109.34</v>
      </c>
      <c r="CA98" s="129">
        <v>45896.625</v>
      </c>
      <c r="CB98" s="54">
        <v>107.3715</v>
      </c>
      <c r="CC98" s="129">
        <v>45896.625</v>
      </c>
      <c r="CD98" s="54">
        <v>50.168999999999997</v>
      </c>
      <c r="CO98" s="129">
        <v>45891.625</v>
      </c>
      <c r="CP98" s="54">
        <v>261.90800000000002</v>
      </c>
      <c r="CQ98" s="129">
        <v>45891.625</v>
      </c>
      <c r="CR98" s="54">
        <v>51.709000000000003</v>
      </c>
    </row>
    <row r="99" spans="21:96" x14ac:dyDescent="0.3">
      <c r="U99" s="75">
        <v>45895.625</v>
      </c>
      <c r="V99" s="54">
        <v>94.59</v>
      </c>
      <c r="W99" s="75">
        <v>45890.625</v>
      </c>
      <c r="X99" s="54">
        <v>100.955</v>
      </c>
      <c r="Y99" s="125">
        <v>45904.625</v>
      </c>
      <c r="Z99" s="54">
        <v>120.3</v>
      </c>
      <c r="BE99" s="75">
        <v>45891.625</v>
      </c>
      <c r="BF99" s="54">
        <v>80.849999999999994</v>
      </c>
      <c r="BI99" s="75">
        <v>45891.625</v>
      </c>
      <c r="BJ99" s="54">
        <v>110.2</v>
      </c>
      <c r="CA99" s="129">
        <v>45897.625</v>
      </c>
      <c r="CB99" s="54">
        <v>107.40689999999999</v>
      </c>
      <c r="CC99" s="129">
        <v>45897.625</v>
      </c>
      <c r="CD99" s="54">
        <v>50.031999999999996</v>
      </c>
      <c r="CO99" s="129">
        <v>45895.625</v>
      </c>
      <c r="CP99" s="54">
        <v>267.59399999999999</v>
      </c>
      <c r="CQ99" s="129">
        <v>45895.625</v>
      </c>
      <c r="CR99" s="54">
        <v>53.003</v>
      </c>
    </row>
    <row r="100" spans="21:96" x14ac:dyDescent="0.3">
      <c r="U100" s="75">
        <v>45896.625</v>
      </c>
      <c r="V100" s="54">
        <v>94.56</v>
      </c>
      <c r="W100" s="75">
        <v>45891.625</v>
      </c>
      <c r="X100" s="54">
        <v>101.027</v>
      </c>
      <c r="Y100" s="125">
        <v>45905.625</v>
      </c>
      <c r="Z100" s="54">
        <v>120.64</v>
      </c>
      <c r="BE100" s="75">
        <v>45894.625</v>
      </c>
      <c r="BF100" s="54">
        <v>80.69</v>
      </c>
      <c r="BI100" s="75">
        <v>45894.625</v>
      </c>
      <c r="BJ100" s="54">
        <v>109.91</v>
      </c>
      <c r="CA100" s="129">
        <v>45898.625</v>
      </c>
      <c r="CB100" s="54">
        <v>107.20489999999999</v>
      </c>
      <c r="CC100" s="129">
        <v>45898.625</v>
      </c>
      <c r="CD100" s="54">
        <v>50.929000000000002</v>
      </c>
      <c r="CO100" s="129">
        <v>45896.625</v>
      </c>
      <c r="CP100" s="54">
        <v>274.23899999999998</v>
      </c>
      <c r="CQ100" s="129">
        <v>45896.625</v>
      </c>
      <c r="CR100" s="54">
        <v>54.777000000000001</v>
      </c>
    </row>
    <row r="101" spans="21:96" x14ac:dyDescent="0.3">
      <c r="U101" s="75">
        <v>45897.625</v>
      </c>
      <c r="V101" s="54">
        <v>94.44</v>
      </c>
      <c r="W101" s="75">
        <v>45894.625</v>
      </c>
      <c r="X101" s="54">
        <v>100.916</v>
      </c>
      <c r="Y101" s="125">
        <v>45908.625</v>
      </c>
      <c r="Z101" s="54">
        <v>120.74</v>
      </c>
      <c r="BE101" s="75">
        <v>45895.625</v>
      </c>
      <c r="BF101" s="54">
        <v>80.87</v>
      </c>
      <c r="BI101" s="75">
        <v>45895.625</v>
      </c>
      <c r="BJ101" s="54">
        <v>109.99</v>
      </c>
      <c r="CA101" s="129">
        <v>45902.625</v>
      </c>
      <c r="CB101" s="54">
        <v>107.1491</v>
      </c>
      <c r="CC101" s="129">
        <v>45902.625</v>
      </c>
      <c r="CD101" s="54">
        <v>51.244999999999997</v>
      </c>
      <c r="CO101" s="129">
        <v>45897.625</v>
      </c>
      <c r="CP101" s="54">
        <v>264.39100000000002</v>
      </c>
      <c r="CQ101" s="129">
        <v>45897.625</v>
      </c>
      <c r="CR101" s="54">
        <v>54.683</v>
      </c>
    </row>
    <row r="102" spans="21:96" x14ac:dyDescent="0.3">
      <c r="U102" s="75">
        <v>45898.625</v>
      </c>
      <c r="V102" s="54">
        <v>94.44</v>
      </c>
      <c r="W102" s="75">
        <v>45895.625</v>
      </c>
      <c r="X102" s="54">
        <v>101.051</v>
      </c>
      <c r="Y102" s="125">
        <v>45909.625</v>
      </c>
      <c r="Z102" s="54">
        <v>120.66</v>
      </c>
      <c r="BE102" s="75">
        <v>45896.625</v>
      </c>
      <c r="BF102" s="54">
        <v>80.97</v>
      </c>
      <c r="BI102" s="75">
        <v>45896.625</v>
      </c>
      <c r="BJ102" s="54">
        <v>110.03</v>
      </c>
      <c r="CA102" s="129">
        <v>45903.625</v>
      </c>
      <c r="CB102" s="54">
        <v>107.15860000000001</v>
      </c>
      <c r="CC102" s="129">
        <v>45903.625</v>
      </c>
      <c r="CD102" s="54">
        <v>50.915999999999997</v>
      </c>
      <c r="CO102" s="129">
        <v>45898.625</v>
      </c>
      <c r="CP102" s="54">
        <v>267.71499999999997</v>
      </c>
      <c r="CQ102" s="129">
        <v>45898.625</v>
      </c>
      <c r="CR102" s="54">
        <v>55.435000000000002</v>
      </c>
    </row>
    <row r="103" spans="21:96" x14ac:dyDescent="0.3">
      <c r="U103" s="75">
        <v>45901.625</v>
      </c>
      <c r="V103" s="54">
        <v>94.4</v>
      </c>
      <c r="W103" s="75">
        <v>45896.625</v>
      </c>
      <c r="X103" s="54">
        <v>101.142</v>
      </c>
      <c r="Y103" s="125">
        <v>45910.625</v>
      </c>
      <c r="Z103" s="54">
        <v>120.75</v>
      </c>
      <c r="BE103" s="75">
        <v>45897.625</v>
      </c>
      <c r="BF103" s="54">
        <v>81.010000000000005</v>
      </c>
      <c r="BI103" s="75">
        <v>45897.625</v>
      </c>
      <c r="BJ103" s="54">
        <v>110.2</v>
      </c>
      <c r="CA103" s="129">
        <v>45904.625</v>
      </c>
      <c r="CB103" s="54">
        <v>107.4136</v>
      </c>
      <c r="CC103" s="129">
        <v>45904.625</v>
      </c>
      <c r="CD103" s="54">
        <v>49.465000000000003</v>
      </c>
      <c r="CO103" s="129">
        <v>45901.625</v>
      </c>
      <c r="CP103" s="54">
        <v>268.10199999999998</v>
      </c>
      <c r="CQ103" s="129">
        <v>45901.625</v>
      </c>
      <c r="CR103" s="54">
        <v>55.500999999999998</v>
      </c>
    </row>
    <row r="104" spans="21:96" x14ac:dyDescent="0.3">
      <c r="U104" s="75">
        <v>45902.625</v>
      </c>
      <c r="V104" s="54">
        <v>94.24</v>
      </c>
      <c r="W104" s="75">
        <v>45897.625</v>
      </c>
      <c r="X104" s="54">
        <v>101.092</v>
      </c>
      <c r="Y104" s="125">
        <v>45911.625</v>
      </c>
      <c r="Z104" s="54">
        <v>120.76</v>
      </c>
      <c r="BE104" s="75">
        <v>45898.625</v>
      </c>
      <c r="BF104" s="54">
        <v>80.86</v>
      </c>
      <c r="BI104" s="75">
        <v>45898.625</v>
      </c>
      <c r="BJ104" s="54">
        <v>109.83</v>
      </c>
      <c r="CA104" s="129">
        <v>45905.625</v>
      </c>
      <c r="CB104" s="54">
        <v>107.2762</v>
      </c>
      <c r="CC104" s="129">
        <v>45905.625</v>
      </c>
      <c r="CD104" s="54">
        <v>50.021000000000001</v>
      </c>
      <c r="CO104" s="129">
        <v>45902.625</v>
      </c>
      <c r="CP104" s="54">
        <v>274.209</v>
      </c>
      <c r="CQ104" s="129">
        <v>45902.625</v>
      </c>
      <c r="CR104" s="54">
        <v>56.918999999999997</v>
      </c>
    </row>
    <row r="105" spans="21:96" x14ac:dyDescent="0.3">
      <c r="U105" s="75">
        <v>45903.625</v>
      </c>
      <c r="V105" s="54">
        <v>94.38</v>
      </c>
      <c r="W105" s="75">
        <v>45898.625</v>
      </c>
      <c r="X105" s="54">
        <v>101.096</v>
      </c>
      <c r="Y105" s="125">
        <v>45912.625</v>
      </c>
      <c r="Z105" s="54">
        <v>120.63</v>
      </c>
      <c r="BE105" s="75">
        <v>45902.625</v>
      </c>
      <c r="BF105" s="54">
        <v>80.39</v>
      </c>
      <c r="BI105" s="75">
        <v>45902.625</v>
      </c>
      <c r="BJ105" s="54">
        <v>109.05</v>
      </c>
      <c r="CA105" s="129">
        <v>45908.625</v>
      </c>
      <c r="CB105" s="54">
        <v>107.2625</v>
      </c>
      <c r="CC105" s="129">
        <v>45908.625</v>
      </c>
      <c r="CD105" s="54">
        <v>49.890999999999998</v>
      </c>
      <c r="CO105" s="129">
        <v>45903.625</v>
      </c>
      <c r="CP105" s="54">
        <v>267.14</v>
      </c>
      <c r="CQ105" s="129">
        <v>45903.625</v>
      </c>
      <c r="CR105" s="54">
        <v>55.265000000000001</v>
      </c>
    </row>
    <row r="106" spans="21:96" x14ac:dyDescent="0.3">
      <c r="U106" s="75">
        <v>45904.625</v>
      </c>
      <c r="V106" s="54">
        <v>94.54</v>
      </c>
      <c r="W106" s="75">
        <v>45901.625</v>
      </c>
      <c r="X106" s="54">
        <v>101.01900000000001</v>
      </c>
      <c r="Y106" s="125">
        <v>45915.625</v>
      </c>
      <c r="Z106" s="54">
        <v>120.7</v>
      </c>
      <c r="BE106" s="75">
        <v>45903.625</v>
      </c>
      <c r="BF106" s="54">
        <v>80.61</v>
      </c>
      <c r="BI106" s="75">
        <v>45903.625</v>
      </c>
      <c r="BJ106" s="54">
        <v>109.7</v>
      </c>
      <c r="CA106" s="129">
        <v>45909.625</v>
      </c>
      <c r="CB106" s="54">
        <v>107.24930000000001</v>
      </c>
      <c r="CC106" s="129">
        <v>45909.625</v>
      </c>
      <c r="CD106" s="54">
        <v>49.667000000000002</v>
      </c>
      <c r="CO106" s="129">
        <v>45904.625</v>
      </c>
      <c r="CP106" s="54">
        <v>264.74099999999999</v>
      </c>
      <c r="CQ106" s="129">
        <v>45904.625</v>
      </c>
      <c r="CR106" s="54">
        <v>54.372999999999998</v>
      </c>
    </row>
    <row r="107" spans="21:96" x14ac:dyDescent="0.3">
      <c r="U107" s="75">
        <v>45905.625</v>
      </c>
      <c r="V107" s="54">
        <v>94.64</v>
      </c>
      <c r="W107" s="75">
        <v>45902.625</v>
      </c>
      <c r="X107" s="54">
        <v>100.976</v>
      </c>
      <c r="Y107" s="125">
        <v>45916.625</v>
      </c>
      <c r="Z107" s="54">
        <v>120.66</v>
      </c>
      <c r="BE107" s="75">
        <v>45904.625</v>
      </c>
      <c r="BF107" s="54">
        <v>80.819999999999993</v>
      </c>
      <c r="BI107" s="75">
        <v>45904.625</v>
      </c>
      <c r="BJ107" s="54">
        <v>110.45</v>
      </c>
      <c r="CA107" s="129">
        <v>45910.625</v>
      </c>
      <c r="CB107" s="54">
        <v>107.3793</v>
      </c>
      <c r="CC107" s="129">
        <v>45910.625</v>
      </c>
      <c r="CD107" s="54">
        <v>49.031999999999996</v>
      </c>
      <c r="CO107" s="129">
        <v>45905.625</v>
      </c>
      <c r="CP107" s="54">
        <v>263.56599999999997</v>
      </c>
      <c r="CQ107" s="129">
        <v>45905.625</v>
      </c>
      <c r="CR107" s="54">
        <v>54.095999999999997</v>
      </c>
    </row>
    <row r="108" spans="21:96" x14ac:dyDescent="0.3">
      <c r="U108" s="75">
        <v>45908.625</v>
      </c>
      <c r="V108" s="54">
        <v>94.65</v>
      </c>
      <c r="W108" s="75">
        <v>45903.625</v>
      </c>
      <c r="X108" s="54">
        <v>101.038</v>
      </c>
      <c r="Y108" s="125">
        <v>45917.625</v>
      </c>
      <c r="Z108" s="54">
        <v>120.67</v>
      </c>
      <c r="BE108" s="75">
        <v>45905.625</v>
      </c>
      <c r="BF108" s="54">
        <v>80.87</v>
      </c>
      <c r="BI108" s="75">
        <v>45905.625</v>
      </c>
      <c r="BJ108" s="54">
        <v>111.17</v>
      </c>
      <c r="CA108" s="129">
        <v>45911.625</v>
      </c>
      <c r="CB108" s="54">
        <v>107.7234</v>
      </c>
      <c r="CC108" s="129">
        <v>45911.625</v>
      </c>
      <c r="CD108" s="54">
        <v>47.65</v>
      </c>
      <c r="CO108" s="129">
        <v>45908.625</v>
      </c>
      <c r="CP108" s="54">
        <v>261.50299999999999</v>
      </c>
      <c r="CQ108" s="129">
        <v>45908.625</v>
      </c>
      <c r="CR108" s="54">
        <v>53.42</v>
      </c>
    </row>
    <row r="109" spans="21:96" x14ac:dyDescent="0.3">
      <c r="U109" s="75">
        <v>45909.625</v>
      </c>
      <c r="V109" s="54">
        <v>94.54</v>
      </c>
      <c r="W109" s="75">
        <v>45904.625</v>
      </c>
      <c r="X109" s="54">
        <v>101.06399999999999</v>
      </c>
      <c r="Y109" s="125">
        <v>45918.625</v>
      </c>
      <c r="Z109" s="54">
        <v>120.7</v>
      </c>
      <c r="BE109" s="75">
        <v>45908.625</v>
      </c>
      <c r="BF109" s="54">
        <v>80.87</v>
      </c>
      <c r="BI109" s="75">
        <v>45908.625</v>
      </c>
      <c r="BJ109" s="54">
        <v>111.56</v>
      </c>
      <c r="CA109" s="129">
        <v>45912.625</v>
      </c>
      <c r="CB109" s="54">
        <v>107.64149999999999</v>
      </c>
      <c r="CC109" s="129">
        <v>45912.625</v>
      </c>
      <c r="CD109" s="54">
        <v>47.94</v>
      </c>
      <c r="CO109" s="129">
        <v>45909.625</v>
      </c>
      <c r="CP109" s="54">
        <v>261.88799999999998</v>
      </c>
      <c r="CQ109" s="129">
        <v>45909.625</v>
      </c>
      <c r="CR109" s="54">
        <v>53.2</v>
      </c>
    </row>
    <row r="110" spans="21:96" x14ac:dyDescent="0.3">
      <c r="U110" s="75">
        <v>45910.625</v>
      </c>
      <c r="V110" s="54">
        <v>94.53</v>
      </c>
      <c r="W110" s="75">
        <v>45905.625</v>
      </c>
      <c r="X110" s="54">
        <v>101.19</v>
      </c>
      <c r="Y110" s="125">
        <v>45919.625</v>
      </c>
      <c r="Z110" s="54">
        <v>120.71</v>
      </c>
      <c r="BE110" s="75">
        <v>45909.625</v>
      </c>
      <c r="BF110" s="54">
        <v>80.78</v>
      </c>
      <c r="BI110" s="75">
        <v>45909.625</v>
      </c>
      <c r="BJ110" s="54">
        <v>111.36</v>
      </c>
      <c r="CA110" s="129">
        <v>45915.625</v>
      </c>
      <c r="CB110" s="54">
        <v>107.8558</v>
      </c>
      <c r="CC110" s="129">
        <v>45915.625</v>
      </c>
      <c r="CD110" s="54">
        <v>47.017000000000003</v>
      </c>
      <c r="CO110" s="129">
        <v>45910.625</v>
      </c>
      <c r="CP110" s="54">
        <v>258.988</v>
      </c>
      <c r="CQ110" s="129">
        <v>45910.625</v>
      </c>
      <c r="CR110" s="54">
        <v>52.481000000000002</v>
      </c>
    </row>
    <row r="111" spans="21:96" x14ac:dyDescent="0.3">
      <c r="U111" s="75">
        <v>45911.625</v>
      </c>
      <c r="V111" s="54">
        <v>92.29</v>
      </c>
      <c r="W111" s="75">
        <v>45908.625</v>
      </c>
      <c r="X111" s="54">
        <v>101.23099999999999</v>
      </c>
      <c r="Y111" s="125">
        <v>45922.625</v>
      </c>
      <c r="Z111" s="54">
        <v>120.61</v>
      </c>
      <c r="BE111" s="75">
        <v>45910.625</v>
      </c>
      <c r="BF111" s="54">
        <v>80.84</v>
      </c>
      <c r="BI111" s="75">
        <v>45910.625</v>
      </c>
      <c r="BJ111" s="54">
        <v>111.69</v>
      </c>
      <c r="CA111" s="129">
        <v>45916.625</v>
      </c>
      <c r="CB111" s="54">
        <v>107.8259</v>
      </c>
      <c r="CC111" s="129">
        <v>45916.625</v>
      </c>
      <c r="CD111" s="54">
        <v>47.42</v>
      </c>
      <c r="CO111" s="129">
        <v>45911.625</v>
      </c>
      <c r="CP111" s="54">
        <v>253.00800000000001</v>
      </c>
      <c r="CQ111" s="129">
        <v>45911.625</v>
      </c>
      <c r="CR111" s="54">
        <v>51.143000000000001</v>
      </c>
    </row>
    <row r="112" spans="21:96" x14ac:dyDescent="0.3">
      <c r="U112" s="75">
        <v>45912.625</v>
      </c>
      <c r="V112" s="54">
        <v>92.46</v>
      </c>
      <c r="W112" s="75">
        <v>45909.625</v>
      </c>
      <c r="X112" s="54">
        <v>101.163</v>
      </c>
      <c r="Y112" s="125">
        <v>45923.625</v>
      </c>
      <c r="Z112" s="54">
        <v>120.6</v>
      </c>
      <c r="BE112" s="75">
        <v>45911.625</v>
      </c>
      <c r="BF112" s="54">
        <v>81.040000000000006</v>
      </c>
      <c r="BI112" s="75">
        <v>45911.625</v>
      </c>
      <c r="BJ112" s="54">
        <v>112.21</v>
      </c>
      <c r="CA112" s="129">
        <v>45917.625</v>
      </c>
      <c r="CB112" s="54">
        <v>107.72799999999999</v>
      </c>
      <c r="CC112" s="129">
        <v>45917.625</v>
      </c>
      <c r="CD112" s="54">
        <v>47.936999999999998</v>
      </c>
      <c r="CO112" s="129">
        <v>45912.625</v>
      </c>
      <c r="CP112" s="54">
        <v>252.27</v>
      </c>
      <c r="CQ112" s="129">
        <v>45912.625</v>
      </c>
      <c r="CR112" s="54">
        <v>50.945999999999998</v>
      </c>
    </row>
    <row r="113" spans="21:96" x14ac:dyDescent="0.3">
      <c r="U113" s="75">
        <v>45915.625</v>
      </c>
      <c r="V113" s="54">
        <v>92.46</v>
      </c>
      <c r="W113" s="75">
        <v>45910.625</v>
      </c>
      <c r="X113" s="54">
        <v>101.126</v>
      </c>
      <c r="Y113" s="125">
        <v>45924.625</v>
      </c>
      <c r="Z113" s="54">
        <v>120.67</v>
      </c>
      <c r="BE113" s="75">
        <v>45912.625</v>
      </c>
      <c r="BF113" s="54">
        <v>80.959999999999994</v>
      </c>
      <c r="BI113" s="75">
        <v>45912.625</v>
      </c>
      <c r="BJ113" s="54">
        <v>112.01</v>
      </c>
      <c r="CA113" s="129">
        <v>45918.625</v>
      </c>
      <c r="CB113" s="54">
        <v>107.9539</v>
      </c>
      <c r="CC113" s="129">
        <v>45918.625</v>
      </c>
      <c r="CD113" s="54">
        <v>46.959000000000003</v>
      </c>
      <c r="CO113" s="129">
        <v>45915.625</v>
      </c>
      <c r="CP113" s="54">
        <v>247.80699999999999</v>
      </c>
      <c r="CQ113" s="129">
        <v>45915.625</v>
      </c>
      <c r="CR113" s="54">
        <v>50.042000000000002</v>
      </c>
    </row>
    <row r="114" spans="21:96" x14ac:dyDescent="0.3">
      <c r="U114" s="75">
        <v>45916.625</v>
      </c>
      <c r="V114" s="54">
        <v>92.35</v>
      </c>
      <c r="W114" s="75">
        <v>45911.625</v>
      </c>
      <c r="X114" s="54">
        <v>101.012</v>
      </c>
      <c r="Y114" s="125">
        <v>45925.625</v>
      </c>
      <c r="Z114" s="54">
        <v>120.43</v>
      </c>
      <c r="BE114" s="75">
        <v>45915.625</v>
      </c>
      <c r="BF114" s="54">
        <v>81.19</v>
      </c>
      <c r="BI114" s="75">
        <v>45915.625</v>
      </c>
      <c r="BJ114" s="54">
        <v>112.36</v>
      </c>
      <c r="CA114" s="129">
        <v>45919.625</v>
      </c>
      <c r="CB114" s="54">
        <v>107.8977</v>
      </c>
      <c r="CC114" s="129">
        <v>45919.625</v>
      </c>
      <c r="CD114" s="54">
        <v>47.231000000000002</v>
      </c>
      <c r="CO114" s="129">
        <v>45916.625</v>
      </c>
      <c r="CP114" s="54">
        <v>251.81700000000001</v>
      </c>
      <c r="CQ114" s="129">
        <v>45916.625</v>
      </c>
      <c r="CR114" s="54">
        <v>50.780999999999999</v>
      </c>
    </row>
    <row r="115" spans="21:96" x14ac:dyDescent="0.3">
      <c r="U115" s="75">
        <v>45917.625</v>
      </c>
      <c r="V115" s="54">
        <v>92.39</v>
      </c>
      <c r="W115" s="75">
        <v>45912.625</v>
      </c>
      <c r="X115" s="54">
        <v>100.934</v>
      </c>
      <c r="Y115" s="125">
        <v>45929.625</v>
      </c>
      <c r="Z115" s="54">
        <v>120.76</v>
      </c>
      <c r="BE115" s="75">
        <v>45916.625</v>
      </c>
      <c r="BF115" s="54">
        <v>81.13</v>
      </c>
      <c r="BI115" s="75">
        <v>45916.625</v>
      </c>
      <c r="BJ115" s="54">
        <v>112.26</v>
      </c>
      <c r="CA115" s="129">
        <v>45922.625</v>
      </c>
      <c r="CB115" s="54">
        <v>107.9379</v>
      </c>
      <c r="CC115" s="129">
        <v>45922.625</v>
      </c>
      <c r="CD115" s="54">
        <v>47.365000000000002</v>
      </c>
      <c r="CO115" s="129">
        <v>45917.625</v>
      </c>
      <c r="CP115" s="54">
        <v>251.23599999999999</v>
      </c>
      <c r="CQ115" s="129">
        <v>45917.625</v>
      </c>
      <c r="CR115" s="54">
        <v>50.738</v>
      </c>
    </row>
    <row r="116" spans="21:96" x14ac:dyDescent="0.3">
      <c r="U116" s="75">
        <v>45918.625</v>
      </c>
      <c r="V116" s="54">
        <v>92.67</v>
      </c>
      <c r="W116" s="75">
        <v>45915.625</v>
      </c>
      <c r="X116" s="54">
        <v>100.944</v>
      </c>
      <c r="Y116" s="125">
        <v>45930.625</v>
      </c>
      <c r="Z116" s="54">
        <v>120.78</v>
      </c>
      <c r="BE116" s="75">
        <v>45917.625</v>
      </c>
      <c r="BF116" s="54">
        <v>81.05</v>
      </c>
      <c r="BI116" s="75">
        <v>45917.625</v>
      </c>
      <c r="BJ116" s="54">
        <v>112.06</v>
      </c>
      <c r="CA116" s="129">
        <v>45923.625</v>
      </c>
      <c r="CB116" s="54">
        <v>107.82299999999999</v>
      </c>
      <c r="CC116" s="129">
        <v>45923.625</v>
      </c>
      <c r="CD116" s="54">
        <v>47.701000000000001</v>
      </c>
      <c r="CO116" s="129">
        <v>45918.625</v>
      </c>
      <c r="CP116" s="54">
        <v>247.51499999999999</v>
      </c>
      <c r="CQ116" s="129">
        <v>45918.625</v>
      </c>
      <c r="CR116" s="54">
        <v>50.093000000000004</v>
      </c>
    </row>
    <row r="117" spans="21:96" x14ac:dyDescent="0.3">
      <c r="U117" s="75">
        <v>45919.625</v>
      </c>
      <c r="V117" s="54">
        <v>92.67</v>
      </c>
      <c r="W117" s="75">
        <v>45916.625</v>
      </c>
      <c r="X117" s="54">
        <v>100.953</v>
      </c>
      <c r="Y117" s="125">
        <v>45931.625</v>
      </c>
      <c r="Z117" s="54">
        <v>120.85</v>
      </c>
      <c r="BE117" s="75">
        <v>45918.625</v>
      </c>
      <c r="BF117" s="54">
        <v>81.23</v>
      </c>
      <c r="BI117" s="75">
        <v>45918.625</v>
      </c>
      <c r="BJ117" s="54">
        <v>111.83</v>
      </c>
      <c r="CA117" s="129">
        <v>45924.625</v>
      </c>
      <c r="CB117" s="54">
        <v>107.7465</v>
      </c>
      <c r="CC117" s="129">
        <v>45924.625</v>
      </c>
      <c r="CD117" s="54">
        <v>48.238999999999997</v>
      </c>
      <c r="CO117" s="129">
        <v>45919.625</v>
      </c>
      <c r="CP117" s="54">
        <v>248.51300000000001</v>
      </c>
      <c r="CQ117" s="129">
        <v>45919.625</v>
      </c>
      <c r="CR117" s="54">
        <v>50.19</v>
      </c>
    </row>
    <row r="118" spans="21:96" x14ac:dyDescent="0.3">
      <c r="U118" s="75">
        <v>45922.625</v>
      </c>
      <c r="V118" s="54">
        <v>92.52</v>
      </c>
      <c r="W118" s="75">
        <v>45917.625</v>
      </c>
      <c r="X118" s="54">
        <v>100.971</v>
      </c>
      <c r="Y118" s="125">
        <v>45932.625</v>
      </c>
      <c r="Z118" s="54">
        <v>120.92</v>
      </c>
      <c r="BE118" s="75">
        <v>45919.625</v>
      </c>
      <c r="BF118" s="54">
        <v>81.260000000000005</v>
      </c>
      <c r="BI118" s="75">
        <v>45919.625</v>
      </c>
      <c r="BJ118" s="54">
        <v>111.74</v>
      </c>
      <c r="CA118" s="129">
        <v>45925.625</v>
      </c>
      <c r="CB118" s="54">
        <v>107.6015</v>
      </c>
      <c r="CC118" s="129">
        <v>45925.625</v>
      </c>
      <c r="CD118" s="54">
        <v>48.945</v>
      </c>
      <c r="CO118" s="129">
        <v>45922.625</v>
      </c>
      <c r="CP118" s="54">
        <v>247.34700000000001</v>
      </c>
      <c r="CQ118" s="129">
        <v>45922.625</v>
      </c>
      <c r="CR118" s="54">
        <v>50.252000000000002</v>
      </c>
    </row>
    <row r="119" spans="21:96" x14ac:dyDescent="0.3">
      <c r="U119" s="75">
        <v>45923.625</v>
      </c>
      <c r="V119" s="54">
        <v>92.67</v>
      </c>
      <c r="W119" s="75">
        <v>45918.625</v>
      </c>
      <c r="X119" s="54">
        <v>100.956</v>
      </c>
      <c r="Y119" s="125">
        <v>45933.625</v>
      </c>
      <c r="Z119" s="54">
        <v>120.97</v>
      </c>
      <c r="BE119" s="75">
        <v>45922.625</v>
      </c>
      <c r="BF119" s="54">
        <v>81.319999999999993</v>
      </c>
      <c r="BI119" s="75">
        <v>45922.625</v>
      </c>
      <c r="BJ119" s="54">
        <v>111.48</v>
      </c>
      <c r="CA119" s="129">
        <v>45926.625</v>
      </c>
      <c r="CB119" s="54">
        <v>107.7762</v>
      </c>
      <c r="CC119" s="129">
        <v>45926.625</v>
      </c>
      <c r="CD119" s="54">
        <v>48.259</v>
      </c>
      <c r="CO119" s="129">
        <v>45923.625</v>
      </c>
      <c r="CP119" s="54">
        <v>242.93100000000001</v>
      </c>
      <c r="CQ119" s="129">
        <v>45923.625</v>
      </c>
      <c r="CR119" s="54">
        <v>49.594999999999999</v>
      </c>
    </row>
    <row r="120" spans="21:96" x14ac:dyDescent="0.3">
      <c r="U120" s="75">
        <v>45924.625</v>
      </c>
      <c r="V120" s="54">
        <v>92.59</v>
      </c>
      <c r="W120" s="75">
        <v>45919.625</v>
      </c>
      <c r="X120" s="54">
        <v>100.904</v>
      </c>
      <c r="Y120" s="125">
        <v>45936.625</v>
      </c>
      <c r="Z120" s="54">
        <v>120.96</v>
      </c>
      <c r="BE120" s="75">
        <v>45923.625</v>
      </c>
      <c r="BF120" s="54">
        <v>81.260000000000005</v>
      </c>
      <c r="BI120" s="75">
        <v>45923.625</v>
      </c>
      <c r="BJ120" s="54">
        <v>111.71</v>
      </c>
      <c r="CA120" s="129">
        <v>45929.625</v>
      </c>
      <c r="CB120" s="54">
        <v>107.9713</v>
      </c>
      <c r="CC120" s="129">
        <v>45929.625</v>
      </c>
      <c r="CD120" s="54">
        <v>47.534999999999997</v>
      </c>
      <c r="CO120" s="129">
        <v>45924.625</v>
      </c>
      <c r="CP120" s="54">
        <v>243.08600000000001</v>
      </c>
      <c r="CQ120" s="129">
        <v>45924.625</v>
      </c>
      <c r="CR120" s="54">
        <v>49.652999999999999</v>
      </c>
    </row>
    <row r="121" spans="21:96" x14ac:dyDescent="0.3">
      <c r="U121" s="75">
        <v>45925.625</v>
      </c>
      <c r="V121" s="54">
        <v>92.45</v>
      </c>
      <c r="W121" s="75">
        <v>45922.625</v>
      </c>
      <c r="X121" s="54">
        <v>100.913</v>
      </c>
      <c r="Y121" s="125">
        <v>45937.625</v>
      </c>
      <c r="Z121" s="54">
        <v>120.93</v>
      </c>
      <c r="BE121" s="75">
        <v>45924.625</v>
      </c>
      <c r="BF121" s="54">
        <v>81.150000000000006</v>
      </c>
      <c r="BI121" s="75">
        <v>45924.625</v>
      </c>
      <c r="BJ121" s="54">
        <v>111.26</v>
      </c>
      <c r="CA121" s="129">
        <v>45930.625</v>
      </c>
      <c r="CB121" s="54">
        <v>107.99469999999999</v>
      </c>
      <c r="CC121" s="129">
        <v>45930.625</v>
      </c>
      <c r="CD121" s="54">
        <v>47.451999999999998</v>
      </c>
      <c r="CO121" s="129">
        <v>45925.625</v>
      </c>
      <c r="CP121" s="54">
        <v>247.20099999999999</v>
      </c>
      <c r="CQ121" s="129">
        <v>45925.625</v>
      </c>
      <c r="CR121" s="54">
        <v>50.735999999999997</v>
      </c>
    </row>
    <row r="122" spans="21:96" x14ac:dyDescent="0.3">
      <c r="U122" s="75">
        <v>45926.625</v>
      </c>
      <c r="V122" s="54">
        <v>92.46</v>
      </c>
      <c r="W122" s="75">
        <v>45923.625</v>
      </c>
      <c r="X122" s="54">
        <v>100.883</v>
      </c>
      <c r="Y122" s="125">
        <v>45938.625</v>
      </c>
      <c r="Z122" s="54">
        <v>121.12</v>
      </c>
      <c r="BE122" s="75">
        <v>45925.625</v>
      </c>
      <c r="BF122" s="54">
        <v>80.92</v>
      </c>
      <c r="BI122" s="75">
        <v>45925.625</v>
      </c>
      <c r="BJ122" s="54">
        <v>111.06</v>
      </c>
      <c r="CA122" s="129">
        <v>45931.625</v>
      </c>
      <c r="CB122" s="54">
        <v>107.9406</v>
      </c>
      <c r="CC122" s="129">
        <v>45931.625</v>
      </c>
      <c r="CD122" s="54">
        <v>47.582000000000001</v>
      </c>
      <c r="CO122" s="129">
        <v>45926.625</v>
      </c>
      <c r="CP122" s="54">
        <v>244.453</v>
      </c>
      <c r="CQ122" s="129">
        <v>45926.625</v>
      </c>
      <c r="CR122" s="54">
        <v>50.292000000000002</v>
      </c>
    </row>
    <row r="123" spans="21:96" x14ac:dyDescent="0.3">
      <c r="U123" s="75">
        <v>45929.625</v>
      </c>
      <c r="V123" s="54">
        <v>92.5</v>
      </c>
      <c r="W123" s="75">
        <v>45924.625</v>
      </c>
      <c r="X123" s="54">
        <v>100.893</v>
      </c>
      <c r="Y123" s="125">
        <v>45939.625</v>
      </c>
      <c r="Z123" s="54">
        <v>120.99</v>
      </c>
      <c r="BE123" s="75">
        <v>45926.625</v>
      </c>
      <c r="BF123" s="54">
        <v>81.08</v>
      </c>
      <c r="BI123" s="75">
        <v>45926.625</v>
      </c>
      <c r="BJ123" s="54">
        <v>111.21</v>
      </c>
      <c r="CA123" s="129">
        <v>45932.625</v>
      </c>
      <c r="CB123" s="54">
        <v>107.9785</v>
      </c>
      <c r="CC123" s="129">
        <v>45932.625</v>
      </c>
      <c r="CD123" s="54">
        <v>47.204999999999998</v>
      </c>
      <c r="CO123" s="129">
        <v>45929.625</v>
      </c>
      <c r="CP123" s="54">
        <v>241.69499999999999</v>
      </c>
      <c r="CQ123" s="129">
        <v>45929.625</v>
      </c>
      <c r="CR123" s="54">
        <v>49.634</v>
      </c>
    </row>
    <row r="124" spans="21:96" x14ac:dyDescent="0.3">
      <c r="U124" s="75">
        <v>45930.625</v>
      </c>
      <c r="V124" s="54">
        <v>92.47</v>
      </c>
      <c r="W124" s="75">
        <v>45925.625</v>
      </c>
      <c r="X124" s="54">
        <v>100.822</v>
      </c>
      <c r="Y124" s="125">
        <v>45940.625</v>
      </c>
      <c r="Z124" s="54">
        <v>121</v>
      </c>
      <c r="BE124" s="75">
        <v>45929.625</v>
      </c>
      <c r="BF124" s="54">
        <v>81.22</v>
      </c>
      <c r="BI124" s="75">
        <v>45929.625</v>
      </c>
      <c r="BJ124" s="54">
        <v>111.58</v>
      </c>
      <c r="CA124" s="129">
        <v>45933.625</v>
      </c>
      <c r="CB124" s="54">
        <v>107.9615</v>
      </c>
      <c r="CC124" s="129">
        <v>45933.625</v>
      </c>
      <c r="CD124" s="54">
        <v>47.156999999999996</v>
      </c>
      <c r="CO124" s="129">
        <v>45930.625</v>
      </c>
      <c r="CP124" s="54">
        <v>240.52799999999999</v>
      </c>
      <c r="CQ124" s="129">
        <v>45930.625</v>
      </c>
      <c r="CR124" s="54">
        <v>49.851999999999997</v>
      </c>
    </row>
    <row r="125" spans="21:96" x14ac:dyDescent="0.3">
      <c r="U125" s="75">
        <v>45931.625</v>
      </c>
      <c r="V125" s="54">
        <v>92.57</v>
      </c>
      <c r="W125" s="75">
        <v>45926.625</v>
      </c>
      <c r="X125" s="54">
        <v>100.866</v>
      </c>
      <c r="Y125" s="125">
        <v>45943.625</v>
      </c>
      <c r="Z125" s="54">
        <v>121.1</v>
      </c>
      <c r="BE125" s="75">
        <v>45930.625</v>
      </c>
      <c r="BF125" s="54">
        <v>81.19</v>
      </c>
      <c r="BI125" s="75">
        <v>45930.625</v>
      </c>
      <c r="BJ125" s="54">
        <v>111.47</v>
      </c>
      <c r="CA125" s="129">
        <v>45936.625</v>
      </c>
      <c r="CB125" s="54">
        <v>108.1194</v>
      </c>
      <c r="CC125" s="129">
        <v>45936.625</v>
      </c>
      <c r="CD125" s="54">
        <v>46.581000000000003</v>
      </c>
      <c r="CO125" s="129">
        <v>45931.625</v>
      </c>
      <c r="CP125" s="54">
        <v>239.28700000000001</v>
      </c>
      <c r="CQ125" s="129">
        <v>45931.625</v>
      </c>
      <c r="CR125" s="54">
        <v>49.369</v>
      </c>
    </row>
    <row r="126" spans="21:96" x14ac:dyDescent="0.3">
      <c r="U126" s="75">
        <v>45932.625</v>
      </c>
      <c r="V126" s="54">
        <v>92.64</v>
      </c>
      <c r="W126" s="75">
        <v>45929.625</v>
      </c>
      <c r="X126" s="54">
        <v>100.89</v>
      </c>
      <c r="Y126" s="125">
        <v>45944.625</v>
      </c>
      <c r="Z126" s="54">
        <v>121.2</v>
      </c>
      <c r="BE126" s="75">
        <v>45931.625</v>
      </c>
      <c r="BF126" s="54">
        <v>80.959999999999994</v>
      </c>
      <c r="BI126" s="75">
        <v>45931.625</v>
      </c>
      <c r="BJ126" s="54">
        <v>111.51</v>
      </c>
      <c r="CA126" s="129">
        <v>45937.625</v>
      </c>
      <c r="CB126" s="54">
        <v>108.0094</v>
      </c>
      <c r="CC126" s="129">
        <v>45937.625</v>
      </c>
      <c r="CD126" s="54">
        <v>47.156999999999996</v>
      </c>
      <c r="CO126" s="129">
        <v>45932.625</v>
      </c>
      <c r="CP126" s="54">
        <v>236.33199999999999</v>
      </c>
      <c r="CQ126" s="129">
        <v>45932.625</v>
      </c>
      <c r="CR126" s="54">
        <v>48.860999999999997</v>
      </c>
    </row>
    <row r="127" spans="21:96" x14ac:dyDescent="0.3">
      <c r="U127" s="75">
        <v>45933.625</v>
      </c>
      <c r="V127" s="54">
        <v>92.6</v>
      </c>
      <c r="W127" s="75">
        <v>45930.625</v>
      </c>
      <c r="X127" s="54">
        <v>100.89400000000001</v>
      </c>
      <c r="Y127" s="125">
        <v>45945.625</v>
      </c>
      <c r="Z127" s="54">
        <v>121.62</v>
      </c>
      <c r="BE127" s="75">
        <v>45932.625</v>
      </c>
      <c r="BF127" s="54">
        <v>80.930000000000007</v>
      </c>
      <c r="BI127" s="75">
        <v>45932.625</v>
      </c>
      <c r="BJ127" s="54">
        <v>111.69</v>
      </c>
      <c r="CA127" s="129">
        <v>45938.625</v>
      </c>
      <c r="CB127" s="54">
        <v>107.92919999999999</v>
      </c>
      <c r="CC127" s="129">
        <v>45938.625</v>
      </c>
      <c r="CD127" s="54">
        <v>47.487000000000002</v>
      </c>
      <c r="CO127" s="129">
        <v>45933.625</v>
      </c>
      <c r="CP127" s="54">
        <v>235.94200000000001</v>
      </c>
      <c r="CQ127" s="129">
        <v>45933.625</v>
      </c>
      <c r="CR127" s="54">
        <v>48.695999999999998</v>
      </c>
    </row>
    <row r="128" spans="21:96" x14ac:dyDescent="0.3">
      <c r="U128" s="75">
        <v>45936.625</v>
      </c>
      <c r="V128" s="54">
        <v>92.49</v>
      </c>
      <c r="W128" s="75">
        <v>45931.625</v>
      </c>
      <c r="X128" s="54">
        <v>100.92</v>
      </c>
      <c r="Y128" s="125">
        <v>45946.625</v>
      </c>
      <c r="Z128" s="54">
        <v>121.6</v>
      </c>
      <c r="BE128" s="75">
        <v>45933.625</v>
      </c>
      <c r="BF128" s="54">
        <v>80.84</v>
      </c>
      <c r="BI128" s="75">
        <v>45933.625</v>
      </c>
      <c r="BJ128" s="54">
        <v>111.55</v>
      </c>
      <c r="CA128" s="129">
        <v>45939.625</v>
      </c>
      <c r="CB128" s="54">
        <v>107.73399999999999</v>
      </c>
      <c r="CC128" s="129">
        <v>45939.625</v>
      </c>
      <c r="CD128" s="54">
        <v>48.017000000000003</v>
      </c>
      <c r="CO128" s="129">
        <v>45936.625</v>
      </c>
      <c r="CP128" s="54">
        <v>239.226</v>
      </c>
      <c r="CQ128" s="129">
        <v>45936.625</v>
      </c>
      <c r="CR128" s="54">
        <v>49.597000000000001</v>
      </c>
    </row>
    <row r="129" spans="21:96" x14ac:dyDescent="0.3">
      <c r="U129" s="75">
        <v>45937.625</v>
      </c>
      <c r="V129" s="54">
        <v>92.19</v>
      </c>
      <c r="W129" s="75">
        <v>45932.625</v>
      </c>
      <c r="X129" s="54">
        <v>100.905</v>
      </c>
      <c r="Y129" s="125">
        <v>45947.625</v>
      </c>
      <c r="Z129" s="54">
        <v>121.51</v>
      </c>
      <c r="BE129" s="75">
        <v>45936.625</v>
      </c>
      <c r="BF129" s="54">
        <v>80.86</v>
      </c>
      <c r="BI129" s="75">
        <v>45936.625</v>
      </c>
      <c r="BJ129" s="54">
        <v>111.19</v>
      </c>
      <c r="CA129" s="129">
        <v>45940.625</v>
      </c>
      <c r="CB129" s="54">
        <v>107.01220000000001</v>
      </c>
      <c r="CC129" s="129">
        <v>45940.625</v>
      </c>
      <c r="CD129" s="54">
        <v>51.024000000000001</v>
      </c>
      <c r="CO129" s="129">
        <v>45937.625</v>
      </c>
      <c r="CP129" s="54">
        <v>242.00200000000001</v>
      </c>
      <c r="CQ129" s="129">
        <v>45937.625</v>
      </c>
      <c r="CR129" s="54">
        <v>49.996000000000002</v>
      </c>
    </row>
    <row r="130" spans="21:96" x14ac:dyDescent="0.3">
      <c r="U130" s="75">
        <v>45938.625</v>
      </c>
      <c r="V130" s="54">
        <v>92.12</v>
      </c>
      <c r="W130" s="75">
        <v>45933.625</v>
      </c>
      <c r="X130" s="54">
        <v>100.893</v>
      </c>
      <c r="BE130" s="75">
        <v>45937.625</v>
      </c>
      <c r="BF130" s="54">
        <v>80.77</v>
      </c>
      <c r="BI130" s="75">
        <v>45937.625</v>
      </c>
      <c r="BJ130" s="54">
        <v>111.4</v>
      </c>
      <c r="CA130" s="129">
        <v>45944.625</v>
      </c>
      <c r="CB130" s="54">
        <v>107.4841</v>
      </c>
      <c r="CC130" s="129">
        <v>45944.625</v>
      </c>
      <c r="CD130" s="54">
        <v>48.805</v>
      </c>
      <c r="CO130" s="129">
        <v>45938.625</v>
      </c>
      <c r="CP130" s="54">
        <v>244.23400000000001</v>
      </c>
      <c r="CQ130" s="129">
        <v>45938.625</v>
      </c>
      <c r="CR130" s="54">
        <v>50.073</v>
      </c>
    </row>
    <row r="131" spans="21:96" x14ac:dyDescent="0.3">
      <c r="U131" s="75">
        <v>45939.625</v>
      </c>
      <c r="V131" s="54">
        <v>92</v>
      </c>
      <c r="W131" s="75">
        <v>45936.625</v>
      </c>
      <c r="X131" s="54">
        <v>100.928</v>
      </c>
      <c r="BE131" s="75">
        <v>45938.625</v>
      </c>
      <c r="BF131" s="54">
        <v>80.650000000000006</v>
      </c>
      <c r="BI131" s="75">
        <v>45938.625</v>
      </c>
      <c r="BJ131" s="54">
        <v>111.26</v>
      </c>
      <c r="CA131" s="129">
        <v>45945.625</v>
      </c>
      <c r="CB131" s="54">
        <v>107.62390000000001</v>
      </c>
      <c r="CC131" s="129">
        <v>45945.625</v>
      </c>
      <c r="CD131" s="54">
        <v>48.523000000000003</v>
      </c>
      <c r="CO131" s="129">
        <v>45939.625</v>
      </c>
      <c r="CP131" s="54">
        <v>249.739</v>
      </c>
      <c r="CQ131" s="129">
        <v>45939.625</v>
      </c>
      <c r="CR131" s="54">
        <v>50.813000000000002</v>
      </c>
    </row>
    <row r="132" spans="21:96" x14ac:dyDescent="0.3">
      <c r="U132" s="75">
        <v>45940.625</v>
      </c>
      <c r="V132" s="54">
        <v>91.78</v>
      </c>
      <c r="W132" s="75">
        <v>45937.625</v>
      </c>
      <c r="X132" s="54">
        <v>100.908</v>
      </c>
      <c r="BE132" s="75">
        <v>45939.625</v>
      </c>
      <c r="BF132" s="54">
        <v>80.42</v>
      </c>
      <c r="BI132" s="75">
        <v>45939.625</v>
      </c>
      <c r="BJ132" s="54">
        <v>111.04</v>
      </c>
      <c r="CA132" s="129">
        <v>45946.625</v>
      </c>
      <c r="CB132" s="54">
        <v>107.2029</v>
      </c>
      <c r="CC132" s="129">
        <v>45946.625</v>
      </c>
      <c r="CD132" s="54">
        <v>50.155999999999999</v>
      </c>
      <c r="CO132" s="129">
        <v>45940.625</v>
      </c>
      <c r="CP132" s="54">
        <v>260.29199999999997</v>
      </c>
      <c r="CQ132" s="129">
        <v>45940.625</v>
      </c>
      <c r="CR132" s="54">
        <v>52.987000000000002</v>
      </c>
    </row>
    <row r="133" spans="21:96" x14ac:dyDescent="0.3">
      <c r="U133" s="75">
        <v>45943.625</v>
      </c>
      <c r="V133" s="54">
        <v>91.79</v>
      </c>
      <c r="W133" s="75">
        <v>45938.625</v>
      </c>
      <c r="X133" s="54">
        <v>100.99299999999999</v>
      </c>
      <c r="BE133" s="75">
        <v>45940.625</v>
      </c>
      <c r="BF133" s="54">
        <v>79.984999999999999</v>
      </c>
      <c r="BI133" s="75">
        <v>45940.625</v>
      </c>
      <c r="BJ133" s="54">
        <v>111.36</v>
      </c>
      <c r="CO133" s="129">
        <v>45943.625</v>
      </c>
      <c r="CP133" s="54">
        <v>260.25400000000002</v>
      </c>
      <c r="CQ133" s="129">
        <v>45943.625</v>
      </c>
      <c r="CR133" s="54">
        <v>53.084000000000003</v>
      </c>
    </row>
    <row r="134" spans="21:96" x14ac:dyDescent="0.3">
      <c r="U134" s="75">
        <v>45944.625</v>
      </c>
      <c r="V134" s="54">
        <v>91.85</v>
      </c>
      <c r="W134" s="75">
        <v>45939.625</v>
      </c>
      <c r="X134" s="54">
        <v>100.934</v>
      </c>
      <c r="BE134" s="75">
        <v>45943.625</v>
      </c>
      <c r="BF134" s="54">
        <v>80.45</v>
      </c>
      <c r="BI134" s="75">
        <v>45943.625</v>
      </c>
      <c r="BJ134" s="54">
        <v>111.73</v>
      </c>
      <c r="CO134" s="129">
        <v>45944.625</v>
      </c>
      <c r="CP134" s="54">
        <v>257.16699999999997</v>
      </c>
      <c r="CQ134" s="129">
        <v>45944.625</v>
      </c>
      <c r="CR134" s="54">
        <v>52.110999999999997</v>
      </c>
    </row>
    <row r="135" spans="21:96" x14ac:dyDescent="0.3">
      <c r="U135" s="75">
        <v>45945.625</v>
      </c>
      <c r="V135" s="54">
        <v>92.38</v>
      </c>
      <c r="W135" s="75">
        <v>45940.625</v>
      </c>
      <c r="X135" s="54">
        <v>101.017</v>
      </c>
      <c r="BE135" s="75">
        <v>45944.625</v>
      </c>
      <c r="BF135" s="54">
        <v>80.540000000000006</v>
      </c>
      <c r="BI135" s="75">
        <v>45944.625</v>
      </c>
      <c r="BJ135" s="54">
        <v>112.1</v>
      </c>
      <c r="CO135" s="129">
        <v>45945.625</v>
      </c>
      <c r="CP135" s="54">
        <v>245.131</v>
      </c>
      <c r="CQ135" s="129">
        <v>45945.625</v>
      </c>
      <c r="CR135" s="54">
        <v>49.81</v>
      </c>
    </row>
    <row r="136" spans="21:96" x14ac:dyDescent="0.3">
      <c r="U136" s="75">
        <v>45946.625</v>
      </c>
      <c r="V136" s="54">
        <v>92.23</v>
      </c>
      <c r="W136" s="75">
        <v>45943.625</v>
      </c>
      <c r="X136" s="54">
        <v>101.122</v>
      </c>
      <c r="BE136" s="75">
        <v>45945.625</v>
      </c>
      <c r="BF136" s="54">
        <v>80.8</v>
      </c>
      <c r="BI136" s="75">
        <v>45945.625</v>
      </c>
      <c r="BJ136" s="54">
        <v>112.1</v>
      </c>
      <c r="CO136" s="129">
        <v>45946.625</v>
      </c>
      <c r="CP136" s="54">
        <v>250.49600000000001</v>
      </c>
      <c r="CQ136" s="129">
        <v>45946.625</v>
      </c>
      <c r="CR136" s="54">
        <v>50.529000000000003</v>
      </c>
    </row>
    <row r="137" spans="21:96" x14ac:dyDescent="0.3">
      <c r="U137" s="75">
        <v>45947.625</v>
      </c>
      <c r="V137" s="54">
        <v>92.1</v>
      </c>
      <c r="W137" s="75">
        <v>45944.625</v>
      </c>
      <c r="X137" s="54">
        <v>101.13800000000001</v>
      </c>
      <c r="BE137" s="75">
        <v>45946.625</v>
      </c>
      <c r="BF137" s="54">
        <v>80.510000000000005</v>
      </c>
      <c r="BI137" s="75">
        <v>45946.625</v>
      </c>
      <c r="BJ137" s="54">
        <v>112.42</v>
      </c>
      <c r="CO137" s="129">
        <v>45947.625</v>
      </c>
      <c r="CP137" s="54">
        <v>255.01499999999999</v>
      </c>
      <c r="CQ137" s="129">
        <v>45947.625</v>
      </c>
      <c r="CR137" s="54">
        <v>51.85</v>
      </c>
    </row>
    <row r="138" spans="21:96" x14ac:dyDescent="0.3">
      <c r="W138" s="75">
        <v>45945.625</v>
      </c>
      <c r="X138" s="54">
        <v>101.23699999999999</v>
      </c>
    </row>
    <row r="139" spans="21:96" x14ac:dyDescent="0.3">
      <c r="W139" s="75">
        <v>45946.625</v>
      </c>
      <c r="X139" s="54">
        <v>101.221</v>
      </c>
    </row>
    <row r="140" spans="21:96" x14ac:dyDescent="0.3">
      <c r="W140" s="75">
        <v>45947.625</v>
      </c>
      <c r="X140" s="54">
        <v>101.253</v>
      </c>
    </row>
  </sheetData>
  <mergeCells count="14">
    <mergeCell ref="AJ12:AL12"/>
    <mergeCell ref="B12:D12"/>
    <mergeCell ref="E12:G12"/>
    <mergeCell ref="H12:J12"/>
    <mergeCell ref="K12:M12"/>
    <mergeCell ref="AG12:AI12"/>
    <mergeCell ref="CG12:CI12"/>
    <mergeCell ref="CJ12:CL12"/>
    <mergeCell ref="AM12:AO12"/>
    <mergeCell ref="AP12:AR12"/>
    <mergeCell ref="AS12:AU12"/>
    <mergeCell ref="AV12:AX12"/>
    <mergeCell ref="BS12:BU12"/>
    <mergeCell ref="BV12:BX12"/>
  </mergeCells>
  <conditionalFormatting sqref="N13:S86">
    <cfRule type="cellIs" dxfId="11" priority="3" operator="lessThan">
      <formula>0</formula>
    </cfRule>
  </conditionalFormatting>
  <conditionalFormatting sqref="AY13:BC50">
    <cfRule type="cellIs" dxfId="10" priority="4" operator="lessThan">
      <formula>0</formula>
    </cfRule>
  </conditionalFormatting>
  <conditionalFormatting sqref="BY13:BY14">
    <cfRule type="cellIs" dxfId="9" priority="2" operator="lessThan">
      <formula>0</formula>
    </cfRule>
  </conditionalFormatting>
  <conditionalFormatting sqref="CM13:CM14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1DC3-EB61-4485-A308-C5D6263F4803}">
  <dimension ref="A1:ED140"/>
  <sheetViews>
    <sheetView topLeftCell="DR7" zoomScale="60" zoomScaleNormal="60" workbookViewId="0">
      <selection activeCell="DW8" sqref="DW8"/>
    </sheetView>
  </sheetViews>
  <sheetFormatPr defaultColWidth="8.88671875" defaultRowHeight="14.4" x14ac:dyDescent="0.3"/>
  <cols>
    <col min="1" max="1" width="15.44140625" style="54" bestFit="1" customWidth="1"/>
    <col min="2" max="2" width="16.88671875" style="54" customWidth="1"/>
    <col min="3" max="5" width="16.88671875" style="54" hidden="1" customWidth="1"/>
    <col min="6" max="6" width="10.5546875" style="54" hidden="1" customWidth="1"/>
    <col min="7" max="7" width="11.5546875" style="54" hidden="1" customWidth="1"/>
    <col min="8" max="8" width="8.88671875" style="54" hidden="1" customWidth="1"/>
    <col min="9" max="9" width="12.44140625" style="54" hidden="1" customWidth="1"/>
    <col min="10" max="10" width="13.33203125" style="54" hidden="1" customWidth="1"/>
    <col min="11" max="12" width="11.5546875" style="54" hidden="1" customWidth="1"/>
    <col min="13" max="13" width="13.33203125" style="54" hidden="1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1875" bestFit="1" customWidth="1"/>
    <col min="19" max="19" width="11.21875" customWidth="1"/>
    <col min="20" max="20" width="0" hidden="1" customWidth="1"/>
    <col min="21" max="21" width="10.5546875" style="75" hidden="1" customWidth="1"/>
    <col min="22" max="22" width="6" style="54" hidden="1" customWidth="1"/>
    <col min="23" max="23" width="10.5546875" style="75" hidden="1" customWidth="1"/>
    <col min="24" max="24" width="8.88671875" style="54" hidden="1" customWidth="1"/>
    <col min="25" max="25" width="15.77734375" style="125" hidden="1" customWidth="1"/>
    <col min="26" max="26" width="8.88671875" style="54" hidden="1" customWidth="1"/>
    <col min="27" max="27" width="10.5546875" style="75" hidden="1" customWidth="1"/>
    <col min="28" max="30" width="8.88671875" style="54" hidden="1" customWidth="1"/>
    <col min="31" max="31" width="8.88671875" style="54"/>
    <col min="32" max="32" width="15.44140625" style="133" bestFit="1" customWidth="1"/>
    <col min="33" max="33" width="13.33203125" style="54" bestFit="1" customWidth="1"/>
    <col min="34" max="36" width="13.33203125" style="54" customWidth="1"/>
    <col min="37" max="37" width="12.44140625" style="54" customWidth="1"/>
    <col min="38" max="38" width="13.33203125" style="54" customWidth="1"/>
    <col min="39" max="39" width="10.6640625" style="54" customWidth="1"/>
    <col min="40" max="40" width="13.33203125" style="54" customWidth="1"/>
    <col min="41" max="43" width="13.33203125" style="54" bestFit="1" customWidth="1"/>
    <col min="44" max="44" width="12.21875" style="54" bestFit="1" customWidth="1"/>
    <col min="45" max="45" width="13.33203125" style="54" bestFit="1" customWidth="1"/>
    <col min="46" max="47" width="10.6640625" style="54" customWidth="1"/>
    <col min="48" max="48" width="13.88671875" style="54" customWidth="1"/>
    <col min="49" max="49" width="11.5546875" style="54" customWidth="1"/>
    <col min="50" max="50" width="13.33203125" style="54" customWidth="1"/>
    <col min="51" max="51" width="13.33203125" style="54" bestFit="1" customWidth="1"/>
    <col min="52" max="55" width="13.33203125" style="54" customWidth="1"/>
    <col min="57" max="57" width="17.109375" style="75" hidden="1" customWidth="1"/>
    <col min="58" max="58" width="7.77734375" style="54" hidden="1" customWidth="1"/>
    <col min="59" max="59" width="11.5546875" style="75" hidden="1" customWidth="1"/>
    <col min="60" max="60" width="13.33203125" style="54" hidden="1" customWidth="1"/>
    <col min="61" max="61" width="11.5546875" style="75" hidden="1" customWidth="1"/>
    <col min="62" max="62" width="0" style="54" hidden="1" customWidth="1"/>
    <col min="63" max="63" width="11.5546875" style="75" hidden="1" customWidth="1"/>
    <col min="64" max="64" width="13.33203125" style="54" hidden="1" customWidth="1"/>
    <col min="65" max="65" width="11.5546875" style="75" hidden="1" customWidth="1"/>
    <col min="66" max="66" width="12.21875" style="54" hidden="1" customWidth="1"/>
    <col min="67" max="67" width="11.5546875" style="75" hidden="1" customWidth="1"/>
    <col min="68" max="68" width="12.21875" style="54" hidden="1" customWidth="1"/>
    <col min="69" max="69" width="8.88671875" style="54"/>
    <col min="70" max="70" width="15.44140625" style="133" bestFit="1" customWidth="1"/>
    <col min="71" max="71" width="13.33203125" style="54" bestFit="1" customWidth="1"/>
    <col min="72" max="72" width="14.5546875" style="54" bestFit="1" customWidth="1"/>
    <col min="73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4.5546875" style="54" bestFit="1" customWidth="1"/>
    <col min="87" max="87" width="9.33203125" style="54" bestFit="1" customWidth="1"/>
    <col min="88" max="88" width="7.77734375" style="54" bestFit="1" customWidth="1"/>
    <col min="89" max="89" width="11.109375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77734375" style="54" hidden="1" customWidth="1"/>
    <col min="97" max="97" width="11.88671875" style="142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3" bestFit="1" customWidth="1"/>
    <col min="111" max="111" width="11.6640625" style="54" hidden="1" customWidth="1"/>
    <col min="112" max="113" width="11.109375" style="54" hidden="1" customWidth="1"/>
    <col min="114" max="114" width="13.109375" style="54" hidden="1" customWidth="1"/>
    <col min="115" max="115" width="15.33203125" style="54" bestFit="1" customWidth="1"/>
    <col min="116" max="116" width="14.6640625" style="54" bestFit="1" customWidth="1"/>
    <col min="117" max="117" width="14.6640625" style="54" customWidth="1"/>
    <col min="118" max="118" width="16.77734375" style="54" bestFit="1" customWidth="1"/>
    <col min="119" max="119" width="16.33203125" style="54" bestFit="1" customWidth="1"/>
    <col min="120" max="120" width="15.33203125" style="54" bestFit="1" customWidth="1"/>
    <col min="121" max="121" width="12.33203125" style="54" bestFit="1" customWidth="1"/>
    <col min="122" max="122" width="17.88671875" style="54" bestFit="1" customWidth="1"/>
    <col min="123" max="123" width="16.33203125" style="54" bestFit="1" customWidth="1"/>
    <col min="124" max="124" width="15.33203125" style="54" bestFit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0" style="54" bestFit="1" customWidth="1"/>
    <col min="131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U1" s="53"/>
      <c r="V1" s="1"/>
      <c r="W1" s="53"/>
      <c r="X1" s="1"/>
      <c r="Y1" s="122"/>
      <c r="Z1" s="1"/>
      <c r="AA1" s="53"/>
      <c r="AF1" s="1"/>
      <c r="AG1" s="1"/>
      <c r="AH1" s="1"/>
      <c r="AI1" s="1"/>
      <c r="AJ1" s="1"/>
      <c r="AK1" s="1"/>
      <c r="AL1" s="1"/>
      <c r="AN1" s="119" t="s">
        <v>100</v>
      </c>
      <c r="AO1" s="120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5" t="s">
        <v>0</v>
      </c>
      <c r="CC1" s="150" t="s">
        <v>1</v>
      </c>
      <c r="CF1" s="1"/>
      <c r="CG1" s="1"/>
      <c r="CH1" s="1"/>
      <c r="CI1" s="1"/>
      <c r="CJ1" s="1"/>
      <c r="CK1" s="1"/>
      <c r="CL1" s="1"/>
      <c r="CO1" s="135" t="s">
        <v>0</v>
      </c>
      <c r="CQ1" s="150" t="s">
        <v>1</v>
      </c>
      <c r="CS1" s="54"/>
      <c r="CT1" s="54"/>
      <c r="CU1" s="54"/>
      <c r="CV1" s="54"/>
      <c r="CW1" s="54"/>
      <c r="CX1" s="54"/>
      <c r="CY1" s="54"/>
      <c r="DF1" s="142"/>
      <c r="DG1" s="58"/>
      <c r="DH1" s="58"/>
      <c r="DI1" s="58"/>
      <c r="DJ1" s="58"/>
      <c r="DK1" s="58"/>
      <c r="DL1" s="58"/>
      <c r="DM1" s="58"/>
      <c r="DN1" s="58"/>
      <c r="DO1" s="58"/>
      <c r="DP1" s="58"/>
      <c r="DZ1" s="133"/>
    </row>
    <row r="2" spans="1:134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</v>
      </c>
      <c r="J2" s="1"/>
      <c r="K2" s="53"/>
      <c r="L2" s="1"/>
      <c r="M2" s="53"/>
      <c r="U2" s="102" t="s">
        <v>0</v>
      </c>
      <c r="V2" s="1"/>
      <c r="W2" s="103" t="s">
        <v>1</v>
      </c>
      <c r="X2" s="2"/>
      <c r="Y2" s="123" t="s">
        <v>1</v>
      </c>
      <c r="Z2" s="1"/>
      <c r="AA2" s="101" t="s">
        <v>0</v>
      </c>
      <c r="AF2" s="30"/>
      <c r="AG2" s="40" t="s">
        <v>0</v>
      </c>
      <c r="AH2" s="44" t="s">
        <v>1</v>
      </c>
      <c r="AI2" s="71" t="s">
        <v>1</v>
      </c>
      <c r="AJ2" s="77" t="s">
        <v>0</v>
      </c>
      <c r="AK2" s="71" t="s">
        <v>0</v>
      </c>
      <c r="AL2" s="72" t="s">
        <v>0</v>
      </c>
      <c r="BE2" s="102" t="s">
        <v>0</v>
      </c>
      <c r="BF2" s="1"/>
      <c r="BG2" s="103" t="s">
        <v>1</v>
      </c>
      <c r="BH2" s="2"/>
      <c r="BI2" s="104" t="s">
        <v>1</v>
      </c>
      <c r="BJ2" s="1"/>
      <c r="BK2" s="105" t="s">
        <v>0</v>
      </c>
      <c r="BM2" s="106" t="s">
        <v>0</v>
      </c>
      <c r="BO2" s="101" t="s">
        <v>0</v>
      </c>
      <c r="BR2" s="30"/>
      <c r="BS2" s="135" t="s">
        <v>0</v>
      </c>
      <c r="BT2" s="150" t="s">
        <v>1</v>
      </c>
      <c r="CA2" s="129" cm="1">
        <f t="array" ref="CA2:CB132">_xll.BDH(BS4, "LAST_PRICE", "01/01/2025 15:00:00", "01/01/2035 16:00:00", "BarSize=60", "BarType=T", "RecurDaily=True", "TZ=New_York")</f>
        <v>45751.625</v>
      </c>
      <c r="CB2" s="54">
        <v>102.50579999999999</v>
      </c>
      <c r="CC2" s="129" cm="1">
        <f t="array" ref="CC2:CD132">_xll.BDH(BT4, "LAST_PRICE", "01/01/2025 15:00:00", "01/01/2035 16:00:00", "BarSize=60", "BarType=T", "RecurDaily=True", "TZ=New_York")</f>
        <v>45751.625</v>
      </c>
      <c r="CD2" s="54">
        <v>72.096999999999994</v>
      </c>
      <c r="CF2" s="30"/>
      <c r="CG2" s="135" t="s">
        <v>0</v>
      </c>
      <c r="CH2" s="150" t="s">
        <v>1</v>
      </c>
      <c r="CO2" s="129" cm="1">
        <f t="array" ref="CO2:CP137">_xll.BDH(CG4, "LAST_PRICE", "01/01/2025 15:00:00", "01/01/2035 16:00:00", "BarSize=60", "BarType=T", "RecurDaily=True", "TZ=London")</f>
        <v>45751.625</v>
      </c>
      <c r="CP2" s="54">
        <v>392.07299999999998</v>
      </c>
      <c r="CQ2" s="129" cm="1">
        <f t="array" ref="CQ2:CR137">_xll.BDH(CH4, "LAST_PRICE", "01/01/2025 15:00:00", "01/01/2035 16:00:00", "BarSize=60", "BarType=T", "RecurDaily=True", "TZ=London")</f>
        <v>45751.625</v>
      </c>
      <c r="CR2" s="54">
        <v>78.040000000000006</v>
      </c>
      <c r="CS2" s="54"/>
      <c r="CT2" s="54"/>
      <c r="CU2" s="54"/>
      <c r="CV2" s="54"/>
      <c r="CW2" s="54"/>
      <c r="CX2" s="54"/>
      <c r="CY2" s="54"/>
      <c r="DF2" s="142"/>
      <c r="DG2" s="58"/>
      <c r="DH2" s="58"/>
      <c r="DI2" s="58"/>
      <c r="DJ2" s="58"/>
      <c r="DK2" s="58"/>
      <c r="DL2" s="58"/>
      <c r="DM2" s="58"/>
      <c r="DN2" s="58"/>
      <c r="DO2" s="58"/>
      <c r="DP2" s="58"/>
      <c r="DZ2" s="133"/>
    </row>
    <row r="3" spans="1:134" ht="15" thickBot="1" x14ac:dyDescent="0.35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144" t="s">
        <v>108</v>
      </c>
      <c r="H3" s="1"/>
      <c r="I3" s="53"/>
      <c r="J3" s="1"/>
      <c r="K3" s="53"/>
      <c r="L3" s="1"/>
      <c r="M3" s="53"/>
      <c r="U3" s="52" cm="1">
        <f t="array" ref="U3:V137">_xll.BDH(B4, "LAST_PRICE", "01/01/2025 15:00:00", "01/01/2035 16:00:00", "BarSize=60", "BarType=T", "RecurDaily=True", "TZ=London")</f>
        <v>45751.625</v>
      </c>
      <c r="V3" s="1">
        <v>90.08</v>
      </c>
      <c r="W3" s="52" cm="1">
        <f t="array" ref="W3:X140">_xll.BDH(C4, "LAST_PRICE", "01/01/2025 15:00:00", "01/01/2035 16:00:00", "BarSize=60", "BarType=T", "RecurDaily=True", "TZ=London")</f>
        <v>45751.625</v>
      </c>
      <c r="X3" s="46">
        <v>101.578</v>
      </c>
      <c r="Y3" s="124" cm="1">
        <f t="array" ref="Y3:Z129">_xll.BDH(D4, "LAST_PRICE", "01/01/2025 15:00:00", "01/01/2035 16:00:00", "BarSize=60", "BarType=T", "RecurDaily=True", "TZ=London")</f>
        <v>45751.625</v>
      </c>
      <c r="Z3" s="1">
        <v>119.31</v>
      </c>
      <c r="AA3" s="52" cm="1">
        <f t="array" ref="AA3:AB76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4" t="s">
        <v>64</v>
      </c>
      <c r="AH3" s="73" t="s">
        <v>66</v>
      </c>
      <c r="AI3" s="73" t="s">
        <v>67</v>
      </c>
      <c r="AJ3" s="73" t="s">
        <v>66</v>
      </c>
      <c r="AK3" s="73" t="s">
        <v>68</v>
      </c>
      <c r="AL3" s="65" t="s">
        <v>69</v>
      </c>
      <c r="AN3" s="94" t="s">
        <v>80</v>
      </c>
      <c r="AO3" s="86" t="s">
        <v>64</v>
      </c>
      <c r="AP3" s="87" t="s">
        <v>67</v>
      </c>
      <c r="BE3" s="52" cm="1">
        <f t="array" ref="BE3:BF137">_xll.BDH(AG4, "LAST_PRICE", "01/01/2025 15:00:00", "01/01/2035 16:00:00", "BarSize=60", "BarType=T", "RecurDaily=True", "TZ=New_York")</f>
        <v>45751.625</v>
      </c>
      <c r="BF3" s="1">
        <v>76.8</v>
      </c>
      <c r="BG3" s="52" cm="1">
        <f t="array" ref="BG3:BH39">_xll.BDH(AH4, "LAST_PRICE", "01/01/2025 15:00:00", "01/01/2035 16:00:00", "BarSize=60", "BarType=T", "RecurDaily=True", "TZ=New_York")</f>
        <v>45896.625</v>
      </c>
      <c r="BH3" s="46">
        <v>99.6484375</v>
      </c>
      <c r="BI3" s="52" cm="1">
        <f t="array" ref="BI3:BJ137">_xll.BDH(AI4, "LAST_PRICE", "01/01/2025 15:00:00", "01/01/2035 16:00:00", "BarSize=60", "BarType=T", "RecurDaily=True", "TZ=New_York")</f>
        <v>45751.625</v>
      </c>
      <c r="BJ3" s="1">
        <v>108.78</v>
      </c>
      <c r="BK3" s="52" cm="1">
        <f t="array" ref="BK3:BL39">_xll.BDH(AJ4, "LAST_PRICE", "01/01/2025 15:00:00", "01/01/2035 16:00:00", "BarSize=60", "BarType=T", "RecurDaily=True", "TZ=New_York")</f>
        <v>45896.625</v>
      </c>
      <c r="BL3" s="54">
        <v>99.6484375</v>
      </c>
      <c r="BM3" s="52" cm="1">
        <f t="array" ref="BM3:BN54">_xll.BDH(AK4, "LAST_PRICE", "01/01/2025 15:00:00", "01/01/2035 16:00:00", "BarSize=60", "BarType=T", "RecurDaily=True", "TZ=New_York")</f>
        <v>45875.625</v>
      </c>
      <c r="BN3" s="54">
        <v>100.140625</v>
      </c>
      <c r="BO3" s="52" cm="1">
        <f t="array" ref="BO3:BP53">_xll.BDH(AL4, "LAST_PRICE", "01/01/2025 15:00:00", "01/01/2035 16:00:00", "BarSize=60", "BarType=T", "RecurDaily=True", "TZ=New_York")</f>
        <v>45876.625</v>
      </c>
      <c r="BP3" s="54">
        <v>98.9375</v>
      </c>
      <c r="BR3" s="15" t="s">
        <v>32</v>
      </c>
      <c r="BS3" s="64" t="s">
        <v>122</v>
      </c>
      <c r="BT3" s="65" t="s">
        <v>103</v>
      </c>
      <c r="BU3" s="41"/>
      <c r="BV3" s="41"/>
      <c r="CA3" s="129">
        <v>45754.625</v>
      </c>
      <c r="CB3" s="54">
        <v>101.8361</v>
      </c>
      <c r="CC3" s="129">
        <v>45754.625</v>
      </c>
      <c r="CD3" s="54">
        <v>76.41</v>
      </c>
      <c r="CF3" s="15" t="s">
        <v>32</v>
      </c>
      <c r="CG3" s="64" t="s">
        <v>125</v>
      </c>
      <c r="CH3" s="65" t="s">
        <v>126</v>
      </c>
      <c r="CI3" s="41"/>
      <c r="CJ3" s="41"/>
      <c r="CO3" s="129">
        <v>45754.625</v>
      </c>
      <c r="CP3" s="54">
        <v>399.05599999999998</v>
      </c>
      <c r="CQ3" s="129">
        <v>45754.625</v>
      </c>
      <c r="CR3" s="54">
        <v>78.236000000000004</v>
      </c>
      <c r="CS3" s="54"/>
      <c r="CT3" s="54"/>
      <c r="CU3" s="54"/>
      <c r="CV3" s="54"/>
      <c r="CW3" s="54"/>
      <c r="CX3" s="54"/>
      <c r="CY3" s="54"/>
      <c r="DF3" s="142"/>
      <c r="DG3" s="58"/>
      <c r="DH3" s="58"/>
      <c r="DI3" s="58"/>
      <c r="DJ3" s="58"/>
      <c r="DK3" s="58"/>
      <c r="DL3" s="58"/>
      <c r="DM3" s="58"/>
      <c r="DN3" s="58"/>
      <c r="DO3" s="58"/>
      <c r="DP3" s="58"/>
      <c r="DZ3" s="133"/>
    </row>
    <row r="4" spans="1:134" ht="32.25" customHeight="1" thickBot="1" x14ac:dyDescent="0.35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146" t="s">
        <v>56</v>
      </c>
      <c r="H4" s="147" t="s">
        <v>58</v>
      </c>
      <c r="I4" s="53"/>
      <c r="J4" s="1"/>
      <c r="K4" s="53"/>
      <c r="L4" s="1"/>
      <c r="M4" s="53"/>
      <c r="U4" s="75">
        <v>45754.625</v>
      </c>
      <c r="V4" s="54">
        <v>89.41</v>
      </c>
      <c r="W4" s="75">
        <v>45754.625</v>
      </c>
      <c r="X4" s="54">
        <v>101.506</v>
      </c>
      <c r="Y4" s="125">
        <v>45754.625</v>
      </c>
      <c r="Z4" s="54">
        <v>118.7</v>
      </c>
      <c r="AA4" s="75">
        <v>45847.625</v>
      </c>
      <c r="AB4" s="54">
        <v>99.84</v>
      </c>
      <c r="AF4" s="15" t="s">
        <v>33</v>
      </c>
      <c r="AG4" s="66" t="s">
        <v>65</v>
      </c>
      <c r="AH4" s="41" t="s">
        <v>73</v>
      </c>
      <c r="AI4" s="41" t="s">
        <v>70</v>
      </c>
      <c r="AJ4" s="41" t="s">
        <v>73</v>
      </c>
      <c r="AK4" s="41" t="s">
        <v>72</v>
      </c>
      <c r="AL4" s="42" t="s">
        <v>71</v>
      </c>
      <c r="AN4" s="88"/>
      <c r="AO4" s="89">
        <f>AG5/AG14</f>
        <v>308756.32950475486</v>
      </c>
      <c r="AP4" s="90">
        <f>AI5/AM14</f>
        <v>233702.49672167332</v>
      </c>
      <c r="BE4" s="75">
        <v>45754.625</v>
      </c>
      <c r="BF4" s="54">
        <v>76.099999999999994</v>
      </c>
      <c r="BG4" s="75">
        <v>45897.625</v>
      </c>
      <c r="BH4" s="54">
        <v>99.6953125</v>
      </c>
      <c r="BI4" s="75">
        <v>45754.625</v>
      </c>
      <c r="BJ4" s="54">
        <v>106.66</v>
      </c>
      <c r="BK4" s="75">
        <v>45897.625</v>
      </c>
      <c r="BL4" s="54">
        <v>99.6953125</v>
      </c>
      <c r="BM4" s="75">
        <v>45876.625</v>
      </c>
      <c r="BN4" s="54">
        <v>100.0625</v>
      </c>
      <c r="BO4" s="75">
        <v>45877.625</v>
      </c>
      <c r="BP4" s="54">
        <v>98.4375</v>
      </c>
      <c r="BR4" s="15" t="s">
        <v>33</v>
      </c>
      <c r="BS4" s="66" t="s">
        <v>123</v>
      </c>
      <c r="BT4" s="42" t="s">
        <v>124</v>
      </c>
      <c r="BU4" s="41"/>
      <c r="BV4" s="151">
        <v>0.625</v>
      </c>
      <c r="BW4" s="41"/>
      <c r="CA4" s="129">
        <v>45755.625</v>
      </c>
      <c r="CB4" s="54">
        <v>101.12439999999999</v>
      </c>
      <c r="CC4" s="129">
        <v>45755.625</v>
      </c>
      <c r="CD4" s="54">
        <v>80.424999999999997</v>
      </c>
      <c r="CF4" s="15" t="s">
        <v>33</v>
      </c>
      <c r="CG4" s="66" t="s">
        <v>127</v>
      </c>
      <c r="CH4" s="42" t="s">
        <v>128</v>
      </c>
      <c r="CI4" s="41"/>
      <c r="CJ4" s="151">
        <v>0.625</v>
      </c>
      <c r="CK4" s="41"/>
      <c r="CO4" s="129">
        <v>45755.625</v>
      </c>
      <c r="CP4" s="54">
        <v>393.24900000000002</v>
      </c>
      <c r="CQ4" s="129">
        <v>45755.625</v>
      </c>
      <c r="CR4" s="54">
        <v>77.082999999999998</v>
      </c>
      <c r="CS4" s="54"/>
      <c r="CT4" s="54"/>
      <c r="CU4" s="54"/>
      <c r="CV4" s="54"/>
      <c r="CW4" s="54"/>
      <c r="CX4" s="54"/>
      <c r="CY4" s="54"/>
      <c r="DF4" s="142"/>
      <c r="DG4" s="58"/>
      <c r="DH4" s="58"/>
      <c r="DI4" s="58"/>
      <c r="DJ4" s="58"/>
      <c r="DK4" s="58"/>
      <c r="DL4" s="58"/>
      <c r="DM4" s="58"/>
      <c r="DN4" s="58"/>
      <c r="DO4" s="58"/>
      <c r="DP4" s="58"/>
      <c r="DZ4" s="133"/>
    </row>
    <row r="5" spans="1:134" ht="15" thickBot="1" x14ac:dyDescent="0.35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45">
        <f>ROUND(B5/B14,0)</f>
        <v>266241</v>
      </c>
      <c r="H5" s="22">
        <f>ROUND(D5/H14,0)</f>
        <v>352748</v>
      </c>
      <c r="I5" s="1"/>
      <c r="J5" s="1"/>
      <c r="K5" s="1"/>
      <c r="L5" s="1"/>
      <c r="M5" s="1"/>
      <c r="U5" s="75">
        <v>45755.625</v>
      </c>
      <c r="V5" s="54">
        <v>90.07</v>
      </c>
      <c r="W5" s="75">
        <v>45755.625</v>
      </c>
      <c r="X5" s="54">
        <v>101.324</v>
      </c>
      <c r="Y5" s="125">
        <v>45755.625</v>
      </c>
      <c r="Z5" s="54">
        <v>119.1</v>
      </c>
      <c r="AA5" s="75">
        <v>45848.625</v>
      </c>
      <c r="AB5" s="54">
        <v>99.671999999999997</v>
      </c>
      <c r="AF5" s="15" t="s">
        <v>8</v>
      </c>
      <c r="AG5" s="7">
        <f t="shared" ref="AG5:AL5" si="0">25/$AN$6*AN6*10^6</f>
        <v>25000000</v>
      </c>
      <c r="AH5" s="7">
        <f>25/$AN$6*AO6*10^6</f>
        <v>13928571.428571429</v>
      </c>
      <c r="AI5" s="7">
        <f t="shared" si="0"/>
        <v>25714285.714285716</v>
      </c>
      <c r="AJ5" s="7">
        <f t="shared" si="0"/>
        <v>12142857.142857144</v>
      </c>
      <c r="AK5" s="7">
        <f t="shared" si="0"/>
        <v>5357142.8571428573</v>
      </c>
      <c r="AL5" s="7">
        <f t="shared" si="0"/>
        <v>7500000</v>
      </c>
      <c r="AN5" s="53"/>
      <c r="AO5" s="1"/>
      <c r="AP5" s="53"/>
      <c r="BE5" s="75">
        <v>45755.625</v>
      </c>
      <c r="BF5" s="54">
        <v>75.75</v>
      </c>
      <c r="BG5" s="75">
        <v>45898.625</v>
      </c>
      <c r="BH5" s="54">
        <v>99.703125</v>
      </c>
      <c r="BI5" s="75">
        <v>45755.625</v>
      </c>
      <c r="BJ5" s="54">
        <v>105.31</v>
      </c>
      <c r="BK5" s="75">
        <v>45898.625</v>
      </c>
      <c r="BL5" s="54">
        <v>99.703125</v>
      </c>
      <c r="BM5" s="75">
        <v>45877.625</v>
      </c>
      <c r="BN5" s="54">
        <v>99.734375</v>
      </c>
      <c r="BO5" s="75">
        <v>45880.625</v>
      </c>
      <c r="BP5" s="54">
        <v>98.53125</v>
      </c>
      <c r="BR5" s="15" t="s">
        <v>8</v>
      </c>
      <c r="BS5" s="67">
        <f>25*10^6</f>
        <v>25000000</v>
      </c>
      <c r="BT5" s="8">
        <f>25*10^6*5</f>
        <v>125000000</v>
      </c>
      <c r="BU5" s="7"/>
      <c r="BV5" s="7"/>
      <c r="BW5" s="7"/>
      <c r="CA5" s="129">
        <v>45756.625</v>
      </c>
      <c r="CB5" s="54">
        <v>103.8849</v>
      </c>
      <c r="CC5" s="129">
        <v>45756.625</v>
      </c>
      <c r="CD5" s="54">
        <v>66.811999999999998</v>
      </c>
      <c r="CF5" s="15" t="s">
        <v>8</v>
      </c>
      <c r="CG5" s="67">
        <f>25*10^6</f>
        <v>25000000</v>
      </c>
      <c r="CH5" s="8">
        <f>25*10^6*4.5</f>
        <v>112500000</v>
      </c>
      <c r="CI5" s="7"/>
      <c r="CJ5" s="7"/>
      <c r="CK5" s="7"/>
      <c r="CO5" s="129">
        <v>45756.625</v>
      </c>
      <c r="CP5" s="54">
        <v>429.77499999999998</v>
      </c>
      <c r="CQ5" s="129">
        <v>45756.625</v>
      </c>
      <c r="CR5" s="54">
        <v>85.578999999999994</v>
      </c>
      <c r="CS5" s="54"/>
      <c r="CT5" s="54"/>
      <c r="CU5" s="54"/>
      <c r="CV5" s="54"/>
      <c r="CW5" s="54"/>
      <c r="CX5" s="54"/>
      <c r="CY5" s="54"/>
      <c r="DF5" s="142"/>
      <c r="DG5" s="58"/>
      <c r="DH5" s="58"/>
      <c r="DI5" s="58"/>
      <c r="DJ5" s="58"/>
      <c r="DK5" s="58"/>
      <c r="DL5" s="58"/>
      <c r="DM5" s="58"/>
      <c r="DN5" s="58"/>
      <c r="DO5" s="58"/>
      <c r="DP5" s="58"/>
      <c r="DZ5" s="133"/>
    </row>
    <row r="6" spans="1:134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5">
        <v>45756.625</v>
      </c>
      <c r="V6" s="54">
        <v>89.53</v>
      </c>
      <c r="W6" s="75">
        <v>45756.625</v>
      </c>
      <c r="X6" s="54">
        <v>101.774</v>
      </c>
      <c r="Y6" s="125">
        <v>45756.625</v>
      </c>
      <c r="Z6" s="54">
        <v>118.82</v>
      </c>
      <c r="AA6" s="75">
        <v>45849.625</v>
      </c>
      <c r="AB6" s="54">
        <v>99.567999999999998</v>
      </c>
      <c r="AF6" s="15" t="s">
        <v>10</v>
      </c>
      <c r="AG6" s="69">
        <v>0</v>
      </c>
      <c r="AH6" s="74">
        <f>(3+5/8)*0.01</f>
        <v>3.6249999999999998E-2</v>
      </c>
      <c r="AI6" s="74">
        <v>0</v>
      </c>
      <c r="AJ6" s="74">
        <f>(3+5/8)*0.01</f>
        <v>3.6249999999999998E-2</v>
      </c>
      <c r="AK6" s="74">
        <v>4.2500000000000003E-2</v>
      </c>
      <c r="AL6" s="10">
        <v>4.7500000000000001E-2</v>
      </c>
      <c r="AN6" s="67">
        <f>35*10^6</f>
        <v>35000000</v>
      </c>
      <c r="AO6" s="7">
        <f>19.5*10^6</f>
        <v>19500000</v>
      </c>
      <c r="AP6" s="7">
        <f>36*10^6</f>
        <v>36000000</v>
      </c>
      <c r="AQ6" s="7">
        <f>17*10^6</f>
        <v>17000000</v>
      </c>
      <c r="AR6" s="7">
        <f>7.5*10^6</f>
        <v>7500000</v>
      </c>
      <c r="AS6" s="8">
        <f>10.5*10^6</f>
        <v>10500000</v>
      </c>
      <c r="BE6" s="75">
        <v>45756.625</v>
      </c>
      <c r="BF6" s="54">
        <v>77.78</v>
      </c>
      <c r="BG6" s="75">
        <v>45901.625</v>
      </c>
      <c r="BH6" s="54">
        <v>99.6796875</v>
      </c>
      <c r="BI6" s="75">
        <v>45756.625</v>
      </c>
      <c r="BJ6" s="54">
        <v>107.07</v>
      </c>
      <c r="BK6" s="75">
        <v>45901.625</v>
      </c>
      <c r="BL6" s="54">
        <v>99.6796875</v>
      </c>
      <c r="BM6" s="75">
        <v>45880.625</v>
      </c>
      <c r="BN6" s="54">
        <v>99.8125</v>
      </c>
      <c r="BO6" s="75">
        <v>45881.625</v>
      </c>
      <c r="BP6" s="54">
        <v>98</v>
      </c>
      <c r="BR6" s="15" t="s">
        <v>10</v>
      </c>
      <c r="BS6" s="69">
        <v>0.05</v>
      </c>
      <c r="BT6" s="10">
        <v>0.01</v>
      </c>
      <c r="BU6" s="74"/>
      <c r="BV6" s="74"/>
      <c r="BW6" s="74"/>
      <c r="CA6" s="129">
        <v>45757.625</v>
      </c>
      <c r="CB6" s="54">
        <v>102.41</v>
      </c>
      <c r="CC6" s="129">
        <v>45757.625</v>
      </c>
      <c r="CD6" s="54">
        <v>74.572999999999993</v>
      </c>
      <c r="CF6" s="15" t="s">
        <v>10</v>
      </c>
      <c r="CG6" s="69">
        <v>0.05</v>
      </c>
      <c r="CH6" s="10">
        <v>0.01</v>
      </c>
      <c r="CI6" s="74"/>
      <c r="CJ6" s="74"/>
      <c r="CK6" s="74"/>
      <c r="CO6" s="129">
        <v>45757.625</v>
      </c>
      <c r="CP6" s="54">
        <v>382.76</v>
      </c>
      <c r="CQ6" s="129">
        <v>45757.625</v>
      </c>
      <c r="CR6" s="54">
        <v>75.415000000000006</v>
      </c>
      <c r="CS6" s="54"/>
      <c r="CT6" s="54"/>
      <c r="CU6" s="54"/>
      <c r="CV6" s="54"/>
      <c r="CW6" s="54"/>
      <c r="CX6" s="54"/>
      <c r="CY6" s="54"/>
      <c r="DF6" s="142"/>
      <c r="DG6" s="58"/>
      <c r="DH6" s="58"/>
      <c r="DI6" s="58"/>
      <c r="DJ6" s="58"/>
      <c r="DK6" s="58"/>
      <c r="DL6" s="58"/>
      <c r="DM6" s="58"/>
      <c r="DN6" s="58"/>
      <c r="DO6" s="58"/>
      <c r="DP6" s="58"/>
      <c r="DZ6" s="133"/>
    </row>
    <row r="7" spans="1:134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O7" s="1"/>
      <c r="P7" s="1"/>
      <c r="Q7" s="1"/>
      <c r="U7" s="75">
        <v>45757.625</v>
      </c>
      <c r="V7" s="54">
        <v>90.4</v>
      </c>
      <c r="W7" s="75">
        <v>45757.625</v>
      </c>
      <c r="X7" s="54">
        <v>101.46299999999999</v>
      </c>
      <c r="Y7" s="125">
        <v>45757.625</v>
      </c>
      <c r="Z7" s="54">
        <v>119.32</v>
      </c>
      <c r="AA7" s="75">
        <v>45852.625</v>
      </c>
      <c r="AB7" s="54">
        <v>99.611999999999995</v>
      </c>
      <c r="AF7" s="15" t="s">
        <v>12</v>
      </c>
      <c r="AG7" s="69">
        <v>4.2299999999999997E-2</v>
      </c>
      <c r="AH7" s="74">
        <v>4.2299999999999997E-2</v>
      </c>
      <c r="AI7" s="74">
        <v>4.2299999999999997E-2</v>
      </c>
      <c r="AJ7" s="74">
        <v>4.2299999999999997E-2</v>
      </c>
      <c r="AK7" s="74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5">
        <v>45757.625</v>
      </c>
      <c r="BF7" s="54">
        <v>76.510000000000005</v>
      </c>
      <c r="BG7" s="75">
        <v>45902.625</v>
      </c>
      <c r="BH7" s="54">
        <v>99.53125</v>
      </c>
      <c r="BI7" s="75">
        <v>45757.625</v>
      </c>
      <c r="BJ7" s="54">
        <v>105.25</v>
      </c>
      <c r="BK7" s="75">
        <v>45902.625</v>
      </c>
      <c r="BL7" s="54">
        <v>99.53125</v>
      </c>
      <c r="BM7" s="75">
        <v>45881.625</v>
      </c>
      <c r="BN7" s="54">
        <v>99.6875</v>
      </c>
      <c r="BO7" s="75">
        <v>45882.625</v>
      </c>
      <c r="BP7" s="54">
        <v>98.796875</v>
      </c>
      <c r="BR7" s="15" t="s">
        <v>12</v>
      </c>
      <c r="BS7" s="69">
        <v>0</v>
      </c>
      <c r="BT7" s="10">
        <v>0</v>
      </c>
      <c r="BU7" s="74"/>
      <c r="BV7" s="74"/>
      <c r="BW7" s="74"/>
      <c r="CA7" s="129">
        <v>45758.625</v>
      </c>
      <c r="CB7" s="54">
        <v>102.86199999999999</v>
      </c>
      <c r="CC7" s="129">
        <v>45758.625</v>
      </c>
      <c r="CD7" s="54">
        <v>72.879000000000005</v>
      </c>
      <c r="CF7" s="15" t="s">
        <v>12</v>
      </c>
      <c r="CG7" s="69">
        <v>0</v>
      </c>
      <c r="CH7" s="10">
        <v>0</v>
      </c>
      <c r="CI7" s="74"/>
      <c r="CJ7" s="74"/>
      <c r="CK7" s="74"/>
      <c r="CO7" s="129">
        <v>45758.625</v>
      </c>
      <c r="CP7" s="54">
        <v>394.57299999999998</v>
      </c>
      <c r="CQ7" s="129">
        <v>45758.625</v>
      </c>
      <c r="CR7" s="54">
        <v>78.287000000000006</v>
      </c>
      <c r="CS7" s="54"/>
      <c r="CT7" s="54"/>
      <c r="CU7" s="54"/>
      <c r="CV7" s="54"/>
      <c r="CW7" s="54"/>
      <c r="CX7" s="54"/>
      <c r="CY7" s="54"/>
      <c r="DF7" s="142"/>
      <c r="DG7" s="58"/>
      <c r="DH7" s="58"/>
      <c r="DI7" s="58"/>
      <c r="DJ7" s="58"/>
      <c r="DK7" s="58"/>
      <c r="DL7" s="58"/>
      <c r="DM7" s="58"/>
      <c r="DN7" s="58"/>
      <c r="DO7" s="58"/>
      <c r="DP7" s="58"/>
      <c r="DZ7" s="133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5">
        <v>45758.625</v>
      </c>
      <c r="V8" s="54">
        <v>89.87</v>
      </c>
      <c r="W8" s="75">
        <v>45758.625</v>
      </c>
      <c r="X8" s="54">
        <v>101.64700000000001</v>
      </c>
      <c r="Y8" s="125">
        <v>45758.625</v>
      </c>
      <c r="Z8" s="54">
        <v>119.4</v>
      </c>
      <c r="AA8" s="75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5">
        <v>45758.625</v>
      </c>
      <c r="BF8" s="54">
        <v>76.739999999999995</v>
      </c>
      <c r="BG8" s="75">
        <v>45903.625</v>
      </c>
      <c r="BH8" s="54">
        <v>99.6796875</v>
      </c>
      <c r="BI8" s="75">
        <v>45758.625</v>
      </c>
      <c r="BJ8" s="54">
        <v>105.23</v>
      </c>
      <c r="BK8" s="75">
        <v>45903.625</v>
      </c>
      <c r="BL8" s="54">
        <v>99.6796875</v>
      </c>
      <c r="BM8" s="75">
        <v>45882.625</v>
      </c>
      <c r="BN8" s="54">
        <v>100.125</v>
      </c>
      <c r="BO8" s="75">
        <v>45883.625</v>
      </c>
      <c r="BP8" s="54">
        <v>98.03125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9">
        <v>45761.625</v>
      </c>
      <c r="CB8" s="54">
        <v>103.191</v>
      </c>
      <c r="CC8" s="129">
        <v>45761.625</v>
      </c>
      <c r="CD8" s="54">
        <v>70.346999999999994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9">
        <v>45761.625</v>
      </c>
      <c r="CP8" s="54">
        <v>368.839</v>
      </c>
      <c r="CQ8" s="129">
        <v>45761.625</v>
      </c>
      <c r="CR8" s="54">
        <v>72.742999999999995</v>
      </c>
      <c r="CS8" s="54"/>
      <c r="CT8" s="54"/>
      <c r="CU8" s="54"/>
      <c r="CV8" s="54"/>
      <c r="CW8" s="54"/>
      <c r="CX8" s="54"/>
      <c r="CY8" s="54"/>
      <c r="DF8" s="142"/>
      <c r="DG8" s="58"/>
      <c r="DH8" s="58"/>
      <c r="DI8" s="58"/>
      <c r="DJ8" s="58"/>
      <c r="DK8" s="58"/>
      <c r="DL8" s="58"/>
      <c r="DM8" s="58"/>
      <c r="DN8" s="58"/>
      <c r="DO8" s="58"/>
      <c r="DP8" s="58"/>
      <c r="DZ8" s="133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5">
        <v>45761.625</v>
      </c>
      <c r="V9" s="54">
        <v>90.77</v>
      </c>
      <c r="W9" s="75">
        <v>45761.625</v>
      </c>
      <c r="X9" s="54">
        <v>101.59</v>
      </c>
      <c r="Y9" s="125">
        <v>45761.625</v>
      </c>
      <c r="Z9" s="54">
        <v>119.64</v>
      </c>
      <c r="AA9" s="75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5">
        <v>45761.625</v>
      </c>
      <c r="BF9" s="54">
        <v>77.12</v>
      </c>
      <c r="BG9" s="75">
        <v>45904.625</v>
      </c>
      <c r="BH9" s="54">
        <v>99.9140625</v>
      </c>
      <c r="BI9" s="75">
        <v>45761.625</v>
      </c>
      <c r="BJ9" s="54">
        <v>105.89</v>
      </c>
      <c r="BK9" s="75">
        <v>45904.625</v>
      </c>
      <c r="BL9" s="54">
        <v>99.9140625</v>
      </c>
      <c r="BM9" s="75">
        <v>45883.625</v>
      </c>
      <c r="BN9" s="54">
        <v>99.703125</v>
      </c>
      <c r="BO9" s="75">
        <v>45884.625</v>
      </c>
      <c r="BP9" s="54">
        <v>97.375</v>
      </c>
      <c r="BR9" s="15" t="s">
        <v>15</v>
      </c>
      <c r="BS9" s="4" t="s">
        <v>23</v>
      </c>
      <c r="BT9" s="5"/>
      <c r="BU9" s="1"/>
      <c r="BV9" s="1"/>
      <c r="BW9" s="1"/>
      <c r="CA9" s="129">
        <v>45762.625</v>
      </c>
      <c r="CB9" s="54">
        <v>103.2236</v>
      </c>
      <c r="CC9" s="129">
        <v>45762.625</v>
      </c>
      <c r="CD9" s="54">
        <v>69.921000000000006</v>
      </c>
      <c r="CF9" s="15" t="s">
        <v>15</v>
      </c>
      <c r="CG9" s="4" t="s">
        <v>23</v>
      </c>
      <c r="CH9" s="5"/>
      <c r="CI9" s="1"/>
      <c r="CJ9" s="1"/>
      <c r="CK9" s="1"/>
      <c r="CO9" s="129">
        <v>45762.625</v>
      </c>
      <c r="CP9" s="54">
        <v>366.65199999999999</v>
      </c>
      <c r="CQ9" s="129">
        <v>45762.625</v>
      </c>
      <c r="CR9" s="54">
        <v>71.917000000000002</v>
      </c>
      <c r="CS9" s="54"/>
      <c r="CT9" s="54"/>
      <c r="CU9" s="54"/>
      <c r="CV9" s="54"/>
      <c r="CW9" s="54"/>
      <c r="CX9" s="54"/>
      <c r="CY9" s="54"/>
      <c r="DF9" s="142"/>
      <c r="DG9" s="58"/>
      <c r="DH9" s="58"/>
      <c r="DI9" s="58"/>
      <c r="DJ9" s="58"/>
      <c r="DK9" s="58"/>
      <c r="DL9" s="58"/>
      <c r="DM9" s="58"/>
      <c r="DN9" s="58"/>
      <c r="DO9" s="58"/>
      <c r="DP9" s="58"/>
      <c r="DZ9" s="133"/>
    </row>
    <row r="10" spans="1:134" ht="15" thickBot="1" x14ac:dyDescent="0.35">
      <c r="A10" s="16" t="s">
        <v>28</v>
      </c>
      <c r="B10" s="11" cm="1">
        <f t="array" ref="B10">_xll.BDP(B4,"px_last")</f>
        <v>92.06</v>
      </c>
      <c r="C10" s="21" cm="1">
        <f t="array" ref="C10">_xll.BDP(C4,"px_last")</f>
        <v>101.251</v>
      </c>
      <c r="D10" s="21" cm="1">
        <f t="array" ref="D10">_xll.BDP(D4,"px_last")</f>
        <v>121.45</v>
      </c>
      <c r="E10" s="22" cm="1">
        <f t="array" ref="E10">_xll.BDP(E4,"px_last")</f>
        <v>100.146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5">
        <v>45762.625</v>
      </c>
      <c r="V10" s="54">
        <v>91.01</v>
      </c>
      <c r="W10" s="75">
        <v>45762.625</v>
      </c>
      <c r="X10" s="54">
        <v>101.6</v>
      </c>
      <c r="Y10" s="125">
        <v>45762.625</v>
      </c>
      <c r="Z10" s="54">
        <v>119.88</v>
      </c>
      <c r="AA10" s="75">
        <v>45855.625</v>
      </c>
      <c r="AB10" s="54">
        <v>99.9</v>
      </c>
      <c r="AF10" s="16" t="s">
        <v>28</v>
      </c>
      <c r="AG10" s="11" cm="1">
        <f t="array" ref="AG10">_xll.BDP(AG4,"px_last")</f>
        <v>80.545000000000002</v>
      </c>
      <c r="AH10" s="21" cm="1">
        <f t="array" ref="AH10">_xll.BDP(AH4,"px_last")</f>
        <v>100.203125</v>
      </c>
      <c r="AI10" s="21" cm="1">
        <f t="array" ref="AI10">_xll.BDP(AI4,"px_last")</f>
        <v>112.23</v>
      </c>
      <c r="AJ10" s="21" cm="1">
        <f t="array" ref="AJ10">_xll.BDP(AJ4,"px_last")</f>
        <v>100.203125</v>
      </c>
      <c r="AK10" s="21" cm="1">
        <f t="array" ref="AK10">_xll.BDP(AK4,"px_last")</f>
        <v>102.046875</v>
      </c>
      <c r="AL10" s="22" cm="1">
        <f t="array" ref="AL10">_xll.BDP(AL4,"px_last")</f>
        <v>102.484375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5">
        <v>45762.625</v>
      </c>
      <c r="BF10" s="54">
        <v>77.33</v>
      </c>
      <c r="BG10" s="75">
        <v>45905.625</v>
      </c>
      <c r="BH10" s="54">
        <v>100.1328125</v>
      </c>
      <c r="BI10" s="75">
        <v>45762.625</v>
      </c>
      <c r="BJ10" s="54">
        <v>106.45</v>
      </c>
      <c r="BK10" s="75">
        <v>45905.625</v>
      </c>
      <c r="BL10" s="54">
        <v>100.1328125</v>
      </c>
      <c r="BM10" s="75">
        <v>45884.625</v>
      </c>
      <c r="BN10" s="54">
        <v>99.4375</v>
      </c>
      <c r="BO10" s="75">
        <v>45887.625</v>
      </c>
      <c r="BP10" s="54">
        <v>97.078125</v>
      </c>
      <c r="BR10" s="16" t="s">
        <v>28</v>
      </c>
      <c r="BS10" s="11"/>
      <c r="BT10" s="22"/>
      <c r="BU10" s="41"/>
      <c r="BV10" s="41"/>
      <c r="BY10" s="1"/>
      <c r="CA10" s="129">
        <v>45763.625</v>
      </c>
      <c r="CB10" s="54">
        <v>102.81019999999999</v>
      </c>
      <c r="CC10" s="129">
        <v>45763.625</v>
      </c>
      <c r="CD10" s="54">
        <v>71.418999999999997</v>
      </c>
      <c r="CF10" s="16" t="s">
        <v>28</v>
      </c>
      <c r="CG10" s="11"/>
      <c r="CH10" s="22"/>
      <c r="CI10" s="41"/>
      <c r="CJ10" s="41"/>
      <c r="CM10" s="1"/>
      <c r="CO10" s="129">
        <v>45763.625</v>
      </c>
      <c r="CP10" s="54">
        <v>366.89800000000002</v>
      </c>
      <c r="CQ10" s="129">
        <v>45763.625</v>
      </c>
      <c r="CR10" s="54">
        <v>71.715000000000003</v>
      </c>
      <c r="CS10" s="54"/>
      <c r="CT10" s="54"/>
      <c r="CU10" s="54"/>
      <c r="CV10" s="54"/>
      <c r="CW10" s="54"/>
      <c r="CX10" s="54"/>
      <c r="CY10" s="54"/>
      <c r="DF10" s="149" t="s">
        <v>116</v>
      </c>
      <c r="DK10" s="58">
        <f>_xlfn.STDEV.P(DG13:DG49)</f>
        <v>89871.764980712222</v>
      </c>
      <c r="DL10" s="58">
        <f>_xlfn.STDEV.P(DH13:DH49)</f>
        <v>68251.161877837614</v>
      </c>
      <c r="DM10" s="58">
        <f>_xlfn.STDEV.P(DI13:DI49)</f>
        <v>20068.356888255261</v>
      </c>
      <c r="DN10" s="58">
        <f>_xlfn.STDEV.P(DJ13:DJ49)</f>
        <v>28840.481588334595</v>
      </c>
      <c r="DP10" s="58"/>
      <c r="DQ10" s="58"/>
      <c r="DR10" s="58"/>
      <c r="DZ10" s="133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5">
        <v>45763.625</v>
      </c>
      <c r="V11" s="54">
        <v>91.18</v>
      </c>
      <c r="W11" s="75">
        <v>45763.625</v>
      </c>
      <c r="X11" s="54">
        <v>101.705</v>
      </c>
      <c r="Y11" s="125">
        <v>45763.625</v>
      </c>
      <c r="Z11" s="54">
        <v>120.07</v>
      </c>
      <c r="AA11" s="75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5">
        <v>45763.625</v>
      </c>
      <c r="BF11" s="54">
        <v>77.319999999999993</v>
      </c>
      <c r="BG11" s="75">
        <v>45908.625</v>
      </c>
      <c r="BH11" s="54">
        <v>100.265625</v>
      </c>
      <c r="BI11" s="75">
        <v>45763.625</v>
      </c>
      <c r="BJ11" s="54">
        <v>106.9</v>
      </c>
      <c r="BK11" s="75">
        <v>45908.625</v>
      </c>
      <c r="BL11" s="54">
        <v>100.265625</v>
      </c>
      <c r="BM11" s="75">
        <v>45887.625</v>
      </c>
      <c r="BN11" s="54">
        <v>99.3125</v>
      </c>
      <c r="BO11" s="75">
        <v>45888.625</v>
      </c>
      <c r="BP11" s="54">
        <v>97.640625</v>
      </c>
      <c r="BR11" s="54"/>
      <c r="BT11" s="1"/>
      <c r="BU11" s="41"/>
      <c r="BV11" s="41"/>
      <c r="BX11" s="1"/>
      <c r="BY11" s="1"/>
      <c r="CA11" s="129">
        <v>45768.625</v>
      </c>
      <c r="CB11" s="54">
        <v>102.39749999999999</v>
      </c>
      <c r="CC11" s="129">
        <v>45768.625</v>
      </c>
      <c r="CD11" s="54">
        <v>73.872</v>
      </c>
      <c r="CH11" s="1"/>
      <c r="CI11" s="41"/>
      <c r="CJ11" s="41"/>
      <c r="CL11" s="1"/>
      <c r="CM11" s="1"/>
      <c r="CO11" s="129">
        <v>45764.625</v>
      </c>
      <c r="CP11" s="54">
        <v>368.10199999999998</v>
      </c>
      <c r="CQ11" s="129">
        <v>45764.625</v>
      </c>
      <c r="CR11" s="54">
        <v>72.084000000000003</v>
      </c>
      <c r="CS11" s="54"/>
      <c r="CT11" s="54"/>
      <c r="CU11" s="54"/>
      <c r="CV11" s="54"/>
      <c r="CW11" s="54"/>
      <c r="CX11" s="54"/>
      <c r="CY11" s="54"/>
      <c r="DF11" s="142" t="s">
        <v>117</v>
      </c>
      <c r="DG11" s="58"/>
      <c r="DH11" s="58"/>
      <c r="DI11" s="58"/>
      <c r="DJ11" s="58"/>
      <c r="DK11" s="58">
        <f>$DK$10/DK10</f>
        <v>1</v>
      </c>
      <c r="DL11" s="58">
        <v>1</v>
      </c>
      <c r="DM11" s="58">
        <v>1</v>
      </c>
      <c r="DN11" s="58">
        <v>1</v>
      </c>
      <c r="DO11" s="149"/>
      <c r="DP11" s="149"/>
      <c r="DQ11" s="149"/>
      <c r="DR11" s="149"/>
      <c r="DZ11" s="133"/>
    </row>
    <row r="12" spans="1:134" ht="15" thickBot="1" x14ac:dyDescent="0.35">
      <c r="A12" s="39" t="s">
        <v>22</v>
      </c>
      <c r="B12" s="153" t="s">
        <v>0</v>
      </c>
      <c r="C12" s="154"/>
      <c r="D12" s="154"/>
      <c r="E12" s="159" t="s">
        <v>1</v>
      </c>
      <c r="F12" s="160"/>
      <c r="G12" s="161"/>
      <c r="H12" s="156" t="s">
        <v>1</v>
      </c>
      <c r="I12" s="157"/>
      <c r="J12" s="158"/>
      <c r="K12" s="162" t="s">
        <v>0</v>
      </c>
      <c r="L12" s="163"/>
      <c r="M12" s="164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5">
        <v>45764.625</v>
      </c>
      <c r="V12" s="54">
        <v>91.48</v>
      </c>
      <c r="W12" s="75">
        <v>45764.625</v>
      </c>
      <c r="X12" s="54">
        <v>101.895</v>
      </c>
      <c r="Y12" s="125">
        <v>45764.625</v>
      </c>
      <c r="Z12" s="54">
        <v>120.5</v>
      </c>
      <c r="AA12" s="75">
        <v>45859.625</v>
      </c>
      <c r="AB12" s="54">
        <v>100.142</v>
      </c>
      <c r="AF12" s="39" t="s">
        <v>22</v>
      </c>
      <c r="AG12" s="153" t="s">
        <v>0</v>
      </c>
      <c r="AH12" s="154"/>
      <c r="AI12" s="154"/>
      <c r="AJ12" s="159" t="s">
        <v>1</v>
      </c>
      <c r="AK12" s="160"/>
      <c r="AL12" s="161"/>
      <c r="AM12" s="156" t="s">
        <v>1</v>
      </c>
      <c r="AN12" s="167"/>
      <c r="AO12" s="158"/>
      <c r="AP12" s="168" t="s">
        <v>0</v>
      </c>
      <c r="AQ12" s="169"/>
      <c r="AR12" s="170"/>
      <c r="AS12" s="156" t="s">
        <v>0</v>
      </c>
      <c r="AT12" s="167"/>
      <c r="AU12" s="158"/>
      <c r="AV12" s="165" t="s">
        <v>0</v>
      </c>
      <c r="AW12" s="163"/>
      <c r="AX12" s="166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5">
        <v>45764.625</v>
      </c>
      <c r="BF12" s="54">
        <v>77.77</v>
      </c>
      <c r="BG12" s="75">
        <v>45909.625</v>
      </c>
      <c r="BH12" s="54">
        <v>100.09375</v>
      </c>
      <c r="BI12" s="75">
        <v>45764.625</v>
      </c>
      <c r="BJ12" s="54">
        <v>106.75</v>
      </c>
      <c r="BK12" s="75">
        <v>45909.625</v>
      </c>
      <c r="BL12" s="54">
        <v>100.09375</v>
      </c>
      <c r="BM12" s="75">
        <v>45888.625</v>
      </c>
      <c r="BN12" s="54">
        <v>99.59375</v>
      </c>
      <c r="BO12" s="75">
        <v>45889.625</v>
      </c>
      <c r="BP12" s="54">
        <v>97.796875</v>
      </c>
      <c r="BR12" s="39" t="s">
        <v>22</v>
      </c>
      <c r="BS12" s="153" t="s">
        <v>0</v>
      </c>
      <c r="BT12" s="154"/>
      <c r="BU12" s="154"/>
      <c r="BV12" s="159" t="s">
        <v>1</v>
      </c>
      <c r="BW12" s="160"/>
      <c r="BX12" s="161"/>
      <c r="BY12" s="39" t="s">
        <v>16</v>
      </c>
      <c r="CA12" s="129">
        <v>45769.625</v>
      </c>
      <c r="CB12" s="54">
        <v>102.7501</v>
      </c>
      <c r="CC12" s="129">
        <v>45769.625</v>
      </c>
      <c r="CD12" s="54">
        <v>72.203999999999994</v>
      </c>
      <c r="CF12" s="39" t="s">
        <v>22</v>
      </c>
      <c r="CG12" s="153" t="s">
        <v>0</v>
      </c>
      <c r="CH12" s="154"/>
      <c r="CI12" s="154"/>
      <c r="CJ12" s="159" t="s">
        <v>1</v>
      </c>
      <c r="CK12" s="160"/>
      <c r="CL12" s="161"/>
      <c r="CM12" s="39" t="s">
        <v>16</v>
      </c>
      <c r="CO12" s="129">
        <v>45769.625</v>
      </c>
      <c r="CP12" s="54">
        <v>368.15899999999999</v>
      </c>
      <c r="CQ12" s="129">
        <v>45769.625</v>
      </c>
      <c r="CR12" s="54">
        <v>72.263000000000005</v>
      </c>
      <c r="CS12" s="54"/>
      <c r="CT12" s="54"/>
      <c r="CU12" s="54"/>
      <c r="CV12" s="54"/>
      <c r="CW12" s="54"/>
      <c r="CX12" s="54"/>
      <c r="CY12" s="54"/>
      <c r="DF12" s="148" t="s">
        <v>22</v>
      </c>
      <c r="DG12" s="149" t="s">
        <v>112</v>
      </c>
      <c r="DH12" s="149" t="s">
        <v>113</v>
      </c>
      <c r="DI12" s="149" t="s">
        <v>129</v>
      </c>
      <c r="DJ12" s="149" t="s">
        <v>130</v>
      </c>
      <c r="DK12" s="149" t="s">
        <v>114</v>
      </c>
      <c r="DL12" s="149" t="s">
        <v>115</v>
      </c>
      <c r="DM12" s="149" t="s">
        <v>131</v>
      </c>
      <c r="DN12" s="149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3" t="s">
        <v>22</v>
      </c>
      <c r="EA12" s="54" t="s">
        <v>120</v>
      </c>
      <c r="EB12" s="54" t="s">
        <v>121</v>
      </c>
      <c r="EC12" s="54" t="s">
        <v>135</v>
      </c>
      <c r="ED12" s="54" t="s">
        <v>136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O13" s="99"/>
      <c r="P13" s="99"/>
      <c r="Q13" s="99"/>
      <c r="R13" s="99"/>
      <c r="S13" s="143"/>
      <c r="U13" s="75">
        <v>45769.625</v>
      </c>
      <c r="V13" s="54">
        <v>91.4</v>
      </c>
      <c r="W13" s="75">
        <v>45769.625</v>
      </c>
      <c r="X13" s="54">
        <v>101.94</v>
      </c>
      <c r="Y13" s="125">
        <v>45769.625</v>
      </c>
      <c r="Z13" s="54">
        <v>120.54</v>
      </c>
      <c r="AA13" s="75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8" t="s">
        <v>21</v>
      </c>
      <c r="AO13" s="22" t="s">
        <v>20</v>
      </c>
      <c r="AP13" s="79" t="s">
        <v>17</v>
      </c>
      <c r="AQ13" s="21" t="s">
        <v>21</v>
      </c>
      <c r="AR13" s="80" t="s">
        <v>20</v>
      </c>
      <c r="AS13" s="11" t="s">
        <v>17</v>
      </c>
      <c r="AT13" s="78" t="s">
        <v>21</v>
      </c>
      <c r="AU13" s="22" t="s">
        <v>20</v>
      </c>
      <c r="AV13" s="79" t="s">
        <v>17</v>
      </c>
      <c r="AW13" s="21" t="s">
        <v>21</v>
      </c>
      <c r="AX13" s="80" t="s">
        <v>20</v>
      </c>
      <c r="AY13" s="99"/>
      <c r="AZ13" s="99"/>
      <c r="BA13" s="99"/>
      <c r="BB13" s="99"/>
      <c r="BC13" s="99"/>
      <c r="BE13" s="75">
        <v>45768.625</v>
      </c>
      <c r="BF13" s="54">
        <v>77.31</v>
      </c>
      <c r="BG13" s="75">
        <v>45910.625</v>
      </c>
      <c r="BH13" s="54">
        <v>100.1640625</v>
      </c>
      <c r="BI13" s="75">
        <v>45768.625</v>
      </c>
      <c r="BJ13" s="54">
        <v>105.6</v>
      </c>
      <c r="BK13" s="75">
        <v>45910.625</v>
      </c>
      <c r="BL13" s="54">
        <v>100.1640625</v>
      </c>
      <c r="BM13" s="75">
        <v>45889.625</v>
      </c>
      <c r="BN13" s="54">
        <v>99.71875</v>
      </c>
      <c r="BO13" s="75">
        <v>45890.625</v>
      </c>
      <c r="BP13" s="54">
        <v>97.328125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9"/>
      <c r="CA13" s="129">
        <v>45770.625</v>
      </c>
      <c r="CB13" s="54">
        <v>103.4188</v>
      </c>
      <c r="CC13" s="129">
        <v>45770.625</v>
      </c>
      <c r="CD13" s="54">
        <v>69.2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9"/>
      <c r="CO13" s="129">
        <v>45770.625</v>
      </c>
      <c r="CP13" s="54">
        <v>345.98099999999999</v>
      </c>
      <c r="CQ13" s="129">
        <v>45770.625</v>
      </c>
      <c r="CR13" s="54">
        <v>67.436999999999998</v>
      </c>
      <c r="CS13" s="54"/>
      <c r="CT13" s="54"/>
      <c r="CU13" s="54"/>
      <c r="CV13" s="54"/>
      <c r="CW13" s="54"/>
      <c r="CX13" s="54"/>
      <c r="CY13" s="54"/>
      <c r="DF13" s="142">
        <f t="shared" ref="DF13:DF49" si="1">VLOOKUP(AF14,$A$14:$A$86,1)</f>
        <v>45896.625</v>
      </c>
      <c r="DG13" s="58">
        <f t="shared" ref="DG13:DG49" si="2">VLOOKUP(DF13,A14:R86,18)</f>
        <v>140849.48499550507</v>
      </c>
      <c r="DH13" s="58">
        <f t="shared" ref="DH13:DH49" si="3">VLOOKUP(DF13,AF14:BC50,24)</f>
        <v>0</v>
      </c>
      <c r="DI13" s="58">
        <f>VLOOKUP(DF13,BR14:BY50,8)</f>
        <v>0</v>
      </c>
      <c r="DJ13" s="58">
        <f>VLOOKUP(DF13,CF14:CM50,8)</f>
        <v>0</v>
      </c>
      <c r="DK13" s="58"/>
      <c r="DL13" s="58"/>
      <c r="DM13" s="58"/>
      <c r="DN13" s="58"/>
      <c r="DO13" s="58">
        <f>DK$11*DK13</f>
        <v>0</v>
      </c>
      <c r="DP13" s="58">
        <f t="shared" ref="DP13:DR28" si="4">DL$11*DL13</f>
        <v>0</v>
      </c>
      <c r="DQ13" s="58">
        <f t="shared" si="4"/>
        <v>0</v>
      </c>
      <c r="DR13" s="58">
        <f t="shared" si="4"/>
        <v>0</v>
      </c>
      <c r="DS13" s="58"/>
      <c r="DT13" s="58"/>
      <c r="DU13" s="58"/>
      <c r="DV13" s="58"/>
      <c r="DZ13" s="133">
        <v>45896.625</v>
      </c>
      <c r="EA13" s="54">
        <v>0</v>
      </c>
      <c r="EB13" s="54">
        <v>0</v>
      </c>
      <c r="EC13" s="54">
        <v>0</v>
      </c>
      <c r="ED13" s="54">
        <v>0</v>
      </c>
    </row>
    <row r="14" spans="1:134" x14ac:dyDescent="0.3">
      <c r="A14" s="139">
        <v>45846.625</v>
      </c>
      <c r="B14" s="76">
        <f>VLOOKUP($A14+$I$2,U$3:V$500,2)</f>
        <v>93.9</v>
      </c>
      <c r="C14" s="46"/>
      <c r="D14" s="47"/>
      <c r="E14" s="76">
        <f>VLOOKUP($A14+$I$2,W$3:X$500,2)</f>
        <v>101.241</v>
      </c>
      <c r="F14" s="1"/>
      <c r="G14" s="5"/>
      <c r="H14" s="76">
        <f>VLOOKUP($A14+$I$2,Y$3:Z$500,2)</f>
        <v>121.9</v>
      </c>
      <c r="I14" s="1"/>
      <c r="J14" s="5"/>
      <c r="K14" s="76">
        <f>VLOOKUP($A14+$I$2,AA$3:AB$500,2)</f>
        <v>99.76</v>
      </c>
      <c r="L14" s="1"/>
      <c r="M14" s="5"/>
      <c r="N14" s="82">
        <v>0</v>
      </c>
      <c r="O14" s="82"/>
      <c r="P14" s="82"/>
      <c r="Q14" s="82">
        <f>$G$5*SUM($O$14:O14)-$H$5*SUM($P$14:P14)</f>
        <v>0</v>
      </c>
      <c r="R14" s="82">
        <f>N14+Q14</f>
        <v>0</v>
      </c>
      <c r="S14" s="143"/>
      <c r="U14" s="75">
        <v>45770.625</v>
      </c>
      <c r="V14" s="54">
        <v>92.29</v>
      </c>
      <c r="W14" s="75">
        <v>45770.625</v>
      </c>
      <c r="X14" s="54">
        <v>101.694</v>
      </c>
      <c r="Y14" s="125">
        <v>45770.625</v>
      </c>
      <c r="Z14" s="54">
        <v>120.5</v>
      </c>
      <c r="AA14" s="75">
        <v>45861.625</v>
      </c>
      <c r="AB14" s="54">
        <v>100.22499999999999</v>
      </c>
      <c r="AF14" s="131">
        <v>45896.625</v>
      </c>
      <c r="AG14" s="45">
        <f>VLOOKUP($AF14+$J$1,BE:BF,2)</f>
        <v>80.97</v>
      </c>
      <c r="AH14" s="46"/>
      <c r="AI14" s="46"/>
      <c r="AJ14" s="45">
        <f>VLOOKUP($AF14+$J$1,BG:BH,2)</f>
        <v>99.6484375</v>
      </c>
      <c r="AK14" s="46"/>
      <c r="AL14" s="47"/>
      <c r="AM14" s="45">
        <f>VLOOKUP($AF14+$J$1,BI:BJ,2)</f>
        <v>110.03</v>
      </c>
      <c r="AN14" s="46"/>
      <c r="AO14" s="47"/>
      <c r="AP14" s="45">
        <f>VLOOKUP($AF14+$J$1,BK:BL,2)</f>
        <v>99.6484375</v>
      </c>
      <c r="AQ14" s="46"/>
      <c r="AR14" s="47"/>
      <c r="AS14" s="45">
        <f>VLOOKUP($AF14+$J$1,BM:BN,2)</f>
        <v>100.125</v>
      </c>
      <c r="AT14" s="46"/>
      <c r="AU14" s="47"/>
      <c r="AV14" s="45">
        <f>VLOOKUP($AF14+$J$1,BO:BP,2)</f>
        <v>97.453125</v>
      </c>
      <c r="AW14" s="46"/>
      <c r="AX14" s="47"/>
      <c r="AY14" s="82">
        <v>0</v>
      </c>
      <c r="AZ14" s="82"/>
      <c r="BA14" s="82"/>
      <c r="BB14" s="82">
        <f>$AO$4*SUM($AZ$14:AZ14)-$AP$4*SUM($BA$14:BA14)</f>
        <v>0</v>
      </c>
      <c r="BC14" s="82">
        <f>AY14-BB14</f>
        <v>0</v>
      </c>
      <c r="BE14" s="75">
        <v>45769.625</v>
      </c>
      <c r="BF14" s="54">
        <v>77.61</v>
      </c>
      <c r="BG14" s="75">
        <v>45911.625</v>
      </c>
      <c r="BH14" s="54">
        <v>100.1640625</v>
      </c>
      <c r="BI14" s="75">
        <v>45769.625</v>
      </c>
      <c r="BJ14" s="54">
        <v>105.86</v>
      </c>
      <c r="BK14" s="75">
        <v>45911.625</v>
      </c>
      <c r="BL14" s="54">
        <v>100.1640625</v>
      </c>
      <c r="BM14" s="75">
        <v>45890.625</v>
      </c>
      <c r="BN14" s="54">
        <v>99.390625</v>
      </c>
      <c r="BO14" s="75">
        <v>45891.625</v>
      </c>
      <c r="BP14" s="54">
        <v>97.953125</v>
      </c>
      <c r="BR14" s="131">
        <v>45896.625</v>
      </c>
      <c r="BS14" s="45">
        <f>VLOOKUP(BR14+BV$4,CA:CB,2)</f>
        <v>107.3715</v>
      </c>
      <c r="BT14" s="46"/>
      <c r="BU14" s="46"/>
      <c r="BV14" s="45">
        <f>VLOOKUP(BR14+BV$4,CC:CD,2)</f>
        <v>50.168999999999997</v>
      </c>
      <c r="BW14" s="46"/>
      <c r="BX14" s="47"/>
      <c r="BY14" s="82">
        <v>0</v>
      </c>
      <c r="CA14" s="129">
        <v>45771.625</v>
      </c>
      <c r="CB14" s="54">
        <v>103.9344</v>
      </c>
      <c r="CC14" s="129">
        <v>45771.625</v>
      </c>
      <c r="CD14" s="54">
        <v>66.697999999999993</v>
      </c>
      <c r="CF14" s="131">
        <v>45896.625</v>
      </c>
      <c r="CG14" s="45">
        <f>VLOOKUP(CF14+CJ$4,CO:CP,2)</f>
        <v>274.23899999999998</v>
      </c>
      <c r="CH14" s="46"/>
      <c r="CI14" s="46"/>
      <c r="CJ14" s="45">
        <f>VLOOKUP(CF14+CJ$4,CQ:CR,2)</f>
        <v>54.777000000000001</v>
      </c>
      <c r="CK14" s="46"/>
      <c r="CL14" s="47"/>
      <c r="CM14" s="82">
        <v>0</v>
      </c>
      <c r="CO14" s="129">
        <v>45771.625</v>
      </c>
      <c r="CP14" s="54">
        <v>345.03100000000001</v>
      </c>
      <c r="CQ14" s="129">
        <v>45771.625</v>
      </c>
      <c r="CR14" s="54">
        <v>67.173000000000002</v>
      </c>
      <c r="CS14" s="54"/>
      <c r="CT14" s="54"/>
      <c r="CU14" s="54"/>
      <c r="CV14" s="54"/>
      <c r="CW14" s="54"/>
      <c r="CX14" s="54"/>
      <c r="CY14" s="54"/>
      <c r="DF14" s="142">
        <f t="shared" si="1"/>
        <v>45897.625</v>
      </c>
      <c r="DG14" s="58">
        <f t="shared" si="2"/>
        <v>109511.05092858453</v>
      </c>
      <c r="DH14" s="58">
        <f t="shared" si="3"/>
        <v>32297.80017692993</v>
      </c>
      <c r="DI14" s="58">
        <f t="shared" ref="DI14:DI49" si="5">VLOOKUP(DF14,BR15:BY51,8)</f>
        <v>1143.7499999988877</v>
      </c>
      <c r="DJ14" s="58">
        <f t="shared" ref="DJ14:DJ49" si="6">VLOOKUP(DF14,CF15:CM51,8)</f>
        <v>103810.7222222217</v>
      </c>
      <c r="DK14" s="58">
        <f>DG14-DG13</f>
        <v>-31338.434066920541</v>
      </c>
      <c r="DL14" s="58">
        <f>DH14-DH13</f>
        <v>32297.80017692993</v>
      </c>
      <c r="DM14" s="58">
        <f>DI14-DI13</f>
        <v>1143.7499999988877</v>
      </c>
      <c r="DN14" s="58">
        <f>DJ14-DJ13</f>
        <v>103810.7222222217</v>
      </c>
      <c r="DO14" s="58">
        <f t="shared" ref="DO14:DR49" si="7">DK$11*DK14</f>
        <v>-31338.434066920541</v>
      </c>
      <c r="DP14" s="58">
        <f t="shared" si="4"/>
        <v>32297.80017692993</v>
      </c>
      <c r="DQ14" s="58">
        <f t="shared" si="4"/>
        <v>1143.7499999988877</v>
      </c>
      <c r="DR14" s="58">
        <f t="shared" si="4"/>
        <v>103810.7222222217</v>
      </c>
      <c r="DS14" s="58"/>
      <c r="DT14" s="58"/>
      <c r="DU14" s="58"/>
      <c r="DV14" s="58"/>
      <c r="DZ14" s="133">
        <v>45897.625</v>
      </c>
      <c r="EA14" s="54">
        <v>0</v>
      </c>
      <c r="EB14" s="54">
        <v>0</v>
      </c>
      <c r="EC14" s="54">
        <v>0</v>
      </c>
      <c r="ED14" s="54">
        <v>0</v>
      </c>
    </row>
    <row r="15" spans="1:134" x14ac:dyDescent="0.3">
      <c r="A15" s="139">
        <v>45847.625</v>
      </c>
      <c r="B15" s="76">
        <f>VLOOKUP($A15+$I$2,U$3:V$500,2)</f>
        <v>94.17</v>
      </c>
      <c r="C15" s="31">
        <f t="shared" ref="C15:C78" si="8">(B15/$B$14-1)*$B$5</f>
        <v>71884.984025555314</v>
      </c>
      <c r="D15" s="32">
        <f t="shared" ref="D15:D78" si="9">-1*(A15-$A$14)/360*$B$7*$B$5</f>
        <v>-2937.5</v>
      </c>
      <c r="E15" s="76">
        <f>VLOOKUP($A15+$I$2,W$3:X$500,2)</f>
        <v>101.289</v>
      </c>
      <c r="F15" s="31">
        <f t="shared" ref="F15:F78" si="10">(E15-$E$14)/100*$C$5</f>
        <v>9600.0000000003638</v>
      </c>
      <c r="G15" s="32">
        <f t="shared" ref="G15:G78" si="11">(A15-$A$14)/360*$C$6*$C$5-(A15-$A$14)/360*$C$7*$C$5*$E$14/100</f>
        <v>-1045.8301666666666</v>
      </c>
      <c r="H15" s="76">
        <f>VLOOKUP($A15+$I$2,Y$3:Z$500,2)</f>
        <v>122</v>
      </c>
      <c r="I15" s="31">
        <f t="shared" ref="I15:I78" si="12">(H15/$H$14-1)*$D$5</f>
        <v>35274.815422478678</v>
      </c>
      <c r="J15" s="32">
        <f t="shared" ref="J15:J78" si="13">-1*(A15-$A$14)/360*$D$7*$D$5</f>
        <v>-5052.5</v>
      </c>
      <c r="K15" s="76">
        <f>VLOOKUP($A15+$I$2,AA$3:AB$500,2)</f>
        <v>99.84</v>
      </c>
      <c r="L15" s="31">
        <f t="shared" ref="L15:L78" si="14">(K15-$K$14)/100*$E$5</f>
        <v>32799.999999999302</v>
      </c>
      <c r="M15" s="32">
        <f t="shared" ref="M15:M78" si="15">(A15-$A$14)/360*$E$6*$E$5-(A15-$A$14)/360*$E$7*$E$5*$K$14/100</f>
        <v>-2300.3824444444449</v>
      </c>
      <c r="N15" s="82">
        <f t="shared" ref="N15:N78" si="16">C15+D15-F15-G15-I15-J15+L15+M15</f>
        <v>60670.616325297793</v>
      </c>
      <c r="O15" s="82"/>
      <c r="P15" s="82"/>
      <c r="Q15" s="82">
        <f>$G$5*SUM($O$14:O15)-$H$5*SUM($P$14:P15)</f>
        <v>0</v>
      </c>
      <c r="R15" s="82">
        <f t="shared" ref="R15:R78" si="17">N15+Q15</f>
        <v>60670.616325297793</v>
      </c>
      <c r="S15" s="143"/>
      <c r="U15" s="75">
        <v>45771.625</v>
      </c>
      <c r="V15" s="54">
        <v>92.32</v>
      </c>
      <c r="W15" s="75">
        <v>45771.625</v>
      </c>
      <c r="X15" s="54">
        <v>101.90300000000001</v>
      </c>
      <c r="Y15" s="125">
        <v>45771.625</v>
      </c>
      <c r="Z15" s="54">
        <v>120.87</v>
      </c>
      <c r="AA15" s="75">
        <v>45862.625</v>
      </c>
      <c r="AB15" s="54">
        <v>99.679000000000002</v>
      </c>
      <c r="AF15" s="131">
        <v>45897.625</v>
      </c>
      <c r="AG15" s="45">
        <f>VLOOKUP($AF15+$J$1,BE:BF,2)</f>
        <v>81.010000000000005</v>
      </c>
      <c r="AH15" s="46">
        <f>(AG15/$AG$14-1)*$AG$5</f>
        <v>12350.253180193338</v>
      </c>
      <c r="AI15" s="46">
        <f>-1*(AF15-$AF$14)/360*$AG$5*$AG$7</f>
        <v>-2937.5</v>
      </c>
      <c r="AJ15" s="45">
        <f>VLOOKUP($AF15+$J$1,BG:BH,2)</f>
        <v>99.6953125</v>
      </c>
      <c r="AK15" s="46">
        <f>(AJ15-$AJ$14)/100*$AH$5</f>
        <v>6529.0178571428569</v>
      </c>
      <c r="AL15" s="47">
        <f>(AF15-$AF$14)/360*$AH$5*$AH$6-(AF15-$AF$14)/360*$AH$5*$AH$7*$AJ$14/100</f>
        <v>-228.32368396577363</v>
      </c>
      <c r="AM15" s="45">
        <f>VLOOKUP($AF15+$J$1,BI:BJ,2)</f>
        <v>110.2</v>
      </c>
      <c r="AN15" s="46">
        <f>(AM15/$AM$14-1)*$AI$5</f>
        <v>39729.424442685537</v>
      </c>
      <c r="AO15" s="47">
        <f>-1*(AF15-$AF$14)/360*$AI$5*$AI$7</f>
        <v>-3021.4285714285716</v>
      </c>
      <c r="AP15" s="45">
        <f>VLOOKUP($AF15+$J$1,BK:BL,2)</f>
        <v>99.6953125</v>
      </c>
      <c r="AQ15" s="46">
        <f>(AP15-$AP$14)/100*$AJ$5</f>
        <v>5691.9642857142862</v>
      </c>
      <c r="AR15" s="47">
        <f>(AF15-$AF$14)/360*$AJ$5*$AJ$6-(AF15-$AF$14)/360*$AJ$5*$AJ$7*$AP$14/100</f>
        <v>-199.05141679067469</v>
      </c>
      <c r="AS15" s="45">
        <f>VLOOKUP($AF15+$J$1,BM:BN,2)</f>
        <v>100.375</v>
      </c>
      <c r="AT15" s="46">
        <f>(AS15-$AS$14)/100*$AK$5</f>
        <v>13392.857142857143</v>
      </c>
      <c r="AU15" s="47">
        <f>(AF15-$AF$14)/360*$AK$5*$AK$6-(AF15-$AF$14)/360*$AK$5*$AK$7*$AS$14/100</f>
        <v>2.1893601190477057</v>
      </c>
      <c r="AV15" s="45">
        <f>VLOOKUP($AF15+$J$1,BO:BP,2)</f>
        <v>98.078125</v>
      </c>
      <c r="AW15" s="46">
        <f>(AV15-$AV$14)/100*$AL$5</f>
        <v>46875</v>
      </c>
      <c r="AX15" s="47">
        <f>(AF15-$AF$14)/360*$AL$5*$AL$6-(AF15-$AF$14)/360*$AL$5*$AL$7*$AV$14/100</f>
        <v>130.77766927083348</v>
      </c>
      <c r="AY15" s="82">
        <f>AH15+AI15-AK15-AL15-AN15-AO15+AQ15+AR15+AT15+AU15+AW15+AX15</f>
        <v>32297.80017692993</v>
      </c>
      <c r="AZ15" s="82"/>
      <c r="BA15" s="82"/>
      <c r="BB15" s="82">
        <f>$AO$4*SUM($AZ$14:AZ15)-$AP$4*SUM($BA$14:BA15)</f>
        <v>0</v>
      </c>
      <c r="BC15" s="82">
        <f t="shared" ref="BC15:BC50" si="18">AY15-BB15</f>
        <v>32297.80017692993</v>
      </c>
      <c r="BE15" s="75">
        <v>45770.625</v>
      </c>
      <c r="BF15" s="54">
        <v>78</v>
      </c>
      <c r="BG15" s="75">
        <v>45912.625</v>
      </c>
      <c r="BH15" s="54">
        <v>99.9921875</v>
      </c>
      <c r="BI15" s="75">
        <v>45770.625</v>
      </c>
      <c r="BJ15" s="54">
        <v>106.33</v>
      </c>
      <c r="BK15" s="75">
        <v>45912.625</v>
      </c>
      <c r="BL15" s="54">
        <v>99.9921875</v>
      </c>
      <c r="BM15" s="75">
        <v>45891.625</v>
      </c>
      <c r="BN15" s="54">
        <v>99.953125</v>
      </c>
      <c r="BO15" s="75">
        <v>45894.625</v>
      </c>
      <c r="BP15" s="54">
        <v>97.71875</v>
      </c>
      <c r="BR15" s="131">
        <v>45897.625</v>
      </c>
      <c r="BS15" s="45">
        <f t="shared" ref="BS15:BS50" si="19">VLOOKUP(BR15+BV$4,CA:CB,2)</f>
        <v>107.40689999999999</v>
      </c>
      <c r="BT15" s="46">
        <f>(BS15-$BS$14)/100*$BS$5</f>
        <v>8849.9999999989141</v>
      </c>
      <c r="BU15" s="46">
        <f>(BR15-BR$14)/360*$BS$5*$BS$6</f>
        <v>3472.2222222222226</v>
      </c>
      <c r="BV15" s="45">
        <f>VLOOKUP(BR15+BV$4,CC:CD,2)</f>
        <v>50.031999999999996</v>
      </c>
      <c r="BW15" s="46">
        <f>-1*(BV15-$BV$14)*10^-4*$BT$8*$BT$5</f>
        <v>7706.2500000000264</v>
      </c>
      <c r="BX15" s="47">
        <f>(BR15-BR$14)/360*$BT$5*$BT$6</f>
        <v>3472.2222222222226</v>
      </c>
      <c r="BY15" s="45">
        <f>BT15+BU15-BW15-BX15</f>
        <v>1143.7499999988877</v>
      </c>
      <c r="CA15" s="129">
        <v>45772.625</v>
      </c>
      <c r="CB15" s="54">
        <v>103.9329</v>
      </c>
      <c r="CC15" s="129">
        <v>45772.625</v>
      </c>
      <c r="CD15" s="54">
        <v>66.552999999999997</v>
      </c>
      <c r="CF15" s="131">
        <v>45897.625</v>
      </c>
      <c r="CG15" s="45">
        <f t="shared" ref="CG15:CG50" si="20">VLOOKUP(CF15+CJ$4,CO:CP,2)</f>
        <v>264.39100000000002</v>
      </c>
      <c r="CH15" s="46">
        <f>-1*(CG15-$CG$14)*$CG$8*10^-4*$CG$5</f>
        <v>108327.99999999953</v>
      </c>
      <c r="CI15" s="46">
        <f>(CF15-CF$14)/360*$CG$5*$CG$6</f>
        <v>3472.2222222222226</v>
      </c>
      <c r="CJ15" s="45">
        <f>VLOOKUP(CF15+CJ$4,CQ:CR,2)</f>
        <v>54.683</v>
      </c>
      <c r="CK15" s="46">
        <f>-1*(CJ15-$CJ$14)*10^-4*$CH$8*$CH$5</f>
        <v>4864.5000000000618</v>
      </c>
      <c r="CL15" s="47">
        <f>(CF15-CF$14)/360*$CH$5*$CH$6</f>
        <v>3125</v>
      </c>
      <c r="CM15" s="45">
        <f>CH15+CI15-CK15-CL15</f>
        <v>103810.7222222217</v>
      </c>
      <c r="CO15" s="129">
        <v>45772.625</v>
      </c>
      <c r="CP15" s="54">
        <v>341.92700000000002</v>
      </c>
      <c r="CQ15" s="129">
        <v>45772.625</v>
      </c>
      <c r="CR15" s="54">
        <v>66.277000000000001</v>
      </c>
      <c r="CS15" s="54"/>
      <c r="CT15" s="54"/>
      <c r="CU15" s="54"/>
      <c r="CV15" s="54"/>
      <c r="CW15" s="54"/>
      <c r="CX15" s="54"/>
      <c r="CY15" s="54"/>
      <c r="DF15" s="142">
        <f t="shared" si="1"/>
        <v>45898.625</v>
      </c>
      <c r="DG15" s="58">
        <f t="shared" si="2"/>
        <v>123023.9432775483</v>
      </c>
      <c r="DH15" s="58">
        <f t="shared" si="3"/>
        <v>9112.2727633709401</v>
      </c>
      <c r="DI15" s="58">
        <f t="shared" si="5"/>
        <v>1099.999999999658</v>
      </c>
      <c r="DJ15" s="58">
        <f t="shared" si="6"/>
        <v>106509.94444444453</v>
      </c>
      <c r="DK15" s="58">
        <f t="shared" ref="DK15:DN49" si="21">DG15-DG14</f>
        <v>13512.892348963767</v>
      </c>
      <c r="DL15" s="58">
        <f t="shared" si="21"/>
        <v>-23185.52741355899</v>
      </c>
      <c r="DM15" s="58">
        <f t="shared" si="21"/>
        <v>-43.749999999229658</v>
      </c>
      <c r="DN15" s="58">
        <f t="shared" si="21"/>
        <v>2699.2222222228302</v>
      </c>
      <c r="DO15" s="58">
        <f t="shared" si="7"/>
        <v>13512.892348963767</v>
      </c>
      <c r="DP15" s="58">
        <f t="shared" si="4"/>
        <v>-23185.52741355899</v>
      </c>
      <c r="DQ15" s="58">
        <f t="shared" si="4"/>
        <v>-43.749999999229658</v>
      </c>
      <c r="DR15" s="58">
        <f t="shared" si="4"/>
        <v>2699.2222222228302</v>
      </c>
      <c r="DS15" s="58">
        <f>SUM(DO$15:DO15)</f>
        <v>13512.892348963767</v>
      </c>
      <c r="DT15" s="58">
        <f>SUM(DP$15:DP15)</f>
        <v>-23185.52741355899</v>
      </c>
      <c r="DU15" s="58">
        <f>SUM(DQ$15:DQ15)</f>
        <v>-43.749999999229658</v>
      </c>
      <c r="DV15" s="58">
        <f>SUM(DR$15:DR15)</f>
        <v>2699.2222222228302</v>
      </c>
      <c r="DZ15" s="133">
        <v>45898.625</v>
      </c>
      <c r="EA15" s="54">
        <f>VLOOKUP($DZ15,$DF$12:DS$49,14)</f>
        <v>13512.892348963767</v>
      </c>
      <c r="EB15" s="54">
        <f>VLOOKUP($DZ15,$DF$12:DT$49,15)</f>
        <v>-23185.52741355899</v>
      </c>
      <c r="EC15" s="54">
        <f>VLOOKUP($DZ15,$DF$12:DU$49,16)</f>
        <v>-43.749999999229658</v>
      </c>
      <c r="ED15" s="54">
        <f>VLOOKUP($DZ15,$DF$12:DV$49,17)</f>
        <v>2699.2222222228302</v>
      </c>
    </row>
    <row r="16" spans="1:134" x14ac:dyDescent="0.3">
      <c r="A16" s="139">
        <v>45848.625</v>
      </c>
      <c r="B16" s="76">
        <f t="shared" ref="B16:B79" si="22">VLOOKUP($A16+$I$2,U$3:V$500,2)</f>
        <v>94.22</v>
      </c>
      <c r="C16" s="31">
        <f t="shared" si="8"/>
        <v>85197.018104365969</v>
      </c>
      <c r="D16" s="32">
        <f t="shared" si="9"/>
        <v>-5875</v>
      </c>
      <c r="E16" s="76">
        <f t="shared" ref="E16:E79" si="23">VLOOKUP($A16+$I$2,W$3:X$500,2)</f>
        <v>101.181</v>
      </c>
      <c r="F16" s="31">
        <f t="shared" si="10"/>
        <v>-12000.000000000455</v>
      </c>
      <c r="G16" s="32">
        <f t="shared" si="11"/>
        <v>-2091.6603333333333</v>
      </c>
      <c r="H16" s="76">
        <f t="shared" ref="H16:H79" si="24">VLOOKUP($A16+$I$2,Y$3:Z$500,2)</f>
        <v>121.86</v>
      </c>
      <c r="I16" s="31">
        <f t="shared" si="12"/>
        <v>-14109.926168992426</v>
      </c>
      <c r="J16" s="32">
        <f t="shared" si="13"/>
        <v>-10105</v>
      </c>
      <c r="K16" s="76">
        <f t="shared" ref="K16:K79" si="25">VLOOKUP($A16+$I$2,AA$3:AB$500,2)</f>
        <v>99.671999999999997</v>
      </c>
      <c r="L16" s="31">
        <f t="shared" si="14"/>
        <v>-36080.000000003311</v>
      </c>
      <c r="M16" s="32">
        <f t="shared" si="15"/>
        <v>-4600.7648888888898</v>
      </c>
      <c r="N16" s="82">
        <f t="shared" si="16"/>
        <v>76947.839717799972</v>
      </c>
      <c r="O16" s="82"/>
      <c r="P16" s="82"/>
      <c r="Q16" s="82">
        <f>$G$5*SUM($O$14:O16)-$H$5*SUM($P$14:P16)</f>
        <v>0</v>
      </c>
      <c r="R16" s="82">
        <f t="shared" si="17"/>
        <v>76947.839717799972</v>
      </c>
      <c r="S16" s="143"/>
      <c r="U16" s="75">
        <v>45772.625</v>
      </c>
      <c r="V16" s="54">
        <v>92.35</v>
      </c>
      <c r="W16" s="75">
        <v>45772.625</v>
      </c>
      <c r="X16" s="54">
        <v>101.78100000000001</v>
      </c>
      <c r="Y16" s="125">
        <v>45772.625</v>
      </c>
      <c r="Z16" s="54">
        <v>120.71</v>
      </c>
      <c r="AA16" s="75">
        <v>45863.625</v>
      </c>
      <c r="AB16" s="54">
        <v>99.524000000000001</v>
      </c>
      <c r="AF16" s="131">
        <v>45898.625</v>
      </c>
      <c r="AG16" s="45">
        <f t="shared" ref="AG16:AG50" si="26">VLOOKUP($AF16+$J$1,BE:BF,2)</f>
        <v>80.86</v>
      </c>
      <c r="AH16" s="46">
        <f t="shared" ref="AH16:AH50" si="27">(AG16/$AG$14-1)*$AG$5</f>
        <v>-33963.196245523352</v>
      </c>
      <c r="AI16" s="46">
        <f t="shared" ref="AI16:AI38" si="28">-1*(AF16-$AF$14)/360*$AG$5*$AG$7</f>
        <v>-5875</v>
      </c>
      <c r="AJ16" s="45">
        <f t="shared" ref="AJ16:AJ50" si="29">VLOOKUP($AF16+$J$1,BG:BH,2)</f>
        <v>99.703125</v>
      </c>
      <c r="AK16" s="46">
        <f t="shared" ref="AK16:AK50" si="30">(AJ16-$AJ$14)/100*$AH$5</f>
        <v>7617.1875000000009</v>
      </c>
      <c r="AL16" s="47">
        <f t="shared" ref="AL16:AL38" si="31">(AF16-$AF$14)/360*$AH$5*$AH$6-(AF16-$AF$14)/360*$AH$5*$AH$7*$AJ$14/100</f>
        <v>-456.64736793154725</v>
      </c>
      <c r="AM16" s="45">
        <f t="shared" ref="AM16:AM50" si="32">VLOOKUP($AF16+$J$1,BI:BJ,2)</f>
        <v>109.83</v>
      </c>
      <c r="AN16" s="46">
        <f t="shared" ref="AN16:AN50" si="33">(AM16/$AM$14-1)*$AI$5</f>
        <v>-46740.49934433576</v>
      </c>
      <c r="AO16" s="47">
        <f t="shared" ref="AO16:AO38" si="34">-1*(AF16-$AF$14)/360*$AI$5*$AI$7</f>
        <v>-6042.8571428571431</v>
      </c>
      <c r="AP16" s="45">
        <f t="shared" ref="AP16:AP50" si="35">VLOOKUP($AF16+$J$1,BK:BL,2)</f>
        <v>99.703125</v>
      </c>
      <c r="AQ16" s="46">
        <f t="shared" ref="AQ16:AQ50" si="36">(AP16-$AP$14)/100*$AJ$5</f>
        <v>6640.6250000000009</v>
      </c>
      <c r="AR16" s="47">
        <f t="shared" ref="AR16:AR38" si="37">(AF16-$AF$14)/360*$AJ$5*$AJ$6-(AF16-$AF$14)/360*$AJ$5*$AJ$7*$AP$14/100</f>
        <v>-398.10283358134939</v>
      </c>
      <c r="AS16" s="45">
        <f t="shared" ref="AS16:AS50" si="38">VLOOKUP($AF16+$J$1,BM:BN,2)</f>
        <v>100.21875</v>
      </c>
      <c r="AT16" s="46">
        <f t="shared" ref="AT16:AT50" si="39">(AS16-$AS$14)/100*$AK$5</f>
        <v>5022.3214285714284</v>
      </c>
      <c r="AU16" s="47">
        <f t="shared" ref="AU16:AU38" si="40">(AF16-$AF$14)/360*$AK$5*$AK$6-(AF16-$AF$14)/360*$AK$5*$AK$7*$AS$14/100</f>
        <v>4.3787202380954113</v>
      </c>
      <c r="AV16" s="45">
        <f t="shared" ref="AV16:AV50" si="41">VLOOKUP($AF16+$J$1,BO:BP,2)</f>
        <v>97.34375</v>
      </c>
      <c r="AW16" s="46">
        <f t="shared" ref="AW16:AW50" si="42">(AV16-$AV$14)/100*$AL$5</f>
        <v>-8203.125</v>
      </c>
      <c r="AX16" s="47">
        <f t="shared" ref="AX16:AX38" si="43">(AF16-$AF$14)/360*$AL$5*$AL$6-(AF16-$AF$14)/360*$AL$5*$AL$7*$AV$14/100</f>
        <v>261.55533854166697</v>
      </c>
      <c r="AY16" s="82">
        <f t="shared" ref="AY16:AY38" si="44">AH16+AI16-AK16-AL16-AN16-AO16+AQ16+AR16+AT16+AU16+AW16+AX16</f>
        <v>9112.2727633709401</v>
      </c>
      <c r="AZ16" s="82"/>
      <c r="BA16" s="82"/>
      <c r="BB16" s="82">
        <f>$AO$4*SUM($AZ$14:AZ16)-$AP$4*SUM($BA$14:BA16)</f>
        <v>0</v>
      </c>
      <c r="BC16" s="82">
        <f t="shared" si="18"/>
        <v>9112.2727633709401</v>
      </c>
      <c r="BE16" s="75">
        <v>45771.625</v>
      </c>
      <c r="BF16" s="54">
        <v>78.62</v>
      </c>
      <c r="BG16" s="75">
        <v>45915.625</v>
      </c>
      <c r="BH16" s="54">
        <v>100.09375</v>
      </c>
      <c r="BI16" s="75">
        <v>45771.625</v>
      </c>
      <c r="BJ16" s="54">
        <v>107.38</v>
      </c>
      <c r="BK16" s="75">
        <v>45915.625</v>
      </c>
      <c r="BL16" s="54">
        <v>100.09375</v>
      </c>
      <c r="BM16" s="75">
        <v>45894.625</v>
      </c>
      <c r="BN16" s="54">
        <v>99.765625</v>
      </c>
      <c r="BO16" s="75">
        <v>45895.625</v>
      </c>
      <c r="BP16" s="54">
        <v>97.59375</v>
      </c>
      <c r="BR16" s="131">
        <v>45898.625</v>
      </c>
      <c r="BS16" s="45">
        <f t="shared" si="19"/>
        <v>107.20489999999999</v>
      </c>
      <c r="BT16" s="46">
        <f t="shared" ref="BT16:BT50" si="45">(BS16-$BS$14)/100*$BS$5</f>
        <v>-41650.000000000633</v>
      </c>
      <c r="BU16" s="46">
        <f t="shared" ref="BU16:BU50" si="46">(BR16-BR$14)/360*$BS$5*$BS$6</f>
        <v>6944.4444444444453</v>
      </c>
      <c r="BV16" s="45">
        <f t="shared" ref="BV16:BV50" si="47">VLOOKUP(BR16+BV$4,CC:CD,2)</f>
        <v>50.929000000000002</v>
      </c>
      <c r="BW16" s="46">
        <f t="shared" ref="BW16:BW50" si="48">-1*(BV16-$BV$14)*10^-4*$BT$8*$BT$5</f>
        <v>-42750.000000000291</v>
      </c>
      <c r="BX16" s="47">
        <f t="shared" ref="BX16:BX50" si="49">(BR16-BR$14)/360*$BT$5*$BT$6</f>
        <v>6944.4444444444453</v>
      </c>
      <c r="BY16" s="45">
        <f t="shared" ref="BY16:BY50" si="50">BT16+BU16-BW16-BX16</f>
        <v>1099.999999999658</v>
      </c>
      <c r="CA16" s="129">
        <v>45775.625</v>
      </c>
      <c r="CB16" s="54">
        <v>103.898</v>
      </c>
      <c r="CC16" s="129">
        <v>45775.625</v>
      </c>
      <c r="CD16" s="54">
        <v>67.087000000000003</v>
      </c>
      <c r="CF16" s="131">
        <v>45898.625</v>
      </c>
      <c r="CG16" s="45">
        <f t="shared" si="20"/>
        <v>267.71499999999997</v>
      </c>
      <c r="CH16" s="46">
        <f t="shared" ref="CH16:CH50" si="51">-1*(CG16-$CG$14)*$CG$8*10^-4*$CG$5</f>
        <v>71764.000000000015</v>
      </c>
      <c r="CI16" s="46">
        <f t="shared" ref="CI16:CI50" si="52">(CF16-CF$14)/360*$CG$5*$CG$6</f>
        <v>6944.4444444444453</v>
      </c>
      <c r="CJ16" s="45">
        <f t="shared" ref="CJ16:CJ50" si="53">VLOOKUP(CF16+CJ$4,CQ:CR,2)</f>
        <v>55.435000000000002</v>
      </c>
      <c r="CK16" s="46">
        <f t="shared" ref="CK16:CK50" si="54">-1*(CJ16-$CJ$14)*10^-4*$CH$8*$CH$5</f>
        <v>-34051.500000000058</v>
      </c>
      <c r="CL16" s="47">
        <f t="shared" ref="CL16:CL50" si="55">(CF16-CF$14)/360*$CH$5*$CH$6</f>
        <v>6250</v>
      </c>
      <c r="CM16" s="45">
        <f t="shared" ref="CM16:CM50" si="56">CH16+CI16-CK16-CL16</f>
        <v>106509.94444444453</v>
      </c>
      <c r="CO16" s="129">
        <v>45775.625</v>
      </c>
      <c r="CP16" s="54">
        <v>338.5</v>
      </c>
      <c r="CQ16" s="129">
        <v>45775.625</v>
      </c>
      <c r="CR16" s="54">
        <v>65.525000000000006</v>
      </c>
      <c r="CS16" s="54"/>
      <c r="CT16" s="54"/>
      <c r="CU16" s="54"/>
      <c r="CV16" s="54"/>
      <c r="CW16" s="54"/>
      <c r="CX16" s="54"/>
      <c r="CY16" s="54"/>
      <c r="DF16" s="142">
        <f t="shared" si="1"/>
        <v>45901.625</v>
      </c>
      <c r="DG16" s="58">
        <f t="shared" si="2"/>
        <v>121357.88231489121</v>
      </c>
      <c r="DH16" s="58">
        <f t="shared" si="3"/>
        <v>-444.98256121983559</v>
      </c>
      <c r="DI16" s="58">
        <f t="shared" si="5"/>
        <v>1099.999999999658</v>
      </c>
      <c r="DJ16" s="58">
        <f t="shared" si="6"/>
        <v>106710.11111111095</v>
      </c>
      <c r="DK16" s="58">
        <f t="shared" si="21"/>
        <v>-1666.0609626570949</v>
      </c>
      <c r="DL16" s="58">
        <f t="shared" si="21"/>
        <v>-9557.2553245907766</v>
      </c>
      <c r="DM16" s="58">
        <f t="shared" si="21"/>
        <v>0</v>
      </c>
      <c r="DN16" s="58">
        <f t="shared" si="21"/>
        <v>200.16666666642413</v>
      </c>
      <c r="DO16" s="58">
        <f t="shared" si="7"/>
        <v>-1666.0609626570949</v>
      </c>
      <c r="DP16" s="58">
        <f t="shared" si="4"/>
        <v>-9557.2553245907766</v>
      </c>
      <c r="DQ16" s="58">
        <f t="shared" si="4"/>
        <v>0</v>
      </c>
      <c r="DR16" s="58">
        <f t="shared" si="4"/>
        <v>200.16666666642413</v>
      </c>
      <c r="DS16" s="58">
        <f>SUM(DO$15:DO16)</f>
        <v>11846.831386306672</v>
      </c>
      <c r="DT16" s="58">
        <f>SUM(DP$15:DP16)</f>
        <v>-32742.782738149766</v>
      </c>
      <c r="DU16" s="58">
        <f>SUM(DQ$15:DQ16)</f>
        <v>-43.749999999229658</v>
      </c>
      <c r="DV16" s="58">
        <f>SUM(DR$15:DR16)</f>
        <v>2899.3888888892543</v>
      </c>
      <c r="DZ16" s="133">
        <v>45901.625</v>
      </c>
      <c r="EA16" s="54">
        <f>VLOOKUP($DZ16,$DF$12:DS$49,14)</f>
        <v>11846.831386306672</v>
      </c>
      <c r="EB16" s="54">
        <f>VLOOKUP($DZ16,$DF$12:DT$49,15)</f>
        <v>-32742.782738149766</v>
      </c>
      <c r="EC16" s="54">
        <f>VLOOKUP($DZ16,$DF$12:DU$49,16)</f>
        <v>-43.749999999229658</v>
      </c>
      <c r="ED16" s="54">
        <f>VLOOKUP($DZ16,$DF$12:DV$49,17)</f>
        <v>2899.3888888892543</v>
      </c>
    </row>
    <row r="17" spans="1:134" x14ac:dyDescent="0.3">
      <c r="A17" s="139">
        <v>45849.625</v>
      </c>
      <c r="B17" s="76">
        <f t="shared" si="22"/>
        <v>94.12</v>
      </c>
      <c r="C17" s="31">
        <f t="shared" si="8"/>
        <v>58572.949946750217</v>
      </c>
      <c r="D17" s="32">
        <f t="shared" si="9"/>
        <v>-8812.4999999999982</v>
      </c>
      <c r="E17" s="76">
        <f t="shared" si="23"/>
        <v>101.123</v>
      </c>
      <c r="F17" s="31">
        <f t="shared" si="10"/>
        <v>-23599.999999999</v>
      </c>
      <c r="G17" s="32">
        <f t="shared" si="11"/>
        <v>-3137.490499999999</v>
      </c>
      <c r="H17" s="76">
        <f t="shared" si="24"/>
        <v>121.72</v>
      </c>
      <c r="I17" s="31">
        <f t="shared" si="12"/>
        <v>-63494.667760463533</v>
      </c>
      <c r="J17" s="32">
        <f t="shared" si="13"/>
        <v>-15157.499999999998</v>
      </c>
      <c r="K17" s="76">
        <f t="shared" si="25"/>
        <v>99.567999999999998</v>
      </c>
      <c r="L17" s="31">
        <f t="shared" si="14"/>
        <v>-78720.000000002983</v>
      </c>
      <c r="M17" s="32">
        <f t="shared" si="15"/>
        <v>-6901.1473333333324</v>
      </c>
      <c r="N17" s="82">
        <f t="shared" si="16"/>
        <v>69528.960873876451</v>
      </c>
      <c r="O17" s="82"/>
      <c r="P17" s="82"/>
      <c r="Q17" s="82">
        <f>$G$5*SUM($O$14:O17)-$H$5*SUM($P$14:P17)</f>
        <v>0</v>
      </c>
      <c r="R17" s="82">
        <f t="shared" si="17"/>
        <v>69528.960873876451</v>
      </c>
      <c r="S17" s="143"/>
      <c r="U17" s="75">
        <v>45776.625</v>
      </c>
      <c r="V17" s="54">
        <v>92.23</v>
      </c>
      <c r="W17" s="75">
        <v>45775.625</v>
      </c>
      <c r="X17" s="54">
        <v>101.74299999999999</v>
      </c>
      <c r="Y17" s="125">
        <v>45775.625</v>
      </c>
      <c r="Z17" s="54">
        <v>120.57</v>
      </c>
      <c r="AA17" s="75">
        <v>45866.625</v>
      </c>
      <c r="AB17" s="54">
        <v>99.715000000000003</v>
      </c>
      <c r="AF17" s="131">
        <v>45901.625</v>
      </c>
      <c r="AG17" s="45">
        <f t="shared" si="26"/>
        <v>80.86</v>
      </c>
      <c r="AH17" s="46">
        <f t="shared" si="27"/>
        <v>-33963.196245523352</v>
      </c>
      <c r="AI17" s="46">
        <f t="shared" si="28"/>
        <v>-14687.499999999998</v>
      </c>
      <c r="AJ17" s="45">
        <f t="shared" si="29"/>
        <v>99.6796875</v>
      </c>
      <c r="AK17" s="46">
        <f t="shared" si="30"/>
        <v>4352.6785714285716</v>
      </c>
      <c r="AL17" s="47">
        <f t="shared" si="31"/>
        <v>-1141.6184198288693</v>
      </c>
      <c r="AM17" s="45">
        <f t="shared" si="32"/>
        <v>109.83</v>
      </c>
      <c r="AN17" s="46">
        <f t="shared" si="33"/>
        <v>-46740.49934433576</v>
      </c>
      <c r="AO17" s="47">
        <f t="shared" si="34"/>
        <v>-15107.142857142857</v>
      </c>
      <c r="AP17" s="45">
        <f t="shared" si="35"/>
        <v>99.6796875</v>
      </c>
      <c r="AQ17" s="46">
        <f t="shared" si="36"/>
        <v>3794.6428571428573</v>
      </c>
      <c r="AR17" s="47">
        <f t="shared" si="37"/>
        <v>-995.25708395337278</v>
      </c>
      <c r="AS17" s="45">
        <f t="shared" si="38"/>
        <v>100.171875</v>
      </c>
      <c r="AT17" s="46">
        <f t="shared" si="39"/>
        <v>2511.1607142857142</v>
      </c>
      <c r="AU17" s="47">
        <f t="shared" si="40"/>
        <v>10.946800595238528</v>
      </c>
      <c r="AV17" s="45">
        <f t="shared" si="41"/>
        <v>97.234375</v>
      </c>
      <c r="AW17" s="46">
        <f t="shared" si="42"/>
        <v>-16406.25</v>
      </c>
      <c r="AX17" s="47">
        <f t="shared" si="43"/>
        <v>653.88834635416697</v>
      </c>
      <c r="AY17" s="82">
        <f t="shared" si="44"/>
        <v>-444.98256121983559</v>
      </c>
      <c r="AZ17" s="82"/>
      <c r="BA17" s="82"/>
      <c r="BB17" s="82">
        <f>$AO$4*SUM($AZ$14:AZ17)-$AP$4*SUM($BA$14:BA17)</f>
        <v>0</v>
      </c>
      <c r="BC17" s="82">
        <f t="shared" si="18"/>
        <v>-444.98256121983559</v>
      </c>
      <c r="BE17" s="75">
        <v>45772.625</v>
      </c>
      <c r="BF17" s="54">
        <v>78.77</v>
      </c>
      <c r="BG17" s="75">
        <v>45916.625</v>
      </c>
      <c r="BH17" s="54">
        <v>100.15625</v>
      </c>
      <c r="BI17" s="75">
        <v>45772.625</v>
      </c>
      <c r="BJ17" s="54">
        <v>107.99</v>
      </c>
      <c r="BK17" s="75">
        <v>45916.625</v>
      </c>
      <c r="BL17" s="54">
        <v>100.15625</v>
      </c>
      <c r="BM17" s="75">
        <v>45895.625</v>
      </c>
      <c r="BN17" s="54">
        <v>99.984375</v>
      </c>
      <c r="BO17" s="75">
        <v>45896.625</v>
      </c>
      <c r="BP17" s="54">
        <v>97.453125</v>
      </c>
      <c r="BR17" s="131">
        <v>45901.625</v>
      </c>
      <c r="BS17" s="45">
        <f t="shared" si="19"/>
        <v>107.20489999999999</v>
      </c>
      <c r="BT17" s="46">
        <f t="shared" si="45"/>
        <v>-41650.000000000633</v>
      </c>
      <c r="BU17" s="46">
        <f t="shared" si="46"/>
        <v>17361.111111111109</v>
      </c>
      <c r="BV17" s="45">
        <f t="shared" si="47"/>
        <v>50.929000000000002</v>
      </c>
      <c r="BW17" s="46">
        <f t="shared" si="48"/>
        <v>-42750.000000000291</v>
      </c>
      <c r="BX17" s="47">
        <f t="shared" si="49"/>
        <v>17361.111111111109</v>
      </c>
      <c r="BY17" s="45">
        <f t="shared" si="50"/>
        <v>1099.999999999658</v>
      </c>
      <c r="CA17" s="129">
        <v>45776.625</v>
      </c>
      <c r="CB17" s="54">
        <v>103.99760000000001</v>
      </c>
      <c r="CC17" s="129">
        <v>45776.625</v>
      </c>
      <c r="CD17" s="54">
        <v>66.930999999999997</v>
      </c>
      <c r="CF17" s="131">
        <v>45901.625</v>
      </c>
      <c r="CG17" s="45">
        <f t="shared" si="20"/>
        <v>268.10199999999998</v>
      </c>
      <c r="CH17" s="46">
        <f t="shared" si="51"/>
        <v>67507.000000000015</v>
      </c>
      <c r="CI17" s="46">
        <f t="shared" si="52"/>
        <v>17361.111111111109</v>
      </c>
      <c r="CJ17" s="45">
        <f t="shared" si="53"/>
        <v>55.500999999999998</v>
      </c>
      <c r="CK17" s="46">
        <f t="shared" si="54"/>
        <v>-37466.999999999825</v>
      </c>
      <c r="CL17" s="47">
        <f t="shared" si="55"/>
        <v>15625</v>
      </c>
      <c r="CM17" s="45">
        <f t="shared" si="56"/>
        <v>106710.11111111095</v>
      </c>
      <c r="CO17" s="129">
        <v>45776.625</v>
      </c>
      <c r="CP17" s="54">
        <v>341.74400000000003</v>
      </c>
      <c r="CQ17" s="129">
        <v>45776.625</v>
      </c>
      <c r="CR17" s="54">
        <v>66.52</v>
      </c>
      <c r="CS17" s="54"/>
      <c r="CT17" s="54"/>
      <c r="CU17" s="54"/>
      <c r="CV17" s="54"/>
      <c r="CW17" s="54"/>
      <c r="CX17" s="54"/>
      <c r="CY17" s="54"/>
      <c r="DF17" s="142">
        <f t="shared" si="1"/>
        <v>45902.625</v>
      </c>
      <c r="DG17" s="58">
        <f t="shared" si="2"/>
        <v>129016.78571010823</v>
      </c>
      <c r="DH17" s="58">
        <f t="shared" si="3"/>
        <v>-48985.718260660084</v>
      </c>
      <c r="DI17" s="58">
        <f t="shared" si="5"/>
        <v>4925.0000000017135</v>
      </c>
      <c r="DJ17" s="58">
        <f t="shared" si="6"/>
        <v>113261.83333333282</v>
      </c>
      <c r="DK17" s="58">
        <f t="shared" si="21"/>
        <v>7658.9033952170284</v>
      </c>
      <c r="DL17" s="58">
        <f t="shared" si="21"/>
        <v>-48540.735699440251</v>
      </c>
      <c r="DM17" s="58">
        <f t="shared" si="21"/>
        <v>3825.0000000020555</v>
      </c>
      <c r="DN17" s="58">
        <f t="shared" si="21"/>
        <v>6551.7222222218697</v>
      </c>
      <c r="DO17" s="58">
        <f t="shared" si="7"/>
        <v>7658.9033952170284</v>
      </c>
      <c r="DP17" s="58">
        <f t="shared" si="4"/>
        <v>-48540.735699440251</v>
      </c>
      <c r="DQ17" s="58">
        <f t="shared" si="4"/>
        <v>3825.0000000020555</v>
      </c>
      <c r="DR17" s="58">
        <f t="shared" si="4"/>
        <v>6551.7222222218697</v>
      </c>
      <c r="DS17" s="58">
        <f>SUM(DO$15:DO17)</f>
        <v>19505.734781523701</v>
      </c>
      <c r="DT17" s="58">
        <f>SUM(DP$15:DP17)</f>
        <v>-81283.518437590013</v>
      </c>
      <c r="DU17" s="58">
        <f>SUM(DQ$15:DQ17)</f>
        <v>3781.2500000028258</v>
      </c>
      <c r="DV17" s="58">
        <f>SUM(DR$15:DR17)</f>
        <v>9451.111111111124</v>
      </c>
      <c r="DZ17" s="133">
        <v>45902.625</v>
      </c>
      <c r="EA17" s="54">
        <f>VLOOKUP($DZ17,$DF$12:DS$49,14)</f>
        <v>19505.734781523701</v>
      </c>
      <c r="EB17" s="54">
        <f>VLOOKUP($DZ17,$DF$12:DT$49,15)</f>
        <v>-81283.518437590013</v>
      </c>
      <c r="EC17" s="54">
        <f>VLOOKUP($DZ17,$DF$12:DU$49,16)</f>
        <v>3781.2500000028258</v>
      </c>
      <c r="ED17" s="54">
        <f>VLOOKUP($DZ17,$DF$12:DV$49,17)</f>
        <v>9451.111111111124</v>
      </c>
    </row>
    <row r="18" spans="1:134" x14ac:dyDescent="0.3">
      <c r="A18" s="139">
        <v>45852.625</v>
      </c>
      <c r="B18" s="76">
        <f t="shared" si="22"/>
        <v>94.05</v>
      </c>
      <c r="C18" s="31">
        <f t="shared" si="8"/>
        <v>39936.102236420855</v>
      </c>
      <c r="D18" s="32">
        <f t="shared" si="9"/>
        <v>-17624.999999999996</v>
      </c>
      <c r="E18" s="76">
        <f t="shared" si="23"/>
        <v>101.181</v>
      </c>
      <c r="F18" s="31">
        <f t="shared" si="10"/>
        <v>-12000.000000000455</v>
      </c>
      <c r="G18" s="32">
        <f t="shared" si="11"/>
        <v>-6274.9809999999979</v>
      </c>
      <c r="H18" s="76">
        <f t="shared" si="24"/>
        <v>121.74</v>
      </c>
      <c r="I18" s="31">
        <f t="shared" si="12"/>
        <v>-56439.704675969704</v>
      </c>
      <c r="J18" s="32">
        <f t="shared" si="13"/>
        <v>-30314.999999999996</v>
      </c>
      <c r="K18" s="76">
        <f t="shared" si="25"/>
        <v>99.611999999999995</v>
      </c>
      <c r="L18" s="31">
        <f t="shared" si="14"/>
        <v>-60680.000000004242</v>
      </c>
      <c r="M18" s="32">
        <f t="shared" si="15"/>
        <v>-13802.294666666665</v>
      </c>
      <c r="N18" s="82">
        <f t="shared" si="16"/>
        <v>52858.493245720092</v>
      </c>
      <c r="O18" s="82"/>
      <c r="P18" s="82"/>
      <c r="Q18" s="82">
        <f>$G$5*SUM($O$14:O18)-$H$5*SUM($P$14:P18)</f>
        <v>0</v>
      </c>
      <c r="R18" s="82">
        <f t="shared" si="17"/>
        <v>52858.493245720092</v>
      </c>
      <c r="S18" s="143"/>
      <c r="U18" s="75">
        <v>45777.625</v>
      </c>
      <c r="V18" s="54">
        <v>91.86</v>
      </c>
      <c r="W18" s="75">
        <v>45776.625</v>
      </c>
      <c r="X18" s="54">
        <v>101.75</v>
      </c>
      <c r="Y18" s="125">
        <v>45777.625</v>
      </c>
      <c r="Z18" s="54">
        <v>120.56</v>
      </c>
      <c r="AA18" s="75">
        <v>45867.625</v>
      </c>
      <c r="AB18" s="54">
        <v>99.623999999999995</v>
      </c>
      <c r="AF18" s="131">
        <v>45902.625</v>
      </c>
      <c r="AG18" s="45">
        <f t="shared" si="26"/>
        <v>80.39</v>
      </c>
      <c r="AH18" s="46">
        <f t="shared" si="27"/>
        <v>-179078.67111275622</v>
      </c>
      <c r="AI18" s="46">
        <f t="shared" si="28"/>
        <v>-17625</v>
      </c>
      <c r="AJ18" s="45">
        <f t="shared" si="29"/>
        <v>99.53125</v>
      </c>
      <c r="AK18" s="46">
        <f t="shared" si="30"/>
        <v>-16322.544642857143</v>
      </c>
      <c r="AL18" s="47">
        <f t="shared" si="31"/>
        <v>-1369.9421037946431</v>
      </c>
      <c r="AM18" s="45">
        <f t="shared" si="32"/>
        <v>109.05</v>
      </c>
      <c r="AN18" s="46">
        <f t="shared" si="33"/>
        <v>-229028.44678724153</v>
      </c>
      <c r="AO18" s="47">
        <f t="shared" si="34"/>
        <v>-18128.571428571428</v>
      </c>
      <c r="AP18" s="45">
        <f t="shared" si="35"/>
        <v>99.53125</v>
      </c>
      <c r="AQ18" s="46">
        <f t="shared" si="36"/>
        <v>-14229.910714285716</v>
      </c>
      <c r="AR18" s="47">
        <f t="shared" si="37"/>
        <v>-1194.3085007440486</v>
      </c>
      <c r="AS18" s="45">
        <f t="shared" si="38"/>
        <v>99.859375</v>
      </c>
      <c r="AT18" s="46">
        <f t="shared" si="39"/>
        <v>-14229.910714285716</v>
      </c>
      <c r="AU18" s="47">
        <f t="shared" si="40"/>
        <v>13.136160714286234</v>
      </c>
      <c r="AV18" s="45">
        <f t="shared" si="41"/>
        <v>96.65625</v>
      </c>
      <c r="AW18" s="46">
        <f t="shared" si="42"/>
        <v>-59765.625</v>
      </c>
      <c r="AX18" s="47">
        <f t="shared" si="43"/>
        <v>784.666015625</v>
      </c>
      <c r="AY18" s="82">
        <f t="shared" si="44"/>
        <v>-20476.118903267707</v>
      </c>
      <c r="AZ18" s="82">
        <v>0.38332100000000002</v>
      </c>
      <c r="BA18" s="82">
        <v>0.384434</v>
      </c>
      <c r="BB18" s="82">
        <f>$AO$4*SUM($AZ$14:AZ18)-$AP$4*SUM($BA$14:BA18)</f>
        <v>28509.599357392377</v>
      </c>
      <c r="BC18" s="82">
        <f t="shared" si="18"/>
        <v>-48985.718260660084</v>
      </c>
      <c r="BE18" s="75">
        <v>45775.625</v>
      </c>
      <c r="BF18" s="54">
        <v>78.81</v>
      </c>
      <c r="BG18" s="75">
        <v>45917.625</v>
      </c>
      <c r="BH18" s="54">
        <v>99.953125</v>
      </c>
      <c r="BI18" s="75">
        <v>45775.625</v>
      </c>
      <c r="BJ18" s="54">
        <v>108.24</v>
      </c>
      <c r="BK18" s="75">
        <v>45917.625</v>
      </c>
      <c r="BL18" s="54">
        <v>99.953125</v>
      </c>
      <c r="BM18" s="75">
        <v>45896.625</v>
      </c>
      <c r="BN18" s="54">
        <v>100.125</v>
      </c>
      <c r="BO18" s="75">
        <v>45897.625</v>
      </c>
      <c r="BP18" s="54">
        <v>98.078125</v>
      </c>
      <c r="BR18" s="131">
        <v>45902.625</v>
      </c>
      <c r="BS18" s="45">
        <f t="shared" si="19"/>
        <v>107.1491</v>
      </c>
      <c r="BT18" s="46">
        <f t="shared" si="45"/>
        <v>-55599.999999998319</v>
      </c>
      <c r="BU18" s="46">
        <f t="shared" si="46"/>
        <v>20833.333333333336</v>
      </c>
      <c r="BV18" s="45">
        <f t="shared" si="47"/>
        <v>51.244999999999997</v>
      </c>
      <c r="BW18" s="46">
        <f t="shared" si="48"/>
        <v>-60525.000000000029</v>
      </c>
      <c r="BX18" s="47">
        <f t="shared" si="49"/>
        <v>20833.333333333332</v>
      </c>
      <c r="BY18" s="45">
        <f t="shared" si="50"/>
        <v>4925.0000000017135</v>
      </c>
      <c r="CA18" s="129">
        <v>45777.625</v>
      </c>
      <c r="CB18" s="54">
        <v>103.62090000000001</v>
      </c>
      <c r="CC18" s="129">
        <v>45777.625</v>
      </c>
      <c r="CD18" s="54">
        <v>68.186000000000007</v>
      </c>
      <c r="CF18" s="131">
        <v>45902.625</v>
      </c>
      <c r="CG18" s="45">
        <f t="shared" si="20"/>
        <v>274.209</v>
      </c>
      <c r="CH18" s="46">
        <f t="shared" si="51"/>
        <v>329.99999999969992</v>
      </c>
      <c r="CI18" s="46">
        <f t="shared" si="52"/>
        <v>20833.333333333336</v>
      </c>
      <c r="CJ18" s="45">
        <f t="shared" si="53"/>
        <v>56.918999999999997</v>
      </c>
      <c r="CK18" s="46">
        <f t="shared" si="54"/>
        <v>-110848.49999999978</v>
      </c>
      <c r="CL18" s="47">
        <f t="shared" si="55"/>
        <v>18750</v>
      </c>
      <c r="CM18" s="45">
        <f t="shared" si="56"/>
        <v>113261.83333333282</v>
      </c>
      <c r="CO18" s="129">
        <v>45777.625</v>
      </c>
      <c r="CP18" s="54">
        <v>350.83699999999999</v>
      </c>
      <c r="CQ18" s="129">
        <v>45777.625</v>
      </c>
      <c r="CR18" s="54">
        <v>68.284000000000006</v>
      </c>
      <c r="CS18" s="54"/>
      <c r="CT18" s="54"/>
      <c r="CU18" s="54"/>
      <c r="CV18" s="54"/>
      <c r="CW18" s="54"/>
      <c r="CX18" s="54"/>
      <c r="CY18" s="54"/>
      <c r="DF18" s="142">
        <f t="shared" si="1"/>
        <v>45903.625</v>
      </c>
      <c r="DG18" s="58">
        <f t="shared" si="2"/>
        <v>106248.92721230641</v>
      </c>
      <c r="DH18" s="58">
        <f t="shared" si="3"/>
        <v>-39109.289699283094</v>
      </c>
      <c r="DI18" s="58">
        <f t="shared" si="5"/>
        <v>-11206.249999997639</v>
      </c>
      <c r="DJ18" s="58">
        <f t="shared" si="6"/>
        <v>105773.55555555545</v>
      </c>
      <c r="DK18" s="58">
        <f t="shared" si="21"/>
        <v>-22767.858497801819</v>
      </c>
      <c r="DL18" s="58">
        <f t="shared" si="21"/>
        <v>9876.4285613769898</v>
      </c>
      <c r="DM18" s="58">
        <f t="shared" si="21"/>
        <v>-16131.249999999352</v>
      </c>
      <c r="DN18" s="58">
        <f t="shared" si="21"/>
        <v>-7488.2777777773736</v>
      </c>
      <c r="DO18" s="58">
        <f t="shared" si="7"/>
        <v>-22767.858497801819</v>
      </c>
      <c r="DP18" s="58">
        <f t="shared" si="4"/>
        <v>9876.4285613769898</v>
      </c>
      <c r="DQ18" s="58">
        <f t="shared" si="4"/>
        <v>-16131.249999999352</v>
      </c>
      <c r="DR18" s="58">
        <f t="shared" si="4"/>
        <v>-7488.2777777773736</v>
      </c>
      <c r="DS18" s="58">
        <f>SUM(DO$15:DO18)</f>
        <v>-3262.1237162781181</v>
      </c>
      <c r="DT18" s="58">
        <f>SUM(DP$15:DP18)</f>
        <v>-71407.089876213024</v>
      </c>
      <c r="DU18" s="58">
        <f>SUM(DQ$15:DQ18)</f>
        <v>-12349.999999996526</v>
      </c>
      <c r="DV18" s="58">
        <f>SUM(DR$15:DR18)</f>
        <v>1962.8333333337505</v>
      </c>
      <c r="DZ18" s="133">
        <v>45903.625</v>
      </c>
      <c r="EA18" s="54">
        <f>VLOOKUP($DZ18,$DF$12:DS$49,14)</f>
        <v>-3262.1237162781181</v>
      </c>
      <c r="EB18" s="54">
        <f>VLOOKUP($DZ18,$DF$12:DT$49,15)</f>
        <v>-71407.089876213024</v>
      </c>
      <c r="EC18" s="54">
        <f>VLOOKUP($DZ18,$DF$12:DU$49,16)</f>
        <v>-12349.999999996526</v>
      </c>
      <c r="ED18" s="54">
        <f>VLOOKUP($DZ18,$DF$12:DV$49,17)</f>
        <v>1962.8333333337505</v>
      </c>
    </row>
    <row r="19" spans="1:134" x14ac:dyDescent="0.3">
      <c r="A19" s="139">
        <v>45853.625</v>
      </c>
      <c r="B19" s="76">
        <f t="shared" si="22"/>
        <v>94.05</v>
      </c>
      <c r="C19" s="31">
        <f t="shared" si="8"/>
        <v>39936.102236420855</v>
      </c>
      <c r="D19" s="32">
        <f t="shared" si="9"/>
        <v>-20562.5</v>
      </c>
      <c r="E19" s="76">
        <f t="shared" si="23"/>
        <v>101.23699999999999</v>
      </c>
      <c r="F19" s="31">
        <f t="shared" si="10"/>
        <v>-800.00000000097771</v>
      </c>
      <c r="G19" s="32">
        <f t="shared" si="11"/>
        <v>-7320.8111666666646</v>
      </c>
      <c r="H19" s="76">
        <f t="shared" si="24"/>
        <v>121.85</v>
      </c>
      <c r="I19" s="31">
        <f t="shared" si="12"/>
        <v>-17637.407711244112</v>
      </c>
      <c r="J19" s="32">
        <f t="shared" si="13"/>
        <v>-35367.5</v>
      </c>
      <c r="K19" s="76">
        <f t="shared" si="25"/>
        <v>99.713999999999999</v>
      </c>
      <c r="L19" s="31">
        <f t="shared" si="14"/>
        <v>-18860.000000002656</v>
      </c>
      <c r="M19" s="32">
        <f t="shared" si="15"/>
        <v>-16102.677111111112</v>
      </c>
      <c r="N19" s="82">
        <f t="shared" si="16"/>
        <v>45536.64400321884</v>
      </c>
      <c r="O19" s="82"/>
      <c r="P19" s="82"/>
      <c r="Q19" s="82">
        <f>$G$5*SUM($O$14:O19)-$H$5*SUM($P$14:P19)</f>
        <v>0</v>
      </c>
      <c r="R19" s="82">
        <f t="shared" si="17"/>
        <v>45536.64400321884</v>
      </c>
      <c r="S19" s="143"/>
      <c r="U19" s="75">
        <v>45778.625</v>
      </c>
      <c r="V19" s="54">
        <v>92.17</v>
      </c>
      <c r="W19" s="75">
        <v>45777.625</v>
      </c>
      <c r="X19" s="54">
        <v>101.923</v>
      </c>
      <c r="Y19" s="125">
        <v>45778.625</v>
      </c>
      <c r="Z19" s="54">
        <v>120.75</v>
      </c>
      <c r="AA19" s="75">
        <v>45868.625</v>
      </c>
      <c r="AB19" s="54">
        <v>99.552999999999997</v>
      </c>
      <c r="AF19" s="131">
        <v>45903.625</v>
      </c>
      <c r="AG19" s="45">
        <f t="shared" si="26"/>
        <v>80.61</v>
      </c>
      <c r="AH19" s="46">
        <f t="shared" si="27"/>
        <v>-111152.27862171229</v>
      </c>
      <c r="AI19" s="46">
        <f t="shared" si="28"/>
        <v>-20562.5</v>
      </c>
      <c r="AJ19" s="45">
        <f t="shared" si="29"/>
        <v>99.6796875</v>
      </c>
      <c r="AK19" s="46">
        <f t="shared" si="30"/>
        <v>4352.6785714285716</v>
      </c>
      <c r="AL19" s="47">
        <f t="shared" si="31"/>
        <v>-1598.2657877604179</v>
      </c>
      <c r="AM19" s="45">
        <f t="shared" si="32"/>
        <v>109.7</v>
      </c>
      <c r="AN19" s="46">
        <f t="shared" si="33"/>
        <v>-77121.82391815244</v>
      </c>
      <c r="AO19" s="47">
        <f t="shared" si="34"/>
        <v>-21150</v>
      </c>
      <c r="AP19" s="45">
        <f t="shared" si="35"/>
        <v>99.6796875</v>
      </c>
      <c r="AQ19" s="46">
        <f t="shared" si="36"/>
        <v>3794.6428571428573</v>
      </c>
      <c r="AR19" s="47">
        <f t="shared" si="37"/>
        <v>-1393.3599175347226</v>
      </c>
      <c r="AS19" s="45">
        <f t="shared" si="38"/>
        <v>100.234375</v>
      </c>
      <c r="AT19" s="46">
        <f t="shared" si="39"/>
        <v>5859.3750000000009</v>
      </c>
      <c r="AU19" s="47">
        <f t="shared" si="40"/>
        <v>15.32552083333394</v>
      </c>
      <c r="AV19" s="45">
        <f t="shared" si="41"/>
        <v>97.671875</v>
      </c>
      <c r="AW19" s="46">
        <f t="shared" si="42"/>
        <v>16406.25</v>
      </c>
      <c r="AX19" s="47">
        <f t="shared" si="43"/>
        <v>915.44368489583394</v>
      </c>
      <c r="AY19" s="82">
        <f t="shared" si="44"/>
        <v>-10599.690341890719</v>
      </c>
      <c r="AZ19" s="82"/>
      <c r="BA19" s="82"/>
      <c r="BB19" s="82">
        <f>$AO$4*SUM($AZ$14:AZ19)-$AP$4*SUM($BA$14:BA19)</f>
        <v>28509.599357392377</v>
      </c>
      <c r="BC19" s="82">
        <f t="shared" si="18"/>
        <v>-39109.289699283094</v>
      </c>
      <c r="BE19" s="75">
        <v>45776.625</v>
      </c>
      <c r="BF19" s="54">
        <v>79.02</v>
      </c>
      <c r="BG19" s="75">
        <v>45918.625</v>
      </c>
      <c r="BH19" s="54">
        <v>99.7890625</v>
      </c>
      <c r="BI19" s="75">
        <v>45776.625</v>
      </c>
      <c r="BJ19" s="54">
        <v>108.49</v>
      </c>
      <c r="BK19" s="75">
        <v>45918.625</v>
      </c>
      <c r="BL19" s="54">
        <v>99.7890625</v>
      </c>
      <c r="BM19" s="75">
        <v>45897.625</v>
      </c>
      <c r="BN19" s="54">
        <v>100.375</v>
      </c>
      <c r="BO19" s="75">
        <v>45898.625</v>
      </c>
      <c r="BP19" s="54">
        <v>97.34375</v>
      </c>
      <c r="BR19" s="131">
        <v>45903.625</v>
      </c>
      <c r="BS19" s="45">
        <f t="shared" si="19"/>
        <v>107.15860000000001</v>
      </c>
      <c r="BT19" s="46">
        <f t="shared" si="45"/>
        <v>-53224.999999997635</v>
      </c>
      <c r="BU19" s="46">
        <f t="shared" si="46"/>
        <v>24305.555555555558</v>
      </c>
      <c r="BV19" s="45">
        <f t="shared" si="47"/>
        <v>50.915999999999997</v>
      </c>
      <c r="BW19" s="46">
        <f t="shared" si="48"/>
        <v>-42018.749999999993</v>
      </c>
      <c r="BX19" s="47">
        <f t="shared" si="49"/>
        <v>24305.555555555555</v>
      </c>
      <c r="BY19" s="45">
        <f t="shared" si="50"/>
        <v>-11206.249999997639</v>
      </c>
      <c r="CA19" s="129">
        <v>45778.625</v>
      </c>
      <c r="CB19" s="54">
        <v>103.7897</v>
      </c>
      <c r="CC19" s="129">
        <v>45778.625</v>
      </c>
      <c r="CD19" s="54">
        <v>67.370999999999995</v>
      </c>
      <c r="CF19" s="131">
        <v>45903.625</v>
      </c>
      <c r="CG19" s="45">
        <f t="shared" si="20"/>
        <v>267.14</v>
      </c>
      <c r="CH19" s="46">
        <f t="shared" si="51"/>
        <v>78088.999999999898</v>
      </c>
      <c r="CI19" s="46">
        <f t="shared" si="52"/>
        <v>24305.555555555558</v>
      </c>
      <c r="CJ19" s="45">
        <f t="shared" si="53"/>
        <v>55.265000000000001</v>
      </c>
      <c r="CK19" s="46">
        <f t="shared" si="54"/>
        <v>-25253.999999999978</v>
      </c>
      <c r="CL19" s="47">
        <f t="shared" si="55"/>
        <v>21875</v>
      </c>
      <c r="CM19" s="45">
        <f t="shared" si="56"/>
        <v>105773.55555555545</v>
      </c>
      <c r="CO19" s="129">
        <v>45778.625</v>
      </c>
      <c r="CP19" s="54">
        <v>343.14400000000001</v>
      </c>
      <c r="CQ19" s="129">
        <v>45778.625</v>
      </c>
      <c r="CR19" s="54">
        <v>66.575999999999993</v>
      </c>
      <c r="CS19" s="54"/>
      <c r="CT19" s="54"/>
      <c r="CU19" s="54"/>
      <c r="CV19" s="54"/>
      <c r="CW19" s="54"/>
      <c r="CX19" s="54"/>
      <c r="CY19" s="54"/>
      <c r="DF19" s="142">
        <f t="shared" si="1"/>
        <v>45904.625</v>
      </c>
      <c r="DG19" s="58">
        <f t="shared" si="2"/>
        <v>90683.290057258215</v>
      </c>
      <c r="DH19" s="58">
        <f t="shared" si="3"/>
        <v>-80662.772319403826</v>
      </c>
      <c r="DI19" s="58">
        <f t="shared" si="5"/>
        <v>-29074.999999998407</v>
      </c>
      <c r="DJ19" s="58">
        <f t="shared" si="6"/>
        <v>86348.777777777519</v>
      </c>
      <c r="DK19" s="58">
        <f t="shared" si="21"/>
        <v>-15565.6371550482</v>
      </c>
      <c r="DL19" s="58">
        <f t="shared" si="21"/>
        <v>-41553.482620120732</v>
      </c>
      <c r="DM19" s="58">
        <f t="shared" si="21"/>
        <v>-17868.750000000768</v>
      </c>
      <c r="DN19" s="58">
        <f t="shared" si="21"/>
        <v>-19424.777777777927</v>
      </c>
      <c r="DO19" s="58">
        <f t="shared" si="7"/>
        <v>-15565.6371550482</v>
      </c>
      <c r="DP19" s="58">
        <f t="shared" si="4"/>
        <v>-41553.482620120732</v>
      </c>
      <c r="DQ19" s="58">
        <f t="shared" si="4"/>
        <v>-17868.750000000768</v>
      </c>
      <c r="DR19" s="58">
        <f t="shared" si="4"/>
        <v>-19424.777777777927</v>
      </c>
      <c r="DS19" s="58">
        <f>SUM(DO$15:DO19)</f>
        <v>-18827.760871326318</v>
      </c>
      <c r="DT19" s="58">
        <f>SUM(DP$15:DP19)</f>
        <v>-112960.57249633376</v>
      </c>
      <c r="DU19" s="58">
        <f>SUM(DQ$15:DQ19)</f>
        <v>-30218.749999997293</v>
      </c>
      <c r="DV19" s="58">
        <f>SUM(DR$15:DR19)</f>
        <v>-17461.944444444176</v>
      </c>
      <c r="DZ19" s="133">
        <v>45904.625</v>
      </c>
      <c r="EA19" s="54">
        <f>VLOOKUP($DZ19,$DF$12:DS$49,14)</f>
        <v>-18827.760871326318</v>
      </c>
      <c r="EB19" s="54">
        <f>VLOOKUP($DZ19,$DF$12:DT$49,15)</f>
        <v>-112960.57249633376</v>
      </c>
      <c r="EC19" s="54">
        <f>VLOOKUP($DZ19,$DF$12:DU$49,16)</f>
        <v>-30218.749999997293</v>
      </c>
      <c r="ED19" s="54">
        <f>VLOOKUP($DZ19,$DF$12:DV$49,17)</f>
        <v>-17461.944444444176</v>
      </c>
    </row>
    <row r="20" spans="1:134" x14ac:dyDescent="0.3">
      <c r="A20" s="139">
        <v>45854.625</v>
      </c>
      <c r="B20" s="76">
        <f t="shared" si="22"/>
        <v>93.96</v>
      </c>
      <c r="C20" s="31">
        <f t="shared" si="8"/>
        <v>15974.440894567233</v>
      </c>
      <c r="D20" s="32">
        <f t="shared" si="9"/>
        <v>-23500</v>
      </c>
      <c r="E20" s="76">
        <f t="shared" si="23"/>
        <v>101.31</v>
      </c>
      <c r="F20" s="31">
        <f t="shared" si="10"/>
        <v>13800.000000000522</v>
      </c>
      <c r="G20" s="32">
        <f t="shared" si="11"/>
        <v>-8366.641333333333</v>
      </c>
      <c r="H20" s="76">
        <f t="shared" si="24"/>
        <v>121.87</v>
      </c>
      <c r="I20" s="31">
        <f t="shared" si="12"/>
        <v>-10582.444626745513</v>
      </c>
      <c r="J20" s="32">
        <f t="shared" si="13"/>
        <v>-40420</v>
      </c>
      <c r="K20" s="76">
        <f t="shared" si="25"/>
        <v>99.841999999999999</v>
      </c>
      <c r="L20" s="31">
        <f t="shared" si="14"/>
        <v>33619.999999997388</v>
      </c>
      <c r="M20" s="32">
        <f t="shared" si="15"/>
        <v>-18403.059555555559</v>
      </c>
      <c r="N20" s="82">
        <f t="shared" si="16"/>
        <v>53260.467299087381</v>
      </c>
      <c r="O20" s="82"/>
      <c r="P20" s="82"/>
      <c r="Q20" s="82">
        <f>$G$5*SUM($O$14:O20)-$H$5*SUM($P$14:P20)</f>
        <v>0</v>
      </c>
      <c r="R20" s="82">
        <f t="shared" si="17"/>
        <v>53260.467299087381</v>
      </c>
      <c r="S20" s="143"/>
      <c r="U20" s="75">
        <v>45779.625</v>
      </c>
      <c r="V20" s="54">
        <v>92.25</v>
      </c>
      <c r="W20" s="75">
        <v>45779.625</v>
      </c>
      <c r="X20" s="54">
        <v>101.658</v>
      </c>
      <c r="Y20" s="125">
        <v>45779.625</v>
      </c>
      <c r="Z20" s="54">
        <v>120.42</v>
      </c>
      <c r="AA20" s="75">
        <v>45869.625</v>
      </c>
      <c r="AB20" s="54">
        <v>99.549000000000007</v>
      </c>
      <c r="AF20" s="131">
        <v>45904.625</v>
      </c>
      <c r="AG20" s="45">
        <f t="shared" si="26"/>
        <v>80.819999999999993</v>
      </c>
      <c r="AH20" s="46">
        <f t="shared" si="27"/>
        <v>-46313.449425713916</v>
      </c>
      <c r="AI20" s="46">
        <f t="shared" si="28"/>
        <v>-23500</v>
      </c>
      <c r="AJ20" s="45">
        <f t="shared" si="29"/>
        <v>99.9140625</v>
      </c>
      <c r="AK20" s="46">
        <f t="shared" si="30"/>
        <v>36997.767857142862</v>
      </c>
      <c r="AL20" s="47">
        <f t="shared" si="31"/>
        <v>-1826.589471726189</v>
      </c>
      <c r="AM20" s="45">
        <f t="shared" si="32"/>
        <v>110.45</v>
      </c>
      <c r="AN20" s="46">
        <f t="shared" si="33"/>
        <v>98155.048623103095</v>
      </c>
      <c r="AO20" s="47">
        <f t="shared" si="34"/>
        <v>-24171.428571428572</v>
      </c>
      <c r="AP20" s="45">
        <f t="shared" si="35"/>
        <v>99.9140625</v>
      </c>
      <c r="AQ20" s="46">
        <f t="shared" si="36"/>
        <v>32254.46428571429</v>
      </c>
      <c r="AR20" s="47">
        <f t="shared" si="37"/>
        <v>-1592.4113343253975</v>
      </c>
      <c r="AS20" s="45">
        <f t="shared" si="38"/>
        <v>100.71875</v>
      </c>
      <c r="AT20" s="46">
        <f t="shared" si="39"/>
        <v>31808.035714285714</v>
      </c>
      <c r="AU20" s="47">
        <f t="shared" si="40"/>
        <v>17.514880952381645</v>
      </c>
      <c r="AV20" s="45">
        <f t="shared" si="41"/>
        <v>98.296875</v>
      </c>
      <c r="AW20" s="46">
        <f t="shared" si="42"/>
        <v>63281.250000000007</v>
      </c>
      <c r="AX20" s="47">
        <f t="shared" si="43"/>
        <v>1046.2213541666679</v>
      </c>
      <c r="AY20" s="82">
        <f t="shared" si="44"/>
        <v>-52153.172962011449</v>
      </c>
      <c r="AZ20" s="82"/>
      <c r="BA20" s="82"/>
      <c r="BB20" s="82">
        <f>$AO$4*SUM($AZ$14:AZ20)-$AP$4*SUM($BA$14:BA20)</f>
        <v>28509.599357392377</v>
      </c>
      <c r="BC20" s="82">
        <f t="shared" si="18"/>
        <v>-80662.772319403826</v>
      </c>
      <c r="BE20" s="75">
        <v>45777.625</v>
      </c>
      <c r="BF20" s="54">
        <v>78.599999999999994</v>
      </c>
      <c r="BG20" s="75">
        <v>45919.625</v>
      </c>
      <c r="BH20" s="54">
        <v>99.7734375</v>
      </c>
      <c r="BI20" s="75">
        <v>45777.625</v>
      </c>
      <c r="BJ20" s="54">
        <v>108</v>
      </c>
      <c r="BK20" s="75">
        <v>45919.625</v>
      </c>
      <c r="BL20" s="54">
        <v>99.7734375</v>
      </c>
      <c r="BM20" s="75">
        <v>45898.625</v>
      </c>
      <c r="BN20" s="54">
        <v>100.21875</v>
      </c>
      <c r="BO20" s="75">
        <v>45901.625</v>
      </c>
      <c r="BP20" s="54">
        <v>97.234375</v>
      </c>
      <c r="BR20" s="131">
        <v>45904.625</v>
      </c>
      <c r="BS20" s="45">
        <f t="shared" si="19"/>
        <v>107.4136</v>
      </c>
      <c r="BT20" s="46">
        <f t="shared" si="45"/>
        <v>10525.000000001228</v>
      </c>
      <c r="BU20" s="46">
        <f t="shared" si="46"/>
        <v>27777.777777777781</v>
      </c>
      <c r="BV20" s="45">
        <f t="shared" si="47"/>
        <v>49.465000000000003</v>
      </c>
      <c r="BW20" s="46">
        <f t="shared" si="48"/>
        <v>39599.999999999636</v>
      </c>
      <c r="BX20" s="47">
        <f t="shared" si="49"/>
        <v>27777.777777777781</v>
      </c>
      <c r="BY20" s="45">
        <f t="shared" si="50"/>
        <v>-29074.999999998407</v>
      </c>
      <c r="CA20" s="129">
        <v>45779.625</v>
      </c>
      <c r="CB20" s="54">
        <v>104.4299</v>
      </c>
      <c r="CC20" s="129">
        <v>45779.625</v>
      </c>
      <c r="CD20" s="54">
        <v>64.525999999999996</v>
      </c>
      <c r="CF20" s="131">
        <v>45904.625</v>
      </c>
      <c r="CG20" s="45">
        <f t="shared" si="20"/>
        <v>264.74099999999999</v>
      </c>
      <c r="CH20" s="46">
        <f t="shared" si="51"/>
        <v>104477.99999999991</v>
      </c>
      <c r="CI20" s="46">
        <f t="shared" si="52"/>
        <v>27777.777777777781</v>
      </c>
      <c r="CJ20" s="45">
        <f t="shared" si="53"/>
        <v>54.372999999999998</v>
      </c>
      <c r="CK20" s="46">
        <f t="shared" si="54"/>
        <v>20907.000000000178</v>
      </c>
      <c r="CL20" s="47">
        <f t="shared" si="55"/>
        <v>25000</v>
      </c>
      <c r="CM20" s="45">
        <f t="shared" si="56"/>
        <v>86348.777777777519</v>
      </c>
      <c r="CO20" s="129">
        <v>45779.625</v>
      </c>
      <c r="CP20" s="54">
        <v>333.99900000000002</v>
      </c>
      <c r="CQ20" s="129">
        <v>45779.625</v>
      </c>
      <c r="CR20" s="54">
        <v>64.894000000000005</v>
      </c>
      <c r="CS20" s="54"/>
      <c r="CT20" s="54"/>
      <c r="CU20" s="54"/>
      <c r="CV20" s="54"/>
      <c r="CW20" s="54"/>
      <c r="CX20" s="54"/>
      <c r="CY20" s="54"/>
      <c r="DF20" s="142">
        <f t="shared" si="1"/>
        <v>45905.625</v>
      </c>
      <c r="DG20" s="58">
        <f t="shared" si="2"/>
        <v>74303.433500671643</v>
      </c>
      <c r="DH20" s="58">
        <f t="shared" si="3"/>
        <v>-101045.92490149094</v>
      </c>
      <c r="DI20" s="58">
        <f t="shared" si="5"/>
        <v>-32149.999999998432</v>
      </c>
      <c r="DJ20" s="58">
        <f t="shared" si="6"/>
        <v>85286.249999999825</v>
      </c>
      <c r="DK20" s="58">
        <f t="shared" si="21"/>
        <v>-16379.856556586572</v>
      </c>
      <c r="DL20" s="58">
        <f t="shared" si="21"/>
        <v>-20383.152582087117</v>
      </c>
      <c r="DM20" s="58">
        <f t="shared" si="21"/>
        <v>-3075.0000000000255</v>
      </c>
      <c r="DN20" s="58">
        <f t="shared" si="21"/>
        <v>-1062.5277777776937</v>
      </c>
      <c r="DO20" s="58">
        <f t="shared" si="7"/>
        <v>-16379.856556586572</v>
      </c>
      <c r="DP20" s="58">
        <f t="shared" si="4"/>
        <v>-20383.152582087117</v>
      </c>
      <c r="DQ20" s="58">
        <f t="shared" si="4"/>
        <v>-3075.0000000000255</v>
      </c>
      <c r="DR20" s="58">
        <f t="shared" si="4"/>
        <v>-1062.5277777776937</v>
      </c>
      <c r="DS20" s="58">
        <f>SUM(DO$15:DO20)</f>
        <v>-35207.61742791289</v>
      </c>
      <c r="DT20" s="58">
        <f>SUM(DP$15:DP20)</f>
        <v>-133343.72507842089</v>
      </c>
      <c r="DU20" s="58">
        <f>SUM(DQ$15:DQ20)</f>
        <v>-33293.749999997322</v>
      </c>
      <c r="DV20" s="58">
        <f>SUM(DR$15:DR20)</f>
        <v>-18524.47222222187</v>
      </c>
      <c r="DZ20" s="133">
        <v>45905.625</v>
      </c>
      <c r="EA20" s="54">
        <f>VLOOKUP($DZ20,$DF$12:DS$49,14)</f>
        <v>-35207.61742791289</v>
      </c>
      <c r="EB20" s="54">
        <f>VLOOKUP($DZ20,$DF$12:DT$49,15)</f>
        <v>-133343.72507842089</v>
      </c>
      <c r="EC20" s="54">
        <f>VLOOKUP($DZ20,$DF$12:DU$49,16)</f>
        <v>-33293.749999997322</v>
      </c>
      <c r="ED20" s="54">
        <f>VLOOKUP($DZ20,$DF$12:DV$49,17)</f>
        <v>-18524.47222222187</v>
      </c>
    </row>
    <row r="21" spans="1:134" x14ac:dyDescent="0.3">
      <c r="A21" s="139">
        <v>45855.625</v>
      </c>
      <c r="B21" s="76">
        <f t="shared" si="22"/>
        <v>94.08</v>
      </c>
      <c r="C21" s="31">
        <f t="shared" si="8"/>
        <v>47923.322683701699</v>
      </c>
      <c r="D21" s="32">
        <f t="shared" si="9"/>
        <v>-26437.5</v>
      </c>
      <c r="E21" s="76">
        <f t="shared" si="23"/>
        <v>101.328</v>
      </c>
      <c r="F21" s="31">
        <f t="shared" si="10"/>
        <v>17400.000000000658</v>
      </c>
      <c r="G21" s="32">
        <f t="shared" si="11"/>
        <v>-9412.4714999999978</v>
      </c>
      <c r="H21" s="76">
        <f t="shared" si="24"/>
        <v>120.13</v>
      </c>
      <c r="I21" s="31">
        <f t="shared" si="12"/>
        <v>-624364.23297785642</v>
      </c>
      <c r="J21" s="32">
        <f t="shared" si="13"/>
        <v>-45472.5</v>
      </c>
      <c r="K21" s="76">
        <f t="shared" si="25"/>
        <v>99.9</v>
      </c>
      <c r="L21" s="31">
        <f t="shared" si="14"/>
        <v>57400.000000000233</v>
      </c>
      <c r="M21" s="32">
        <f t="shared" si="15"/>
        <v>-20703.442000000003</v>
      </c>
      <c r="N21" s="82">
        <f t="shared" si="16"/>
        <v>720031.58516155765</v>
      </c>
      <c r="O21" s="82"/>
      <c r="P21" s="82">
        <v>1.9446000000000001</v>
      </c>
      <c r="Q21" s="82">
        <f>$G$5*SUM($O$14:O21)-$H$5*SUM($P$14:P21)</f>
        <v>-685953.76080000005</v>
      </c>
      <c r="R21" s="82">
        <f t="shared" si="17"/>
        <v>34077.824361557607</v>
      </c>
      <c r="S21" s="143"/>
      <c r="U21" s="75">
        <v>45783.625</v>
      </c>
      <c r="V21" s="54">
        <v>92.25</v>
      </c>
      <c r="W21" s="75">
        <v>45782.625</v>
      </c>
      <c r="X21" s="54">
        <v>101.652</v>
      </c>
      <c r="Y21" s="125">
        <v>45783.625</v>
      </c>
      <c r="Z21" s="54">
        <v>120.4</v>
      </c>
      <c r="AA21" s="75">
        <v>45870.625</v>
      </c>
      <c r="AB21" s="54">
        <v>99.751000000000005</v>
      </c>
      <c r="AF21" s="131">
        <v>45905.625</v>
      </c>
      <c r="AG21" s="45">
        <f t="shared" si="26"/>
        <v>80.87</v>
      </c>
      <c r="AH21" s="46">
        <f t="shared" si="27"/>
        <v>-30875.632950475017</v>
      </c>
      <c r="AI21" s="46">
        <f t="shared" si="28"/>
        <v>-26437.5</v>
      </c>
      <c r="AJ21" s="45">
        <f t="shared" si="29"/>
        <v>100.1328125</v>
      </c>
      <c r="AK21" s="46">
        <f t="shared" si="30"/>
        <v>67466.517857142855</v>
      </c>
      <c r="AL21" s="47">
        <f t="shared" si="31"/>
        <v>-2054.9131556919656</v>
      </c>
      <c r="AM21" s="45">
        <f t="shared" si="32"/>
        <v>111.17</v>
      </c>
      <c r="AN21" s="46">
        <f t="shared" si="33"/>
        <v>266420.84626270842</v>
      </c>
      <c r="AO21" s="47">
        <f t="shared" si="34"/>
        <v>-27192.857142857145</v>
      </c>
      <c r="AP21" s="45">
        <f t="shared" si="35"/>
        <v>100.1328125</v>
      </c>
      <c r="AQ21" s="46">
        <f t="shared" si="36"/>
        <v>58816.96428571429</v>
      </c>
      <c r="AR21" s="47">
        <f t="shared" si="37"/>
        <v>-1791.4627511160725</v>
      </c>
      <c r="AS21" s="45">
        <f t="shared" si="38"/>
        <v>101.3125</v>
      </c>
      <c r="AT21" s="46">
        <f t="shared" si="39"/>
        <v>63616.071428571428</v>
      </c>
      <c r="AU21" s="47">
        <f t="shared" si="40"/>
        <v>19.70424107143026</v>
      </c>
      <c r="AV21" s="45">
        <f t="shared" si="41"/>
        <v>99.6875</v>
      </c>
      <c r="AW21" s="46">
        <f t="shared" si="42"/>
        <v>167578.125</v>
      </c>
      <c r="AX21" s="47">
        <f t="shared" si="43"/>
        <v>1176.9990234375009</v>
      </c>
      <c r="AY21" s="82">
        <f t="shared" si="44"/>
        <v>-72536.325544098567</v>
      </c>
      <c r="AZ21" s="82"/>
      <c r="BA21" s="82"/>
      <c r="BB21" s="82">
        <f>$AO$4*SUM($AZ$14:AZ21)-$AP$4*SUM($BA$14:BA21)</f>
        <v>28509.599357392377</v>
      </c>
      <c r="BC21" s="82">
        <f t="shared" si="18"/>
        <v>-101045.92490149094</v>
      </c>
      <c r="BE21" s="75">
        <v>45778.625</v>
      </c>
      <c r="BF21" s="54">
        <v>78.3</v>
      </c>
      <c r="BG21" s="75">
        <v>45922.625</v>
      </c>
      <c r="BH21" s="54">
        <v>99.65625</v>
      </c>
      <c r="BI21" s="75">
        <v>45778.625</v>
      </c>
      <c r="BJ21" s="54">
        <v>107.17</v>
      </c>
      <c r="BK21" s="75">
        <v>45922.625</v>
      </c>
      <c r="BL21" s="54">
        <v>99.65625</v>
      </c>
      <c r="BM21" s="75">
        <v>45901.625</v>
      </c>
      <c r="BN21" s="54">
        <v>100.171875</v>
      </c>
      <c r="BO21" s="75">
        <v>45902.625</v>
      </c>
      <c r="BP21" s="54">
        <v>96.65625</v>
      </c>
      <c r="BR21" s="131">
        <v>45905.625</v>
      </c>
      <c r="BS21" s="45">
        <f t="shared" si="19"/>
        <v>107.2762</v>
      </c>
      <c r="BT21" s="46">
        <f t="shared" si="45"/>
        <v>-23824.99999999865</v>
      </c>
      <c r="BU21" s="46">
        <f t="shared" si="46"/>
        <v>31250</v>
      </c>
      <c r="BV21" s="45">
        <f t="shared" si="47"/>
        <v>50.021000000000001</v>
      </c>
      <c r="BW21" s="46">
        <f t="shared" si="48"/>
        <v>8324.9999999997817</v>
      </c>
      <c r="BX21" s="47">
        <f t="shared" si="49"/>
        <v>31250</v>
      </c>
      <c r="BY21" s="45">
        <f t="shared" si="50"/>
        <v>-32149.999999998432</v>
      </c>
      <c r="CA21" s="129">
        <v>45782.625</v>
      </c>
      <c r="CB21" s="54">
        <v>104.6127</v>
      </c>
      <c r="CC21" s="129">
        <v>45782.625</v>
      </c>
      <c r="CD21" s="54">
        <v>63.378</v>
      </c>
      <c r="CF21" s="131">
        <v>45905.625</v>
      </c>
      <c r="CG21" s="45">
        <f t="shared" si="20"/>
        <v>263.56599999999997</v>
      </c>
      <c r="CH21" s="46">
        <f t="shared" si="51"/>
        <v>117403.00000000004</v>
      </c>
      <c r="CI21" s="46">
        <f t="shared" si="52"/>
        <v>31250</v>
      </c>
      <c r="CJ21" s="45">
        <f t="shared" si="53"/>
        <v>54.095999999999997</v>
      </c>
      <c r="CK21" s="46">
        <f t="shared" si="54"/>
        <v>35241.750000000233</v>
      </c>
      <c r="CL21" s="47">
        <f t="shared" si="55"/>
        <v>28125</v>
      </c>
      <c r="CM21" s="45">
        <f t="shared" si="56"/>
        <v>85286.249999999825</v>
      </c>
      <c r="CO21" s="129">
        <v>45783.625</v>
      </c>
      <c r="CP21" s="54">
        <v>331.04300000000001</v>
      </c>
      <c r="CQ21" s="129">
        <v>45783.625</v>
      </c>
      <c r="CR21" s="54">
        <v>64.090999999999994</v>
      </c>
      <c r="CS21" s="54"/>
      <c r="CT21" s="54"/>
      <c r="CU21" s="54"/>
      <c r="CV21" s="54"/>
      <c r="CW21" s="54"/>
      <c r="CX21" s="54"/>
      <c r="CY21" s="54"/>
      <c r="DF21" s="142">
        <f t="shared" si="1"/>
        <v>45908.625</v>
      </c>
      <c r="DG21" s="58">
        <f t="shared" si="2"/>
        <v>65592.368060628069</v>
      </c>
      <c r="DH21" s="58">
        <f t="shared" si="3"/>
        <v>-75296.261090388958</v>
      </c>
      <c r="DI21" s="58">
        <f t="shared" si="5"/>
        <v>-42887.499999998581</v>
      </c>
      <c r="DJ21" s="58">
        <f t="shared" si="6"/>
        <v>74037.916666666613</v>
      </c>
      <c r="DK21" s="58">
        <f t="shared" si="21"/>
        <v>-8711.0654400435742</v>
      </c>
      <c r="DL21" s="58">
        <f t="shared" si="21"/>
        <v>25749.663811101986</v>
      </c>
      <c r="DM21" s="58">
        <f t="shared" si="21"/>
        <v>-10737.500000000149</v>
      </c>
      <c r="DN21" s="58">
        <f t="shared" si="21"/>
        <v>-11248.333333333212</v>
      </c>
      <c r="DO21" s="58">
        <f t="shared" si="7"/>
        <v>-8711.0654400435742</v>
      </c>
      <c r="DP21" s="58">
        <f t="shared" si="4"/>
        <v>25749.663811101986</v>
      </c>
      <c r="DQ21" s="58">
        <f t="shared" si="4"/>
        <v>-10737.500000000149</v>
      </c>
      <c r="DR21" s="58">
        <f t="shared" si="4"/>
        <v>-11248.333333333212</v>
      </c>
      <c r="DS21" s="58">
        <f>SUM(DO$15:DO21)</f>
        <v>-43918.682867956464</v>
      </c>
      <c r="DT21" s="58">
        <f>SUM(DP$15:DP21)</f>
        <v>-107594.0612673189</v>
      </c>
      <c r="DU21" s="58">
        <f>SUM(DQ$15:DQ21)</f>
        <v>-44031.249999997468</v>
      </c>
      <c r="DV21" s="58">
        <f>SUM(DR$15:DR21)</f>
        <v>-29772.805555555082</v>
      </c>
      <c r="DZ21" s="133">
        <v>45908.625</v>
      </c>
      <c r="EA21" s="54">
        <f>VLOOKUP($DZ21,$DF$12:DS$49,14)</f>
        <v>-43918.682867956464</v>
      </c>
      <c r="EB21" s="54">
        <f>VLOOKUP($DZ21,$DF$12:DT$49,15)</f>
        <v>-107594.0612673189</v>
      </c>
      <c r="EC21" s="54">
        <f>VLOOKUP($DZ21,$DF$12:DU$49,16)</f>
        <v>-44031.249999997468</v>
      </c>
      <c r="ED21" s="54">
        <f>VLOOKUP($DZ21,$DF$12:DV$49,17)</f>
        <v>-29772.805555555082</v>
      </c>
    </row>
    <row r="22" spans="1:134" x14ac:dyDescent="0.3">
      <c r="A22" s="139">
        <v>45856.625</v>
      </c>
      <c r="B22" s="76">
        <f t="shared" si="22"/>
        <v>94.09</v>
      </c>
      <c r="C22" s="31">
        <f t="shared" si="8"/>
        <v>50585.72949946938</v>
      </c>
      <c r="D22" s="32">
        <f t="shared" si="9"/>
        <v>-29374.999999999996</v>
      </c>
      <c r="E22" s="76">
        <f t="shared" si="23"/>
        <v>101.28</v>
      </c>
      <c r="F22" s="31">
        <f t="shared" si="10"/>
        <v>7800.0000000002956</v>
      </c>
      <c r="G22" s="32">
        <f t="shared" si="11"/>
        <v>-10458.301666666663</v>
      </c>
      <c r="H22" s="76">
        <f t="shared" si="24"/>
        <v>120.01</v>
      </c>
      <c r="I22" s="31">
        <f t="shared" si="12"/>
        <v>-666694.01148482412</v>
      </c>
      <c r="J22" s="32">
        <f t="shared" si="13"/>
        <v>-50524.999999999993</v>
      </c>
      <c r="K22" s="76">
        <f t="shared" si="25"/>
        <v>99.805999999999997</v>
      </c>
      <c r="L22" s="31">
        <f t="shared" si="14"/>
        <v>18859.999999996831</v>
      </c>
      <c r="M22" s="32">
        <f t="shared" si="15"/>
        <v>-23003.824444444439</v>
      </c>
      <c r="N22" s="82">
        <f t="shared" si="16"/>
        <v>736944.21820651239</v>
      </c>
      <c r="O22" s="82"/>
      <c r="P22" s="82"/>
      <c r="Q22" s="82">
        <f>$G$5*SUM($O$14:O22)-$H$5*SUM($P$14:P22)</f>
        <v>-685953.76080000005</v>
      </c>
      <c r="R22" s="82">
        <f t="shared" si="17"/>
        <v>50990.457406512345</v>
      </c>
      <c r="S22" s="143"/>
      <c r="U22" s="75">
        <v>45784.625</v>
      </c>
      <c r="V22" s="54">
        <v>92.3</v>
      </c>
      <c r="W22" s="75">
        <v>45783.625</v>
      </c>
      <c r="X22" s="54">
        <v>101.666</v>
      </c>
      <c r="Y22" s="125">
        <v>45785.625</v>
      </c>
      <c r="Z22" s="54">
        <v>120.69</v>
      </c>
      <c r="AA22" s="75">
        <v>45873.625</v>
      </c>
      <c r="AB22" s="54">
        <v>99.884</v>
      </c>
      <c r="AF22" s="131">
        <v>45908.625</v>
      </c>
      <c r="AG22" s="45">
        <f t="shared" si="26"/>
        <v>80.87</v>
      </c>
      <c r="AH22" s="46">
        <f t="shared" si="27"/>
        <v>-30875.632950475017</v>
      </c>
      <c r="AI22" s="46">
        <f t="shared" si="28"/>
        <v>-35250</v>
      </c>
      <c r="AJ22" s="45">
        <f t="shared" si="29"/>
        <v>100.265625</v>
      </c>
      <c r="AK22" s="46">
        <f t="shared" si="30"/>
        <v>85965.40178571429</v>
      </c>
      <c r="AL22" s="47">
        <f t="shared" si="31"/>
        <v>-2739.8842075892862</v>
      </c>
      <c r="AM22" s="45">
        <f t="shared" si="32"/>
        <v>111.56</v>
      </c>
      <c r="AN22" s="46">
        <f t="shared" si="33"/>
        <v>357564.81998415844</v>
      </c>
      <c r="AO22" s="47">
        <f t="shared" si="34"/>
        <v>-36257.142857142855</v>
      </c>
      <c r="AP22" s="45">
        <f t="shared" si="35"/>
        <v>100.265625</v>
      </c>
      <c r="AQ22" s="46">
        <f t="shared" si="36"/>
        <v>74944.196428571435</v>
      </c>
      <c r="AR22" s="47">
        <f t="shared" si="37"/>
        <v>-2388.6170014880972</v>
      </c>
      <c r="AS22" s="45">
        <f t="shared" si="38"/>
        <v>101.6875</v>
      </c>
      <c r="AT22" s="46">
        <f t="shared" si="39"/>
        <v>83705.357142857145</v>
      </c>
      <c r="AU22" s="47">
        <f t="shared" si="40"/>
        <v>26.272321428572468</v>
      </c>
      <c r="AV22" s="45">
        <f t="shared" si="41"/>
        <v>101</v>
      </c>
      <c r="AW22" s="46">
        <f t="shared" si="42"/>
        <v>266015.625</v>
      </c>
      <c r="AX22" s="47">
        <f t="shared" si="43"/>
        <v>1569.33203125</v>
      </c>
      <c r="AY22" s="82">
        <f t="shared" si="44"/>
        <v>-46786.661732996581</v>
      </c>
      <c r="AZ22" s="82"/>
      <c r="BA22" s="82"/>
      <c r="BB22" s="82">
        <f>$AO$4*SUM($AZ$14:AZ22)-$AP$4*SUM($BA$14:BA22)</f>
        <v>28509.599357392377</v>
      </c>
      <c r="BC22" s="82">
        <f t="shared" si="18"/>
        <v>-75296.261090388958</v>
      </c>
      <c r="BE22" s="75">
        <v>45779.625</v>
      </c>
      <c r="BF22" s="54">
        <v>78.540000000000006</v>
      </c>
      <c r="BG22" s="75">
        <v>45923.625</v>
      </c>
      <c r="BH22" s="54">
        <v>99.796875</v>
      </c>
      <c r="BI22" s="75">
        <v>45779.625</v>
      </c>
      <c r="BJ22" s="54">
        <v>106.91</v>
      </c>
      <c r="BK22" s="75">
        <v>45923.625</v>
      </c>
      <c r="BL22" s="54">
        <v>99.796875</v>
      </c>
      <c r="BM22" s="75">
        <v>45902.625</v>
      </c>
      <c r="BN22" s="54">
        <v>99.859375</v>
      </c>
      <c r="BO22" s="75">
        <v>45903.625</v>
      </c>
      <c r="BP22" s="54">
        <v>97.671875</v>
      </c>
      <c r="BR22" s="131">
        <v>45908.625</v>
      </c>
      <c r="BS22" s="45">
        <f t="shared" si="19"/>
        <v>107.2625</v>
      </c>
      <c r="BT22" s="46">
        <f t="shared" si="45"/>
        <v>-27249.999999998661</v>
      </c>
      <c r="BU22" s="46">
        <f t="shared" si="46"/>
        <v>41666.666666666672</v>
      </c>
      <c r="BV22" s="45">
        <f t="shared" si="47"/>
        <v>49.890999999999998</v>
      </c>
      <c r="BW22" s="46">
        <f t="shared" si="48"/>
        <v>15637.499999999925</v>
      </c>
      <c r="BX22" s="47">
        <f t="shared" si="49"/>
        <v>41666.666666666664</v>
      </c>
      <c r="BY22" s="45">
        <f t="shared" si="50"/>
        <v>-42887.499999998581</v>
      </c>
      <c r="CA22" s="129">
        <v>45783.625</v>
      </c>
      <c r="CB22" s="54">
        <v>104.3732</v>
      </c>
      <c r="CC22" s="129">
        <v>45783.625</v>
      </c>
      <c r="CD22" s="54">
        <v>64.171999999999997</v>
      </c>
      <c r="CF22" s="131">
        <v>45908.625</v>
      </c>
      <c r="CG22" s="45">
        <f t="shared" si="20"/>
        <v>261.50299999999999</v>
      </c>
      <c r="CH22" s="46">
        <f t="shared" si="51"/>
        <v>140095.99999999991</v>
      </c>
      <c r="CI22" s="46">
        <f t="shared" si="52"/>
        <v>41666.666666666672</v>
      </c>
      <c r="CJ22" s="45">
        <f t="shared" si="53"/>
        <v>53.42</v>
      </c>
      <c r="CK22" s="46">
        <f t="shared" si="54"/>
        <v>70224.749999999956</v>
      </c>
      <c r="CL22" s="47">
        <f t="shared" si="55"/>
        <v>37500</v>
      </c>
      <c r="CM22" s="45">
        <f t="shared" si="56"/>
        <v>74037.916666666613</v>
      </c>
      <c r="CO22" s="129">
        <v>45784.625</v>
      </c>
      <c r="CP22" s="54">
        <v>331.15199999999999</v>
      </c>
      <c r="CQ22" s="129">
        <v>45784.625</v>
      </c>
      <c r="CR22" s="54">
        <v>64.108999999999995</v>
      </c>
      <c r="CS22" s="54"/>
      <c r="CT22" s="54"/>
      <c r="CU22" s="54"/>
      <c r="CV22" s="54"/>
      <c r="CW22" s="54"/>
      <c r="CX22" s="54"/>
      <c r="CY22" s="54"/>
      <c r="DF22" s="142">
        <f t="shared" si="1"/>
        <v>45909.625</v>
      </c>
      <c r="DG22" s="58">
        <f t="shared" si="2"/>
        <v>43316.193147450918</v>
      </c>
      <c r="DH22" s="58">
        <f t="shared" si="3"/>
        <v>-111119.98496206054</v>
      </c>
      <c r="DI22" s="58">
        <f t="shared" si="5"/>
        <v>-58787.499999997817</v>
      </c>
      <c r="DJ22" s="58">
        <f t="shared" si="6"/>
        <v>58765.138888888985</v>
      </c>
      <c r="DK22" s="58">
        <f t="shared" si="21"/>
        <v>-22276.17491317715</v>
      </c>
      <c r="DL22" s="58">
        <f t="shared" si="21"/>
        <v>-35823.72387167158</v>
      </c>
      <c r="DM22" s="58">
        <f t="shared" si="21"/>
        <v>-15899.999999999236</v>
      </c>
      <c r="DN22" s="58">
        <f t="shared" si="21"/>
        <v>-15272.777777777628</v>
      </c>
      <c r="DO22" s="58">
        <f t="shared" si="7"/>
        <v>-22276.17491317715</v>
      </c>
      <c r="DP22" s="58">
        <f t="shared" si="4"/>
        <v>-35823.72387167158</v>
      </c>
      <c r="DQ22" s="58">
        <f t="shared" si="4"/>
        <v>-15899.999999999236</v>
      </c>
      <c r="DR22" s="58">
        <f t="shared" si="4"/>
        <v>-15272.777777777628</v>
      </c>
      <c r="DS22" s="58">
        <f>SUM(DO$15:DO22)</f>
        <v>-66194.857781133614</v>
      </c>
      <c r="DT22" s="58">
        <f>SUM(DP$15:DP22)</f>
        <v>-143417.7851389905</v>
      </c>
      <c r="DU22" s="58">
        <f>SUM(DQ$15:DQ22)</f>
        <v>-59931.249999996704</v>
      </c>
      <c r="DV22" s="58">
        <f>SUM(DR$15:DR22)</f>
        <v>-45045.58333333271</v>
      </c>
      <c r="DZ22" s="133">
        <v>45909.625</v>
      </c>
      <c r="EA22" s="54">
        <f>VLOOKUP($DZ22,$DF$12:DS$49,14)</f>
        <v>-66194.857781133614</v>
      </c>
      <c r="EB22" s="54">
        <f>VLOOKUP($DZ22,$DF$12:DT$49,15)</f>
        <v>-143417.7851389905</v>
      </c>
      <c r="EC22" s="54">
        <f>VLOOKUP($DZ22,$DF$12:DU$49,16)</f>
        <v>-59931.249999996704</v>
      </c>
      <c r="ED22" s="54">
        <f>VLOOKUP($DZ22,$DF$12:DV$49,17)</f>
        <v>-45045.58333333271</v>
      </c>
    </row>
    <row r="23" spans="1:134" x14ac:dyDescent="0.3">
      <c r="A23" s="139">
        <v>45859.625</v>
      </c>
      <c r="B23" s="76">
        <f t="shared" si="22"/>
        <v>94.13</v>
      </c>
      <c r="C23" s="31">
        <f t="shared" si="8"/>
        <v>61235.356762512347</v>
      </c>
      <c r="D23" s="32">
        <f t="shared" si="9"/>
        <v>-38187.499999999993</v>
      </c>
      <c r="E23" s="76">
        <f t="shared" si="23"/>
        <v>101.45</v>
      </c>
      <c r="F23" s="31">
        <f t="shared" si="10"/>
        <v>41800.00000000064</v>
      </c>
      <c r="G23" s="32">
        <f t="shared" si="11"/>
        <v>-13595.792166666666</v>
      </c>
      <c r="H23" s="76">
        <f t="shared" si="24"/>
        <v>120.31</v>
      </c>
      <c r="I23" s="31">
        <f t="shared" si="12"/>
        <v>-560869.56521739287</v>
      </c>
      <c r="J23" s="32">
        <f t="shared" si="13"/>
        <v>-65682.499999999985</v>
      </c>
      <c r="K23" s="76">
        <f t="shared" si="25"/>
        <v>100.142</v>
      </c>
      <c r="L23" s="31">
        <f t="shared" si="14"/>
        <v>156619.99999999625</v>
      </c>
      <c r="M23" s="32">
        <f t="shared" si="15"/>
        <v>-29904.971777777781</v>
      </c>
      <c r="N23" s="82">
        <f t="shared" si="16"/>
        <v>748110.74236878974</v>
      </c>
      <c r="O23" s="82"/>
      <c r="P23" s="82"/>
      <c r="Q23" s="82">
        <f>$G$5*SUM($O$14:O23)-$H$5*SUM($P$14:P23)</f>
        <v>-685953.76080000005</v>
      </c>
      <c r="R23" s="82">
        <f t="shared" si="17"/>
        <v>62156.981568789692</v>
      </c>
      <c r="S23" s="143"/>
      <c r="U23" s="75">
        <v>45785.625</v>
      </c>
      <c r="V23" s="54">
        <v>92.52</v>
      </c>
      <c r="W23" s="75">
        <v>45784.625</v>
      </c>
      <c r="X23" s="54">
        <v>101.788</v>
      </c>
      <c r="Y23" s="125">
        <v>45786.625</v>
      </c>
      <c r="Z23" s="54">
        <v>120.68</v>
      </c>
      <c r="AA23" s="75">
        <v>45874.625</v>
      </c>
      <c r="AB23" s="54">
        <v>99.923000000000002</v>
      </c>
      <c r="AF23" s="131">
        <v>45909.625</v>
      </c>
      <c r="AG23" s="45">
        <f t="shared" si="26"/>
        <v>80.78</v>
      </c>
      <c r="AH23" s="46">
        <f t="shared" si="27"/>
        <v>-58663.702605901701</v>
      </c>
      <c r="AI23" s="46">
        <f t="shared" si="28"/>
        <v>-38187.499999999993</v>
      </c>
      <c r="AJ23" s="45">
        <f t="shared" si="29"/>
        <v>100.09375</v>
      </c>
      <c r="AK23" s="46">
        <f t="shared" si="30"/>
        <v>62025.669642857138</v>
      </c>
      <c r="AL23" s="47">
        <f t="shared" si="31"/>
        <v>-2968.2078915550592</v>
      </c>
      <c r="AM23" s="45">
        <f t="shared" si="32"/>
        <v>111.36</v>
      </c>
      <c r="AN23" s="46">
        <f t="shared" si="33"/>
        <v>310824.32063982554</v>
      </c>
      <c r="AO23" s="47">
        <f t="shared" si="34"/>
        <v>-39278.571428571428</v>
      </c>
      <c r="AP23" s="45">
        <f t="shared" si="35"/>
        <v>100.09375</v>
      </c>
      <c r="AQ23" s="46">
        <f t="shared" si="36"/>
        <v>54073.66071428571</v>
      </c>
      <c r="AR23" s="47">
        <f t="shared" si="37"/>
        <v>-2587.6684182787722</v>
      </c>
      <c r="AS23" s="45">
        <f t="shared" si="38"/>
        <v>101.390625</v>
      </c>
      <c r="AT23" s="46">
        <f t="shared" si="39"/>
        <v>67801.33928571429</v>
      </c>
      <c r="AU23" s="47">
        <f t="shared" si="40"/>
        <v>28.461681547620174</v>
      </c>
      <c r="AV23" s="45">
        <f t="shared" si="41"/>
        <v>100.4375</v>
      </c>
      <c r="AW23" s="46">
        <f t="shared" si="42"/>
        <v>223828.125</v>
      </c>
      <c r="AX23" s="47">
        <f t="shared" si="43"/>
        <v>1700.1097005208339</v>
      </c>
      <c r="AY23" s="82">
        <f t="shared" si="44"/>
        <v>-82610.385604668161</v>
      </c>
      <c r="AZ23" s="82"/>
      <c r="BA23" s="82"/>
      <c r="BB23" s="82">
        <f>$AO$4*SUM($AZ$14:AZ23)-$AP$4*SUM($BA$14:BA23)</f>
        <v>28509.599357392377</v>
      </c>
      <c r="BC23" s="82">
        <f t="shared" si="18"/>
        <v>-111119.98496206054</v>
      </c>
      <c r="BE23" s="75">
        <v>45782.625</v>
      </c>
      <c r="BF23" s="54">
        <v>78.510000000000005</v>
      </c>
      <c r="BG23" s="75">
        <v>45924.625</v>
      </c>
      <c r="BH23" s="54">
        <v>99.6015625</v>
      </c>
      <c r="BI23" s="75">
        <v>45782.625</v>
      </c>
      <c r="BJ23" s="54">
        <v>106.76</v>
      </c>
      <c r="BK23" s="75">
        <v>45924.625</v>
      </c>
      <c r="BL23" s="54">
        <v>99.6015625</v>
      </c>
      <c r="BM23" s="75">
        <v>45903.625</v>
      </c>
      <c r="BN23" s="54">
        <v>100.234375</v>
      </c>
      <c r="BO23" s="75">
        <v>45904.625</v>
      </c>
      <c r="BP23" s="54">
        <v>98.296875</v>
      </c>
      <c r="BR23" s="131">
        <v>45909.625</v>
      </c>
      <c r="BS23" s="45">
        <f t="shared" si="19"/>
        <v>107.24930000000001</v>
      </c>
      <c r="BT23" s="46">
        <f t="shared" si="45"/>
        <v>-30549.999999998079</v>
      </c>
      <c r="BU23" s="46">
        <f t="shared" si="46"/>
        <v>45138.888888888883</v>
      </c>
      <c r="BV23" s="45">
        <f t="shared" si="47"/>
        <v>49.667000000000002</v>
      </c>
      <c r="BW23" s="46">
        <f t="shared" si="48"/>
        <v>28237.499999999738</v>
      </c>
      <c r="BX23" s="47">
        <f t="shared" si="49"/>
        <v>45138.888888888883</v>
      </c>
      <c r="BY23" s="45">
        <f t="shared" si="50"/>
        <v>-58787.499999997817</v>
      </c>
      <c r="CA23" s="129">
        <v>45784.625</v>
      </c>
      <c r="CB23" s="54">
        <v>104.47369999999999</v>
      </c>
      <c r="CC23" s="129">
        <v>45784.625</v>
      </c>
      <c r="CD23" s="54">
        <v>63.649000000000001</v>
      </c>
      <c r="CF23" s="131">
        <v>45909.625</v>
      </c>
      <c r="CG23" s="45">
        <f t="shared" si="20"/>
        <v>261.88799999999998</v>
      </c>
      <c r="CH23" s="46">
        <f t="shared" si="51"/>
        <v>135861</v>
      </c>
      <c r="CI23" s="46">
        <f t="shared" si="52"/>
        <v>45138.888888888883</v>
      </c>
      <c r="CJ23" s="45">
        <f t="shared" si="53"/>
        <v>53.2</v>
      </c>
      <c r="CK23" s="46">
        <f t="shared" si="54"/>
        <v>81609.749999999898</v>
      </c>
      <c r="CL23" s="47">
        <f t="shared" si="55"/>
        <v>40624.999999999993</v>
      </c>
      <c r="CM23" s="45">
        <f t="shared" si="56"/>
        <v>58765.138888888985</v>
      </c>
      <c r="CO23" s="129">
        <v>45785.625</v>
      </c>
      <c r="CP23" s="54">
        <v>326.08800000000002</v>
      </c>
      <c r="CQ23" s="129">
        <v>45785.625</v>
      </c>
      <c r="CR23" s="54">
        <v>62.965000000000003</v>
      </c>
      <c r="CS23" s="54"/>
      <c r="CT23" s="54"/>
      <c r="CU23" s="54"/>
      <c r="CV23" s="54"/>
      <c r="CW23" s="54"/>
      <c r="CX23" s="54"/>
      <c r="CY23" s="54"/>
      <c r="DF23" s="142">
        <f t="shared" si="1"/>
        <v>45910.625</v>
      </c>
      <c r="DG23" s="58">
        <f t="shared" si="2"/>
        <v>6506.9001736791106</v>
      </c>
      <c r="DH23" s="58">
        <f t="shared" si="3"/>
        <v>-116149.94874193209</v>
      </c>
      <c r="DI23" s="58">
        <f t="shared" si="5"/>
        <v>-62006.249999999236</v>
      </c>
      <c r="DJ23" s="58">
        <f t="shared" si="6"/>
        <v>53804.111111110935</v>
      </c>
      <c r="DK23" s="58">
        <f t="shared" si="21"/>
        <v>-36809.292973771808</v>
      </c>
      <c r="DL23" s="58">
        <f t="shared" si="21"/>
        <v>-5029.9637798715557</v>
      </c>
      <c r="DM23" s="58">
        <f t="shared" si="21"/>
        <v>-3218.7500000014188</v>
      </c>
      <c r="DN23" s="58">
        <f t="shared" si="21"/>
        <v>-4961.0277777780502</v>
      </c>
      <c r="DO23" s="58">
        <f t="shared" si="7"/>
        <v>-36809.292973771808</v>
      </c>
      <c r="DP23" s="58">
        <f t="shared" si="4"/>
        <v>-5029.9637798715557</v>
      </c>
      <c r="DQ23" s="58">
        <f t="shared" si="4"/>
        <v>-3218.7500000014188</v>
      </c>
      <c r="DR23" s="58">
        <f t="shared" si="4"/>
        <v>-4961.0277777780502</v>
      </c>
      <c r="DS23" s="58">
        <f>SUM(DO$15:DO23)</f>
        <v>-103004.15075490542</v>
      </c>
      <c r="DT23" s="58">
        <f>SUM(DP$15:DP23)</f>
        <v>-148447.74891886205</v>
      </c>
      <c r="DU23" s="58">
        <f>SUM(DQ$15:DQ23)</f>
        <v>-63149.999999998123</v>
      </c>
      <c r="DV23" s="58">
        <f>SUM(DR$15:DR23)</f>
        <v>-50006.61111111076</v>
      </c>
      <c r="DZ23" s="133">
        <v>45910.625</v>
      </c>
      <c r="EA23" s="54">
        <f>VLOOKUP($DZ23,$DF$12:DS$49,14)</f>
        <v>-103004.15075490542</v>
      </c>
      <c r="EB23" s="54">
        <f>VLOOKUP($DZ23,$DF$12:DT$49,15)</f>
        <v>-148447.74891886205</v>
      </c>
      <c r="EC23" s="54">
        <f>VLOOKUP($DZ23,$DF$12:DU$49,16)</f>
        <v>-63149.999999998123</v>
      </c>
      <c r="ED23" s="54">
        <f>VLOOKUP($DZ23,$DF$12:DV$49,17)</f>
        <v>-50006.61111111076</v>
      </c>
    </row>
    <row r="24" spans="1:134" x14ac:dyDescent="0.3">
      <c r="A24" s="139">
        <v>45860.625</v>
      </c>
      <c r="B24" s="76">
        <f t="shared" si="22"/>
        <v>94.13</v>
      </c>
      <c r="C24" s="31">
        <f t="shared" si="8"/>
        <v>61235.356762512347</v>
      </c>
      <c r="D24" s="32">
        <f t="shared" si="9"/>
        <v>-41125</v>
      </c>
      <c r="E24" s="76">
        <f t="shared" si="23"/>
        <v>101.5</v>
      </c>
      <c r="F24" s="31">
        <f t="shared" si="10"/>
        <v>51800.000000000065</v>
      </c>
      <c r="G24" s="32">
        <f t="shared" si="11"/>
        <v>-14641.622333333329</v>
      </c>
      <c r="H24" s="76">
        <f t="shared" si="24"/>
        <v>120.48</v>
      </c>
      <c r="I24" s="31">
        <f t="shared" si="12"/>
        <v>-500902.37899918098</v>
      </c>
      <c r="J24" s="32">
        <f t="shared" si="13"/>
        <v>-70735</v>
      </c>
      <c r="K24" s="76">
        <f t="shared" si="25"/>
        <v>100.247</v>
      </c>
      <c r="L24" s="31">
        <f t="shared" si="14"/>
        <v>199669.99999999785</v>
      </c>
      <c r="M24" s="32">
        <f t="shared" si="15"/>
        <v>-32205.354222222224</v>
      </c>
      <c r="N24" s="82">
        <f t="shared" si="16"/>
        <v>722054.00387280225</v>
      </c>
      <c r="O24" s="82"/>
      <c r="P24" s="82"/>
      <c r="Q24" s="82">
        <f>$G$5*SUM($O$14:O24)-$H$5*SUM($P$14:P24)</f>
        <v>-685953.76080000005</v>
      </c>
      <c r="R24" s="82">
        <f t="shared" si="17"/>
        <v>36100.243072802201</v>
      </c>
      <c r="S24" s="143"/>
      <c r="U24" s="75">
        <v>45786.625</v>
      </c>
      <c r="V24" s="54">
        <v>92.56</v>
      </c>
      <c r="W24" s="75">
        <v>45785.625</v>
      </c>
      <c r="X24" s="54">
        <v>101.69499999999999</v>
      </c>
      <c r="Y24" s="125">
        <v>45789.625</v>
      </c>
      <c r="Z24" s="54">
        <v>120.3</v>
      </c>
      <c r="AA24" s="75">
        <v>45875.625</v>
      </c>
      <c r="AB24" s="54">
        <v>99.869</v>
      </c>
      <c r="AF24" s="131">
        <v>45910.625</v>
      </c>
      <c r="AG24" s="45">
        <f t="shared" si="26"/>
        <v>80.84</v>
      </c>
      <c r="AH24" s="46">
        <f t="shared" si="27"/>
        <v>-40138.322835617248</v>
      </c>
      <c r="AI24" s="46">
        <f t="shared" si="28"/>
        <v>-41125</v>
      </c>
      <c r="AJ24" s="45">
        <f t="shared" si="29"/>
        <v>100.1640625</v>
      </c>
      <c r="AK24" s="46">
        <f t="shared" si="30"/>
        <v>71819.196428571435</v>
      </c>
      <c r="AL24" s="47">
        <f t="shared" si="31"/>
        <v>-3196.5315755208358</v>
      </c>
      <c r="AM24" s="45">
        <f t="shared" si="32"/>
        <v>111.69</v>
      </c>
      <c r="AN24" s="46">
        <f t="shared" si="33"/>
        <v>387946.14455797512</v>
      </c>
      <c r="AO24" s="47">
        <f t="shared" si="34"/>
        <v>-42300</v>
      </c>
      <c r="AP24" s="45">
        <f t="shared" si="35"/>
        <v>100.1640625</v>
      </c>
      <c r="AQ24" s="46">
        <f t="shared" si="36"/>
        <v>62611.607142857152</v>
      </c>
      <c r="AR24" s="47">
        <f t="shared" si="37"/>
        <v>-2786.7198350694453</v>
      </c>
      <c r="AS24" s="45">
        <f t="shared" si="38"/>
        <v>101.6875</v>
      </c>
      <c r="AT24" s="46">
        <f t="shared" si="39"/>
        <v>83705.357142857145</v>
      </c>
      <c r="AU24" s="47">
        <f t="shared" si="40"/>
        <v>30.651041666667879</v>
      </c>
      <c r="AV24" s="45">
        <f t="shared" si="41"/>
        <v>100.953125</v>
      </c>
      <c r="AW24" s="46">
        <f t="shared" si="42"/>
        <v>262500</v>
      </c>
      <c r="AX24" s="47">
        <f t="shared" si="43"/>
        <v>1830.8873697916679</v>
      </c>
      <c r="AY24" s="82">
        <f t="shared" si="44"/>
        <v>-87640.349384539717</v>
      </c>
      <c r="AZ24" s="82"/>
      <c r="BA24" s="82"/>
      <c r="BB24" s="82">
        <f>$AO$4*SUM($AZ$14:AZ24)-$AP$4*SUM($BA$14:BA24)</f>
        <v>28509.599357392377</v>
      </c>
      <c r="BC24" s="82">
        <f t="shared" si="18"/>
        <v>-116149.94874193209</v>
      </c>
      <c r="BE24" s="75">
        <v>45783.625</v>
      </c>
      <c r="BF24" s="54">
        <v>78.45</v>
      </c>
      <c r="BG24" s="75">
        <v>45925.625</v>
      </c>
      <c r="BH24" s="54">
        <v>99.390625</v>
      </c>
      <c r="BI24" s="75">
        <v>45783.625</v>
      </c>
      <c r="BJ24" s="54">
        <v>106.97</v>
      </c>
      <c r="BK24" s="75">
        <v>45925.625</v>
      </c>
      <c r="BL24" s="54">
        <v>99.390625</v>
      </c>
      <c r="BM24" s="75">
        <v>45904.625</v>
      </c>
      <c r="BN24" s="54">
        <v>100.71875</v>
      </c>
      <c r="BO24" s="75">
        <v>45905.625</v>
      </c>
      <c r="BP24" s="54">
        <v>99.6875</v>
      </c>
      <c r="BR24" s="131">
        <v>45910.625</v>
      </c>
      <c r="BS24" s="45">
        <f t="shared" si="19"/>
        <v>107.3793</v>
      </c>
      <c r="BT24" s="46">
        <f t="shared" si="45"/>
        <v>1950.0000000007842</v>
      </c>
      <c r="BU24" s="46">
        <f t="shared" si="46"/>
        <v>48611.111111111117</v>
      </c>
      <c r="BV24" s="45">
        <f t="shared" si="47"/>
        <v>49.031999999999996</v>
      </c>
      <c r="BW24" s="46">
        <f t="shared" si="48"/>
        <v>63956.250000000029</v>
      </c>
      <c r="BX24" s="47">
        <f t="shared" si="49"/>
        <v>48611.111111111109</v>
      </c>
      <c r="BY24" s="45">
        <f t="shared" si="50"/>
        <v>-62006.249999999236</v>
      </c>
      <c r="CA24" s="129">
        <v>45785.625</v>
      </c>
      <c r="CB24" s="54">
        <v>104.7473</v>
      </c>
      <c r="CC24" s="129">
        <v>45785.625</v>
      </c>
      <c r="CD24" s="54">
        <v>61.73</v>
      </c>
      <c r="CF24" s="131">
        <v>45910.625</v>
      </c>
      <c r="CG24" s="45">
        <f t="shared" si="20"/>
        <v>258.988</v>
      </c>
      <c r="CH24" s="46">
        <f t="shared" si="51"/>
        <v>167760.99999999977</v>
      </c>
      <c r="CI24" s="46">
        <f t="shared" si="52"/>
        <v>48611.111111111117</v>
      </c>
      <c r="CJ24" s="45">
        <f t="shared" si="53"/>
        <v>52.481000000000002</v>
      </c>
      <c r="CK24" s="46">
        <f t="shared" si="54"/>
        <v>118817.99999999996</v>
      </c>
      <c r="CL24" s="47">
        <f t="shared" si="55"/>
        <v>43750</v>
      </c>
      <c r="CM24" s="45">
        <f t="shared" si="56"/>
        <v>53804.111111110935</v>
      </c>
      <c r="CO24" s="129">
        <v>45786.625</v>
      </c>
      <c r="CP24" s="54">
        <v>322.20999999999998</v>
      </c>
      <c r="CQ24" s="129">
        <v>45786.625</v>
      </c>
      <c r="CR24" s="54">
        <v>61.750999999999998</v>
      </c>
      <c r="CS24" s="54"/>
      <c r="CT24" s="54"/>
      <c r="CU24" s="54"/>
      <c r="CV24" s="54"/>
      <c r="CW24" s="54"/>
      <c r="CX24" s="54"/>
      <c r="CY24" s="54"/>
      <c r="DF24" s="142">
        <f t="shared" si="1"/>
        <v>45911.625</v>
      </c>
      <c r="DG24" s="58">
        <f t="shared" si="2"/>
        <v>14395.108923095191</v>
      </c>
      <c r="DH24" s="58">
        <f t="shared" si="3"/>
        <v>-113233.61683968679</v>
      </c>
      <c r="DI24" s="58">
        <f t="shared" si="5"/>
        <v>-53718.749999999753</v>
      </c>
      <c r="DJ24" s="58">
        <f t="shared" si="6"/>
        <v>50689.833333332965</v>
      </c>
      <c r="DK24" s="58">
        <f t="shared" si="21"/>
        <v>7888.2087494160805</v>
      </c>
      <c r="DL24" s="58">
        <f t="shared" si="21"/>
        <v>2916.331902245307</v>
      </c>
      <c r="DM24" s="58">
        <f t="shared" si="21"/>
        <v>8287.4999999994834</v>
      </c>
      <c r="DN24" s="58">
        <f t="shared" si="21"/>
        <v>-3114.2777777779702</v>
      </c>
      <c r="DO24" s="58">
        <f t="shared" si="7"/>
        <v>7888.2087494160805</v>
      </c>
      <c r="DP24" s="58">
        <f t="shared" si="4"/>
        <v>2916.331902245307</v>
      </c>
      <c r="DQ24" s="58">
        <f t="shared" si="4"/>
        <v>8287.4999999994834</v>
      </c>
      <c r="DR24" s="58">
        <f t="shared" si="4"/>
        <v>-3114.2777777779702</v>
      </c>
      <c r="DS24" s="58">
        <f>SUM(DO$15:DO24)</f>
        <v>-95115.942005489342</v>
      </c>
      <c r="DT24" s="58">
        <f>SUM(DP$15:DP24)</f>
        <v>-145531.41701661673</v>
      </c>
      <c r="DU24" s="58">
        <f>SUM(DQ$15:DQ24)</f>
        <v>-54862.499999998639</v>
      </c>
      <c r="DV24" s="58">
        <f>SUM(DR$15:DR24)</f>
        <v>-53120.88888888873</v>
      </c>
      <c r="DZ24" s="133">
        <v>45911.625</v>
      </c>
      <c r="EA24" s="54">
        <f>VLOOKUP($DZ24,$DF$12:DS$49,14)</f>
        <v>-95115.942005489342</v>
      </c>
      <c r="EB24" s="54">
        <f>VLOOKUP($DZ24,$DF$12:DT$49,15)</f>
        <v>-145531.41701661673</v>
      </c>
      <c r="EC24" s="54">
        <f>VLOOKUP($DZ24,$DF$12:DU$49,16)</f>
        <v>-54862.499999998639</v>
      </c>
      <c r="ED24" s="54">
        <f>VLOOKUP($DZ24,$DF$12:DV$49,17)</f>
        <v>-53120.88888888873</v>
      </c>
    </row>
    <row r="25" spans="1:134" x14ac:dyDescent="0.3">
      <c r="A25" s="139">
        <v>45861.625</v>
      </c>
      <c r="B25" s="76">
        <f t="shared" si="22"/>
        <v>94.21</v>
      </c>
      <c r="C25" s="31">
        <f t="shared" si="8"/>
        <v>82534.611288603846</v>
      </c>
      <c r="D25" s="32">
        <f t="shared" si="9"/>
        <v>-44062.499999999993</v>
      </c>
      <c r="E25" s="76">
        <f t="shared" si="23"/>
        <v>101.505</v>
      </c>
      <c r="F25" s="31">
        <f t="shared" si="10"/>
        <v>52799.999999999156</v>
      </c>
      <c r="G25" s="32">
        <f t="shared" si="11"/>
        <v>-15687.452499999992</v>
      </c>
      <c r="H25" s="76">
        <f t="shared" si="24"/>
        <v>120.5</v>
      </c>
      <c r="I25" s="31">
        <f t="shared" si="12"/>
        <v>-493847.41591468715</v>
      </c>
      <c r="J25" s="32">
        <f t="shared" si="13"/>
        <v>-75787.499999999985</v>
      </c>
      <c r="K25" s="76">
        <f t="shared" si="25"/>
        <v>100.22499999999999</v>
      </c>
      <c r="L25" s="31">
        <f t="shared" si="14"/>
        <v>190649.99999999558</v>
      </c>
      <c r="M25" s="32">
        <f t="shared" si="15"/>
        <v>-34505.736666666664</v>
      </c>
      <c r="N25" s="82">
        <f t="shared" si="16"/>
        <v>727138.74303662067</v>
      </c>
      <c r="O25" s="82"/>
      <c r="P25" s="82"/>
      <c r="Q25" s="82">
        <f>$G$5*SUM($O$14:O25)-$H$5*SUM($P$14:P25)</f>
        <v>-685953.76080000005</v>
      </c>
      <c r="R25" s="82">
        <f t="shared" si="17"/>
        <v>41184.982236620621</v>
      </c>
      <c r="S25" s="143"/>
      <c r="U25" s="75">
        <v>45789.625</v>
      </c>
      <c r="V25" s="54">
        <v>92.85</v>
      </c>
      <c r="W25" s="75">
        <v>45786.625</v>
      </c>
      <c r="X25" s="54">
        <v>101.578</v>
      </c>
      <c r="Y25" s="125">
        <v>45790.625</v>
      </c>
      <c r="Z25" s="54">
        <v>120.31</v>
      </c>
      <c r="AA25" s="75">
        <v>45876.625</v>
      </c>
      <c r="AB25" s="54">
        <v>99.838999999999999</v>
      </c>
      <c r="AF25" s="131">
        <v>45911.625</v>
      </c>
      <c r="AG25" s="45">
        <f t="shared" si="26"/>
        <v>81.040000000000006</v>
      </c>
      <c r="AH25" s="46">
        <f t="shared" si="27"/>
        <v>21612.943065335567</v>
      </c>
      <c r="AI25" s="46">
        <f t="shared" si="28"/>
        <v>-44062.499999999993</v>
      </c>
      <c r="AJ25" s="45">
        <f t="shared" si="29"/>
        <v>100.1640625</v>
      </c>
      <c r="AK25" s="46">
        <f t="shared" si="30"/>
        <v>71819.196428571435</v>
      </c>
      <c r="AL25" s="47">
        <f t="shared" si="31"/>
        <v>-3424.8552594866087</v>
      </c>
      <c r="AM25" s="45">
        <f t="shared" si="32"/>
        <v>112.21</v>
      </c>
      <c r="AN25" s="46">
        <f t="shared" si="33"/>
        <v>509471.44285324751</v>
      </c>
      <c r="AO25" s="47">
        <f t="shared" si="34"/>
        <v>-45321.428571428565</v>
      </c>
      <c r="AP25" s="45">
        <f t="shared" si="35"/>
        <v>100.1640625</v>
      </c>
      <c r="AQ25" s="46">
        <f t="shared" si="36"/>
        <v>62611.607142857152</v>
      </c>
      <c r="AR25" s="47">
        <f t="shared" si="37"/>
        <v>-2985.7712518601184</v>
      </c>
      <c r="AS25" s="45">
        <f t="shared" si="38"/>
        <v>101.890625</v>
      </c>
      <c r="AT25" s="46">
        <f t="shared" si="39"/>
        <v>94587.053571428565</v>
      </c>
      <c r="AU25" s="47">
        <f t="shared" si="40"/>
        <v>32.840401785715585</v>
      </c>
      <c r="AV25" s="45">
        <f t="shared" si="41"/>
        <v>101.640625</v>
      </c>
      <c r="AW25" s="46">
        <f t="shared" si="42"/>
        <v>314062.5</v>
      </c>
      <c r="AX25" s="47">
        <f t="shared" si="43"/>
        <v>1961.6650390625</v>
      </c>
      <c r="AY25" s="82">
        <f t="shared" si="44"/>
        <v>-84724.01748229441</v>
      </c>
      <c r="AZ25" s="82"/>
      <c r="BA25" s="82"/>
      <c r="BB25" s="82">
        <f>$AO$4*SUM($AZ$14:AZ25)-$AP$4*SUM($BA$14:BA25)</f>
        <v>28509.599357392377</v>
      </c>
      <c r="BC25" s="82">
        <f t="shared" si="18"/>
        <v>-113233.61683968679</v>
      </c>
      <c r="BE25" s="75">
        <v>45784.625</v>
      </c>
      <c r="BF25" s="54">
        <v>78.52</v>
      </c>
      <c r="BG25" s="75">
        <v>45926.625</v>
      </c>
      <c r="BH25" s="54">
        <v>99.3828125</v>
      </c>
      <c r="BI25" s="75">
        <v>45784.625</v>
      </c>
      <c r="BJ25" s="54">
        <v>107.19</v>
      </c>
      <c r="BK25" s="75">
        <v>45926.625</v>
      </c>
      <c r="BL25" s="54">
        <v>99.3828125</v>
      </c>
      <c r="BM25" s="75">
        <v>45905.625</v>
      </c>
      <c r="BN25" s="54">
        <v>101.3125</v>
      </c>
      <c r="BO25" s="75">
        <v>45908.625</v>
      </c>
      <c r="BP25" s="54">
        <v>101</v>
      </c>
      <c r="BR25" s="131">
        <v>45911.625</v>
      </c>
      <c r="BS25" s="45">
        <f t="shared" si="19"/>
        <v>107.7234</v>
      </c>
      <c r="BT25" s="46">
        <f t="shared" si="45"/>
        <v>87975.000000000146</v>
      </c>
      <c r="BU25" s="46">
        <f t="shared" si="46"/>
        <v>52083.333333333336</v>
      </c>
      <c r="BV25" s="45">
        <f t="shared" si="47"/>
        <v>47.65</v>
      </c>
      <c r="BW25" s="46">
        <f t="shared" si="48"/>
        <v>141693.74999999991</v>
      </c>
      <c r="BX25" s="47">
        <f t="shared" si="49"/>
        <v>52083.333333333328</v>
      </c>
      <c r="BY25" s="45">
        <f t="shared" si="50"/>
        <v>-53718.749999999753</v>
      </c>
      <c r="CA25" s="129">
        <v>45786.625</v>
      </c>
      <c r="CB25" s="54">
        <v>104.7522</v>
      </c>
      <c r="CC25" s="129">
        <v>45786.625</v>
      </c>
      <c r="CD25" s="54">
        <v>61.521999999999998</v>
      </c>
      <c r="CF25" s="131">
        <v>45911.625</v>
      </c>
      <c r="CG25" s="45">
        <f t="shared" si="20"/>
        <v>253.00800000000001</v>
      </c>
      <c r="CH25" s="46">
        <f t="shared" si="51"/>
        <v>233540.99999999965</v>
      </c>
      <c r="CI25" s="46">
        <f t="shared" si="52"/>
        <v>52083.333333333336</v>
      </c>
      <c r="CJ25" s="45">
        <f t="shared" si="53"/>
        <v>51.143000000000001</v>
      </c>
      <c r="CK25" s="46">
        <f t="shared" si="54"/>
        <v>188059.5</v>
      </c>
      <c r="CL25" s="47">
        <f t="shared" si="55"/>
        <v>46875</v>
      </c>
      <c r="CM25" s="45">
        <f t="shared" si="56"/>
        <v>50689.833333332965</v>
      </c>
      <c r="CO25" s="129">
        <v>45789.625</v>
      </c>
      <c r="CP25" s="54">
        <v>307.27499999999998</v>
      </c>
      <c r="CQ25" s="129">
        <v>45789.625</v>
      </c>
      <c r="CR25" s="54">
        <v>58.206000000000003</v>
      </c>
      <c r="CS25" s="54"/>
      <c r="CT25" s="54"/>
      <c r="CU25" s="54"/>
      <c r="CV25" s="54"/>
      <c r="CW25" s="54"/>
      <c r="CX25" s="54"/>
      <c r="CY25" s="54"/>
      <c r="DF25" s="142">
        <f t="shared" si="1"/>
        <v>45912.625</v>
      </c>
      <c r="DG25" s="58">
        <f t="shared" si="2"/>
        <v>41613.732562482444</v>
      </c>
      <c r="DH25" s="58">
        <f t="shared" si="3"/>
        <v>-141449.68813060131</v>
      </c>
      <c r="DI25" s="58">
        <f t="shared" si="5"/>
        <v>-57881.250000000946</v>
      </c>
      <c r="DJ25" s="58">
        <f t="shared" si="6"/>
        <v>48960.305555555125</v>
      </c>
      <c r="DK25" s="58">
        <f t="shared" si="21"/>
        <v>27218.623639387253</v>
      </c>
      <c r="DL25" s="58">
        <f t="shared" si="21"/>
        <v>-28216.071290914522</v>
      </c>
      <c r="DM25" s="58">
        <f t="shared" si="21"/>
        <v>-4162.5000000011933</v>
      </c>
      <c r="DN25" s="58">
        <f t="shared" si="21"/>
        <v>-1729.5277777778392</v>
      </c>
      <c r="DO25" s="58">
        <f t="shared" si="7"/>
        <v>27218.623639387253</v>
      </c>
      <c r="DP25" s="58">
        <f t="shared" si="4"/>
        <v>-28216.071290914522</v>
      </c>
      <c r="DQ25" s="58">
        <f t="shared" si="4"/>
        <v>-4162.5000000011933</v>
      </c>
      <c r="DR25" s="58">
        <f t="shared" si="4"/>
        <v>-1729.5277777778392</v>
      </c>
      <c r="DS25" s="58">
        <f>SUM(DO$15:DO25)</f>
        <v>-67897.318366102088</v>
      </c>
      <c r="DT25" s="58">
        <f>SUM(DP$15:DP25)</f>
        <v>-173747.48830753125</v>
      </c>
      <c r="DU25" s="58">
        <f>SUM(DQ$15:DQ25)</f>
        <v>-59024.999999999833</v>
      </c>
      <c r="DV25" s="58">
        <f>SUM(DR$15:DR25)</f>
        <v>-54850.41666666657</v>
      </c>
      <c r="DZ25" s="133">
        <v>45912.625</v>
      </c>
      <c r="EA25" s="54">
        <f>VLOOKUP($DZ25,$DF$12:DS$49,14)</f>
        <v>-67897.318366102088</v>
      </c>
      <c r="EB25" s="54">
        <f>VLOOKUP($DZ25,$DF$12:DT$49,15)</f>
        <v>-173747.48830753125</v>
      </c>
      <c r="EC25" s="54">
        <f>VLOOKUP($DZ25,$DF$12:DU$49,16)</f>
        <v>-59024.999999999833</v>
      </c>
      <c r="ED25" s="54">
        <f>VLOOKUP($DZ25,$DF$12:DV$49,17)</f>
        <v>-54850.41666666657</v>
      </c>
    </row>
    <row r="26" spans="1:134" x14ac:dyDescent="0.3">
      <c r="A26" s="139">
        <v>45862.625</v>
      </c>
      <c r="B26" s="76">
        <f t="shared" si="22"/>
        <v>94.34</v>
      </c>
      <c r="C26" s="31">
        <f t="shared" si="8"/>
        <v>117145.89989350043</v>
      </c>
      <c r="D26" s="32">
        <f t="shared" si="9"/>
        <v>-47000</v>
      </c>
      <c r="E26" s="76">
        <f t="shared" si="23"/>
        <v>101.15300000000001</v>
      </c>
      <c r="F26" s="31">
        <f t="shared" si="10"/>
        <v>-17599.99999999877</v>
      </c>
      <c r="G26" s="32">
        <f t="shared" si="11"/>
        <v>-16733.282666666666</v>
      </c>
      <c r="H26" s="76">
        <f t="shared" si="24"/>
        <v>120.16</v>
      </c>
      <c r="I26" s="31">
        <f t="shared" si="12"/>
        <v>-613781.78835111088</v>
      </c>
      <c r="J26" s="32">
        <f t="shared" si="13"/>
        <v>-80840</v>
      </c>
      <c r="K26" s="76">
        <f t="shared" si="25"/>
        <v>99.679000000000002</v>
      </c>
      <c r="L26" s="31">
        <f t="shared" si="14"/>
        <v>-33210.000000001259</v>
      </c>
      <c r="M26" s="32">
        <f t="shared" si="15"/>
        <v>-36806.119111111118</v>
      </c>
      <c r="N26" s="82">
        <f t="shared" si="16"/>
        <v>729084.85180016432</v>
      </c>
      <c r="O26" s="82"/>
      <c r="P26" s="82"/>
      <c r="Q26" s="82">
        <f>$G$5*SUM($O$14:O26)-$H$5*SUM($P$14:P26)</f>
        <v>-685953.76080000005</v>
      </c>
      <c r="R26" s="82">
        <f t="shared" si="17"/>
        <v>43131.091000164277</v>
      </c>
      <c r="S26" s="143"/>
      <c r="U26" s="75">
        <v>45790.625</v>
      </c>
      <c r="V26" s="54">
        <v>93.02</v>
      </c>
      <c r="W26" s="75">
        <v>45789.625</v>
      </c>
      <c r="X26" s="54">
        <v>101.15600000000001</v>
      </c>
      <c r="Y26" s="125">
        <v>45791.625</v>
      </c>
      <c r="Z26" s="54">
        <v>120.27</v>
      </c>
      <c r="AA26" s="75">
        <v>45877.625</v>
      </c>
      <c r="AB26" s="54">
        <v>99.611000000000004</v>
      </c>
      <c r="AF26" s="131">
        <v>45912.625</v>
      </c>
      <c r="AG26" s="45">
        <f t="shared" si="26"/>
        <v>80.959999999999994</v>
      </c>
      <c r="AH26" s="46">
        <f t="shared" si="27"/>
        <v>-3087.5632950483346</v>
      </c>
      <c r="AI26" s="46">
        <f t="shared" si="28"/>
        <v>-47000</v>
      </c>
      <c r="AJ26" s="45">
        <f t="shared" si="29"/>
        <v>99.9921875</v>
      </c>
      <c r="AK26" s="46">
        <f t="shared" si="30"/>
        <v>47879.46428571429</v>
      </c>
      <c r="AL26" s="47">
        <f t="shared" si="31"/>
        <v>-3653.178943452378</v>
      </c>
      <c r="AM26" s="45">
        <f t="shared" si="32"/>
        <v>112.01</v>
      </c>
      <c r="AN26" s="46">
        <f t="shared" si="33"/>
        <v>462730.94350891461</v>
      </c>
      <c r="AO26" s="47">
        <f t="shared" si="34"/>
        <v>-48342.857142857145</v>
      </c>
      <c r="AP26" s="45">
        <f t="shared" si="35"/>
        <v>99.9921875</v>
      </c>
      <c r="AQ26" s="46">
        <f t="shared" si="36"/>
        <v>41741.071428571435</v>
      </c>
      <c r="AR26" s="47">
        <f t="shared" si="37"/>
        <v>-3184.8226686507951</v>
      </c>
      <c r="AS26" s="45">
        <f t="shared" si="38"/>
        <v>101.546875</v>
      </c>
      <c r="AT26" s="46">
        <f t="shared" si="39"/>
        <v>76171.875</v>
      </c>
      <c r="AU26" s="47">
        <f t="shared" si="40"/>
        <v>35.029761904763291</v>
      </c>
      <c r="AV26" s="45">
        <f t="shared" si="41"/>
        <v>101.171875</v>
      </c>
      <c r="AW26" s="46">
        <f t="shared" si="42"/>
        <v>278906.25</v>
      </c>
      <c r="AX26" s="47">
        <f t="shared" si="43"/>
        <v>2092.4427083333358</v>
      </c>
      <c r="AY26" s="82">
        <f t="shared" si="44"/>
        <v>-112940.08877320893</v>
      </c>
      <c r="AZ26" s="82"/>
      <c r="BA26" s="82"/>
      <c r="BB26" s="82">
        <f>$AO$4*SUM($AZ$14:AZ26)-$AP$4*SUM($BA$14:BA26)</f>
        <v>28509.599357392377</v>
      </c>
      <c r="BC26" s="82">
        <f t="shared" si="18"/>
        <v>-141449.68813060131</v>
      </c>
      <c r="BE26" s="75">
        <v>45785.625</v>
      </c>
      <c r="BF26" s="54">
        <v>78.5</v>
      </c>
      <c r="BG26" s="75">
        <v>45929.625</v>
      </c>
      <c r="BH26" s="54">
        <v>99.4921875</v>
      </c>
      <c r="BI26" s="75">
        <v>45785.625</v>
      </c>
      <c r="BJ26" s="54">
        <v>106.65</v>
      </c>
      <c r="BK26" s="75">
        <v>45929.625</v>
      </c>
      <c r="BL26" s="54">
        <v>99.4921875</v>
      </c>
      <c r="BM26" s="75">
        <v>45908.625</v>
      </c>
      <c r="BN26" s="54">
        <v>101.6875</v>
      </c>
      <c r="BO26" s="75">
        <v>45909.625</v>
      </c>
      <c r="BP26" s="54">
        <v>100.4375</v>
      </c>
      <c r="BR26" s="131">
        <v>45912.625</v>
      </c>
      <c r="BS26" s="45">
        <f t="shared" si="19"/>
        <v>107.64149999999999</v>
      </c>
      <c r="BT26" s="46">
        <f t="shared" si="45"/>
        <v>67499.99999999901</v>
      </c>
      <c r="BU26" s="46">
        <f t="shared" si="46"/>
        <v>55555.555555555562</v>
      </c>
      <c r="BV26" s="45">
        <f t="shared" si="47"/>
        <v>47.94</v>
      </c>
      <c r="BW26" s="46">
        <f t="shared" si="48"/>
        <v>125381.24999999996</v>
      </c>
      <c r="BX26" s="47">
        <f t="shared" si="49"/>
        <v>55555.555555555562</v>
      </c>
      <c r="BY26" s="45">
        <f t="shared" si="50"/>
        <v>-57881.250000000946</v>
      </c>
      <c r="CA26" s="129">
        <v>45789.625</v>
      </c>
      <c r="CB26" s="54">
        <v>106.1426</v>
      </c>
      <c r="CC26" s="129">
        <v>45789.625</v>
      </c>
      <c r="CD26" s="54">
        <v>55.463999999999999</v>
      </c>
      <c r="CF26" s="131">
        <v>45912.625</v>
      </c>
      <c r="CG26" s="45">
        <f t="shared" si="20"/>
        <v>252.27</v>
      </c>
      <c r="CH26" s="46">
        <f t="shared" si="51"/>
        <v>241658.99999999968</v>
      </c>
      <c r="CI26" s="46">
        <f t="shared" si="52"/>
        <v>55555.555555555562</v>
      </c>
      <c r="CJ26" s="45">
        <f t="shared" si="53"/>
        <v>50.945999999999998</v>
      </c>
      <c r="CK26" s="46">
        <f t="shared" si="54"/>
        <v>198254.25000000015</v>
      </c>
      <c r="CL26" s="47">
        <f t="shared" si="55"/>
        <v>50000</v>
      </c>
      <c r="CM26" s="45">
        <f t="shared" si="56"/>
        <v>48960.305555555125</v>
      </c>
      <c r="CO26" s="129">
        <v>45790.625</v>
      </c>
      <c r="CP26" s="54">
        <v>296.28399999999999</v>
      </c>
      <c r="CQ26" s="129">
        <v>45790.625</v>
      </c>
      <c r="CR26" s="54">
        <v>55.77</v>
      </c>
      <c r="CS26" s="54"/>
      <c r="CT26" s="54"/>
      <c r="CU26" s="54"/>
      <c r="CV26" s="54"/>
      <c r="CW26" s="54"/>
      <c r="CX26" s="54"/>
      <c r="CY26" s="54"/>
      <c r="DF26" s="142">
        <f t="shared" si="1"/>
        <v>45915.625</v>
      </c>
      <c r="DG26" s="58">
        <f t="shared" si="2"/>
        <v>33492.704933410801</v>
      </c>
      <c r="DH26" s="58">
        <f t="shared" si="3"/>
        <v>-124177.25437882124</v>
      </c>
      <c r="DI26" s="58">
        <f t="shared" si="5"/>
        <v>-56224.999999998516</v>
      </c>
      <c r="DJ26" s="58">
        <f t="shared" si="6"/>
        <v>52312.972222222161</v>
      </c>
      <c r="DK26" s="58">
        <f t="shared" si="21"/>
        <v>-8121.0276290716429</v>
      </c>
      <c r="DL26" s="58">
        <f t="shared" si="21"/>
        <v>17272.433751780074</v>
      </c>
      <c r="DM26" s="58">
        <f t="shared" si="21"/>
        <v>1656.2500000024302</v>
      </c>
      <c r="DN26" s="58">
        <f t="shared" si="21"/>
        <v>3352.6666666670353</v>
      </c>
      <c r="DO26" s="58">
        <f t="shared" si="7"/>
        <v>-8121.0276290716429</v>
      </c>
      <c r="DP26" s="58">
        <f t="shared" si="4"/>
        <v>17272.433751780074</v>
      </c>
      <c r="DQ26" s="58">
        <f t="shared" si="4"/>
        <v>1656.2500000024302</v>
      </c>
      <c r="DR26" s="58">
        <f t="shared" si="4"/>
        <v>3352.6666666670353</v>
      </c>
      <c r="DS26" s="58">
        <f>SUM(DO$15:DO26)</f>
        <v>-76018.345995173731</v>
      </c>
      <c r="DT26" s="58">
        <f>SUM(DP$15:DP26)</f>
        <v>-156475.05455575118</v>
      </c>
      <c r="DU26" s="58">
        <f>SUM(DQ$15:DQ26)</f>
        <v>-57368.749999997402</v>
      </c>
      <c r="DV26" s="58">
        <f>SUM(DR$15:DR26)</f>
        <v>-51497.749999999534</v>
      </c>
      <c r="DZ26" s="133">
        <v>45915.625</v>
      </c>
      <c r="EA26" s="54">
        <f>VLOOKUP($DZ26,$DF$12:DS$49,14)</f>
        <v>-76018.345995173731</v>
      </c>
      <c r="EB26" s="54">
        <f>VLOOKUP($DZ26,$DF$12:DT$49,15)</f>
        <v>-156475.05455575118</v>
      </c>
      <c r="EC26" s="54">
        <f>VLOOKUP($DZ26,$DF$12:DU$49,16)</f>
        <v>-57368.749999997402</v>
      </c>
      <c r="ED26" s="54">
        <f>VLOOKUP($DZ26,$DF$12:DV$49,17)</f>
        <v>-51497.749999999534</v>
      </c>
    </row>
    <row r="27" spans="1:134" x14ac:dyDescent="0.3">
      <c r="A27" s="139">
        <v>45863.625</v>
      </c>
      <c r="B27" s="76">
        <f t="shared" si="22"/>
        <v>94.27</v>
      </c>
      <c r="C27" s="31">
        <f t="shared" si="8"/>
        <v>98509.052183171079</v>
      </c>
      <c r="D27" s="32">
        <f t="shared" si="9"/>
        <v>-49937.499999999993</v>
      </c>
      <c r="E27" s="76">
        <f t="shared" si="23"/>
        <v>101.054</v>
      </c>
      <c r="F27" s="31">
        <f t="shared" si="10"/>
        <v>-37399.99999999952</v>
      </c>
      <c r="G27" s="32">
        <f t="shared" si="11"/>
        <v>-17779.112833333322</v>
      </c>
      <c r="H27" s="76">
        <f t="shared" si="24"/>
        <v>120.06</v>
      </c>
      <c r="I27" s="31">
        <f t="shared" si="12"/>
        <v>-649056.60377358471</v>
      </c>
      <c r="J27" s="32">
        <f t="shared" si="13"/>
        <v>-85892.499999999985</v>
      </c>
      <c r="K27" s="76">
        <f t="shared" si="25"/>
        <v>99.524000000000001</v>
      </c>
      <c r="L27" s="31">
        <f t="shared" si="14"/>
        <v>-96760.000000001732</v>
      </c>
      <c r="M27" s="32">
        <f t="shared" si="15"/>
        <v>-39106.501555555536</v>
      </c>
      <c r="N27" s="82">
        <f t="shared" si="16"/>
        <v>702833.26723453135</v>
      </c>
      <c r="O27" s="82"/>
      <c r="P27" s="82"/>
      <c r="Q27" s="82">
        <f>$G$5*SUM($O$14:O27)-$H$5*SUM($P$14:P27)</f>
        <v>-685953.76080000005</v>
      </c>
      <c r="R27" s="82">
        <f t="shared" si="17"/>
        <v>16879.5064345313</v>
      </c>
      <c r="S27" s="143"/>
      <c r="U27" s="75">
        <v>45791.625</v>
      </c>
      <c r="V27" s="54">
        <v>92.87</v>
      </c>
      <c r="W27" s="75">
        <v>45790.625</v>
      </c>
      <c r="X27" s="54">
        <v>101.125</v>
      </c>
      <c r="Y27" s="125">
        <v>45792.625</v>
      </c>
      <c r="Z27" s="54">
        <v>120.4</v>
      </c>
      <c r="AA27" s="75">
        <v>45880.625</v>
      </c>
      <c r="AB27" s="54">
        <v>99.561999999999998</v>
      </c>
      <c r="AF27" s="131">
        <v>45915.625</v>
      </c>
      <c r="AG27" s="45">
        <f t="shared" si="26"/>
        <v>81.19</v>
      </c>
      <c r="AH27" s="46">
        <f t="shared" si="27"/>
        <v>67926.392491046703</v>
      </c>
      <c r="AI27" s="46">
        <f t="shared" si="28"/>
        <v>-55812.5</v>
      </c>
      <c r="AJ27" s="45">
        <f t="shared" si="29"/>
        <v>100.09375</v>
      </c>
      <c r="AK27" s="46">
        <f t="shared" si="30"/>
        <v>62025.669642857138</v>
      </c>
      <c r="AL27" s="47">
        <f t="shared" si="31"/>
        <v>-4338.1499953497005</v>
      </c>
      <c r="AM27" s="45">
        <f t="shared" si="32"/>
        <v>112.36</v>
      </c>
      <c r="AN27" s="46">
        <f t="shared" si="33"/>
        <v>544526.81736149581</v>
      </c>
      <c r="AO27" s="47">
        <f t="shared" si="34"/>
        <v>-57407.142857142862</v>
      </c>
      <c r="AP27" s="45">
        <f t="shared" si="35"/>
        <v>100.09375</v>
      </c>
      <c r="AQ27" s="46">
        <f t="shared" si="36"/>
        <v>54073.66071428571</v>
      </c>
      <c r="AR27" s="47">
        <f t="shared" si="37"/>
        <v>-3781.976919022818</v>
      </c>
      <c r="AS27" s="45">
        <f t="shared" si="38"/>
        <v>101.71875</v>
      </c>
      <c r="AT27" s="46">
        <f t="shared" si="39"/>
        <v>85379.46428571429</v>
      </c>
      <c r="AU27" s="47">
        <f t="shared" si="40"/>
        <v>41.597842261906408</v>
      </c>
      <c r="AV27" s="45">
        <f t="shared" si="41"/>
        <v>101.4375</v>
      </c>
      <c r="AW27" s="46">
        <f t="shared" si="42"/>
        <v>298828.125</v>
      </c>
      <c r="AX27" s="47">
        <f t="shared" si="43"/>
        <v>2484.7757161458376</v>
      </c>
      <c r="AY27" s="82">
        <f t="shared" si="44"/>
        <v>-95667.655021428858</v>
      </c>
      <c r="AZ27" s="82"/>
      <c r="BA27" s="82"/>
      <c r="BB27" s="82">
        <f>$AO$4*SUM($AZ$14:AZ27)-$AP$4*SUM($BA$14:BA27)</f>
        <v>28509.599357392377</v>
      </c>
      <c r="BC27" s="82">
        <f t="shared" si="18"/>
        <v>-124177.25437882124</v>
      </c>
      <c r="BE27" s="75">
        <v>45786.625</v>
      </c>
      <c r="BF27" s="54">
        <v>78.55</v>
      </c>
      <c r="BG27" s="75">
        <v>45930.625</v>
      </c>
      <c r="BH27" s="54">
        <v>99.5078125</v>
      </c>
      <c r="BI27" s="75">
        <v>45786.625</v>
      </c>
      <c r="BJ27" s="54">
        <v>106.61</v>
      </c>
      <c r="BK27" s="75">
        <v>45930.625</v>
      </c>
      <c r="BL27" s="54">
        <v>99.5078125</v>
      </c>
      <c r="BM27" s="75">
        <v>45909.625</v>
      </c>
      <c r="BN27" s="54">
        <v>101.390625</v>
      </c>
      <c r="BO27" s="75">
        <v>45910.625</v>
      </c>
      <c r="BP27" s="54">
        <v>100.953125</v>
      </c>
      <c r="BR27" s="131">
        <v>45915.625</v>
      </c>
      <c r="BS27" s="45">
        <f t="shared" si="19"/>
        <v>107.8558</v>
      </c>
      <c r="BT27" s="46">
        <f t="shared" si="45"/>
        <v>121075.00000000115</v>
      </c>
      <c r="BU27" s="46">
        <f t="shared" si="46"/>
        <v>65972.222222222234</v>
      </c>
      <c r="BV27" s="45">
        <f t="shared" si="47"/>
        <v>47.017000000000003</v>
      </c>
      <c r="BW27" s="46">
        <f t="shared" si="48"/>
        <v>177299.99999999968</v>
      </c>
      <c r="BX27" s="47">
        <f t="shared" si="49"/>
        <v>65972.222222222219</v>
      </c>
      <c r="BY27" s="45">
        <f t="shared" si="50"/>
        <v>-56224.999999998516</v>
      </c>
      <c r="CA27" s="129">
        <v>45790.625</v>
      </c>
      <c r="CB27" s="54">
        <v>106.55589999999999</v>
      </c>
      <c r="CC27" s="129">
        <v>45790.625</v>
      </c>
      <c r="CD27" s="54">
        <v>54.054000000000002</v>
      </c>
      <c r="CF27" s="131">
        <v>45915.625</v>
      </c>
      <c r="CG27" s="45">
        <f t="shared" si="20"/>
        <v>247.80699999999999</v>
      </c>
      <c r="CH27" s="46">
        <f t="shared" si="51"/>
        <v>290751.99999999988</v>
      </c>
      <c r="CI27" s="46">
        <f t="shared" si="52"/>
        <v>65972.222222222234</v>
      </c>
      <c r="CJ27" s="45">
        <f t="shared" si="53"/>
        <v>50.042000000000002</v>
      </c>
      <c r="CK27" s="46">
        <f t="shared" si="54"/>
        <v>245036.24999999997</v>
      </c>
      <c r="CL27" s="47">
        <f t="shared" si="55"/>
        <v>59375</v>
      </c>
      <c r="CM27" s="45">
        <f t="shared" si="56"/>
        <v>52312.972222222161</v>
      </c>
      <c r="CO27" s="129">
        <v>45791.625</v>
      </c>
      <c r="CP27" s="54">
        <v>297.67</v>
      </c>
      <c r="CQ27" s="129">
        <v>45791.625</v>
      </c>
      <c r="CR27" s="54">
        <v>56.567999999999998</v>
      </c>
      <c r="CS27" s="54"/>
      <c r="CT27" s="54"/>
      <c r="CU27" s="54"/>
      <c r="CV27" s="54"/>
      <c r="CW27" s="54"/>
      <c r="CX27" s="54"/>
      <c r="CY27" s="54"/>
      <c r="DF27" s="142">
        <f t="shared" si="1"/>
        <v>45916.625</v>
      </c>
      <c r="DG27" s="58">
        <f t="shared" si="2"/>
        <v>21886.603851248568</v>
      </c>
      <c r="DH27" s="58">
        <f t="shared" si="3"/>
        <v>-107144.25232323403</v>
      </c>
      <c r="DI27" s="58">
        <f t="shared" si="5"/>
        <v>-41031.249999998021</v>
      </c>
      <c r="DJ27" s="58">
        <f t="shared" si="6"/>
        <v>46793.44444444406</v>
      </c>
      <c r="DK27" s="58">
        <f t="shared" si="21"/>
        <v>-11606.101082162233</v>
      </c>
      <c r="DL27" s="58">
        <f t="shared" si="21"/>
        <v>17033.002055587203</v>
      </c>
      <c r="DM27" s="58">
        <f t="shared" si="21"/>
        <v>15193.750000000495</v>
      </c>
      <c r="DN27" s="58">
        <f t="shared" si="21"/>
        <v>-5519.5277777781012</v>
      </c>
      <c r="DO27" s="58">
        <f t="shared" si="7"/>
        <v>-11606.101082162233</v>
      </c>
      <c r="DP27" s="58">
        <f t="shared" si="4"/>
        <v>17033.002055587203</v>
      </c>
      <c r="DQ27" s="58">
        <f t="shared" si="4"/>
        <v>15193.750000000495</v>
      </c>
      <c r="DR27" s="58">
        <f t="shared" si="4"/>
        <v>-5519.5277777781012</v>
      </c>
      <c r="DS27" s="58">
        <f>SUM(DO$15:DO27)</f>
        <v>-87624.447077335964</v>
      </c>
      <c r="DT27" s="58">
        <f>SUM(DP$15:DP27)</f>
        <v>-139442.05250016396</v>
      </c>
      <c r="DU27" s="58">
        <f>SUM(DQ$15:DQ27)</f>
        <v>-42174.999999996908</v>
      </c>
      <c r="DV27" s="58">
        <f>SUM(DR$15:DR27)</f>
        <v>-57017.277777777635</v>
      </c>
      <c r="DZ27" s="133">
        <v>45916.625</v>
      </c>
      <c r="EA27" s="54">
        <f>VLOOKUP($DZ27,$DF$12:DS$49,14)</f>
        <v>-87624.447077335964</v>
      </c>
      <c r="EB27" s="54">
        <f>VLOOKUP($DZ27,$DF$12:DT$49,15)</f>
        <v>-139442.05250016396</v>
      </c>
      <c r="EC27" s="54">
        <f>VLOOKUP($DZ27,$DF$12:DU$49,16)</f>
        <v>-42174.999999996908</v>
      </c>
      <c r="ED27" s="54">
        <f>VLOOKUP($DZ27,$DF$12:DV$49,17)</f>
        <v>-57017.277777777635</v>
      </c>
    </row>
    <row r="28" spans="1:134" x14ac:dyDescent="0.3">
      <c r="A28" s="139">
        <v>45866.625</v>
      </c>
      <c r="B28" s="76">
        <f t="shared" si="22"/>
        <v>94.37</v>
      </c>
      <c r="C28" s="31">
        <f t="shared" si="8"/>
        <v>125133.12034078683</v>
      </c>
      <c r="D28" s="32">
        <f t="shared" si="9"/>
        <v>-58749.999999999993</v>
      </c>
      <c r="E28" s="76">
        <f t="shared" si="23"/>
        <v>101.17</v>
      </c>
      <c r="F28" s="31">
        <f t="shared" si="10"/>
        <v>-14199.999999999591</v>
      </c>
      <c r="G28" s="32">
        <f t="shared" si="11"/>
        <v>-20916.603333333325</v>
      </c>
      <c r="H28" s="76">
        <f t="shared" si="24"/>
        <v>120.25</v>
      </c>
      <c r="I28" s="31">
        <f t="shared" si="12"/>
        <v>-582034.45447087905</v>
      </c>
      <c r="J28" s="32">
        <f t="shared" si="13"/>
        <v>-101049.99999999999</v>
      </c>
      <c r="K28" s="76">
        <f t="shared" si="25"/>
        <v>99.715000000000003</v>
      </c>
      <c r="L28" s="31">
        <f t="shared" si="14"/>
        <v>-18450.000000000698</v>
      </c>
      <c r="M28" s="32">
        <f t="shared" si="15"/>
        <v>-46007.648888888878</v>
      </c>
      <c r="N28" s="82">
        <f t="shared" si="16"/>
        <v>720126.52925610926</v>
      </c>
      <c r="O28" s="82"/>
      <c r="P28" s="82"/>
      <c r="Q28" s="82">
        <f>$G$5*SUM($O$14:O28)-$H$5*SUM($P$14:P28)</f>
        <v>-685953.76080000005</v>
      </c>
      <c r="R28" s="82">
        <f t="shared" si="17"/>
        <v>34172.768456109217</v>
      </c>
      <c r="S28" s="143"/>
      <c r="U28" s="75">
        <v>45792.625</v>
      </c>
      <c r="V28" s="54">
        <v>92.74</v>
      </c>
      <c r="W28" s="75">
        <v>45791.625</v>
      </c>
      <c r="X28" s="54">
        <v>101.087</v>
      </c>
      <c r="Y28" s="125">
        <v>45793.625</v>
      </c>
      <c r="Z28" s="54">
        <v>120.73</v>
      </c>
      <c r="AA28" s="75">
        <v>45881.625</v>
      </c>
      <c r="AB28" s="54">
        <v>99.405000000000001</v>
      </c>
      <c r="AF28" s="131">
        <v>45916.625</v>
      </c>
      <c r="AG28" s="45">
        <f t="shared" si="26"/>
        <v>81.13</v>
      </c>
      <c r="AH28" s="46">
        <f t="shared" si="27"/>
        <v>49401.01272076225</v>
      </c>
      <c r="AI28" s="46">
        <f t="shared" si="28"/>
        <v>-58749.999999999993</v>
      </c>
      <c r="AJ28" s="45">
        <f t="shared" si="29"/>
        <v>100.15625</v>
      </c>
      <c r="AK28" s="46">
        <f t="shared" si="30"/>
        <v>70731.02678571429</v>
      </c>
      <c r="AL28" s="47">
        <f t="shared" si="31"/>
        <v>-4566.4736793154771</v>
      </c>
      <c r="AM28" s="45">
        <f t="shared" si="32"/>
        <v>112.26</v>
      </c>
      <c r="AN28" s="46">
        <f t="shared" si="33"/>
        <v>521156.56768933218</v>
      </c>
      <c r="AO28" s="47">
        <f t="shared" si="34"/>
        <v>-60428.571428571428</v>
      </c>
      <c r="AP28" s="45">
        <f t="shared" si="35"/>
        <v>100.15625</v>
      </c>
      <c r="AQ28" s="46">
        <f t="shared" si="36"/>
        <v>61662.946428571435</v>
      </c>
      <c r="AR28" s="47">
        <f t="shared" si="37"/>
        <v>-3981.0283358134911</v>
      </c>
      <c r="AS28" s="45">
        <f t="shared" si="38"/>
        <v>101.765625</v>
      </c>
      <c r="AT28" s="46">
        <f t="shared" si="39"/>
        <v>87890.625</v>
      </c>
      <c r="AU28" s="47">
        <f t="shared" si="40"/>
        <v>43.787202380954113</v>
      </c>
      <c r="AV28" s="45">
        <f t="shared" si="41"/>
        <v>101.578125</v>
      </c>
      <c r="AW28" s="46">
        <f t="shared" si="42"/>
        <v>309375</v>
      </c>
      <c r="AX28" s="47">
        <f t="shared" si="43"/>
        <v>2615.5533854166679</v>
      </c>
      <c r="AY28" s="82">
        <f t="shared" si="44"/>
        <v>-78634.652965841655</v>
      </c>
      <c r="AZ28" s="82"/>
      <c r="BA28" s="82"/>
      <c r="BB28" s="82">
        <f>$AO$4*SUM($AZ$14:AZ28)-$AP$4*SUM($BA$14:BA28)</f>
        <v>28509.599357392377</v>
      </c>
      <c r="BC28" s="82">
        <f t="shared" si="18"/>
        <v>-107144.25232323403</v>
      </c>
      <c r="BE28" s="75">
        <v>45789.625</v>
      </c>
      <c r="BF28" s="54">
        <v>79.33</v>
      </c>
      <c r="BG28" s="75">
        <v>45931.625</v>
      </c>
      <c r="BH28" s="54">
        <v>99.765625</v>
      </c>
      <c r="BI28" s="75">
        <v>45789.625</v>
      </c>
      <c r="BJ28" s="54">
        <v>106.59</v>
      </c>
      <c r="BK28" s="75">
        <v>45931.625</v>
      </c>
      <c r="BL28" s="54">
        <v>99.765625</v>
      </c>
      <c r="BM28" s="75">
        <v>45910.625</v>
      </c>
      <c r="BN28" s="54">
        <v>101.6875</v>
      </c>
      <c r="BO28" s="75">
        <v>45911.625</v>
      </c>
      <c r="BP28" s="54">
        <v>101.640625</v>
      </c>
      <c r="BR28" s="131">
        <v>45916.625</v>
      </c>
      <c r="BS28" s="45">
        <f t="shared" si="19"/>
        <v>107.8259</v>
      </c>
      <c r="BT28" s="46">
        <f t="shared" si="45"/>
        <v>113600.0000000017</v>
      </c>
      <c r="BU28" s="46">
        <f t="shared" si="46"/>
        <v>69444.444444444438</v>
      </c>
      <c r="BV28" s="45">
        <f t="shared" si="47"/>
        <v>47.42</v>
      </c>
      <c r="BW28" s="46">
        <f t="shared" si="48"/>
        <v>154631.24999999971</v>
      </c>
      <c r="BX28" s="47">
        <f t="shared" si="49"/>
        <v>69444.444444444438</v>
      </c>
      <c r="BY28" s="45">
        <f t="shared" si="50"/>
        <v>-41031.249999998021</v>
      </c>
      <c r="CA28" s="129">
        <v>45791.625</v>
      </c>
      <c r="CB28" s="54">
        <v>106.1994</v>
      </c>
      <c r="CC28" s="129">
        <v>45791.625</v>
      </c>
      <c r="CD28" s="54">
        <v>55.914999999999999</v>
      </c>
      <c r="CF28" s="131">
        <v>45916.625</v>
      </c>
      <c r="CG28" s="45">
        <f t="shared" si="20"/>
        <v>251.81700000000001</v>
      </c>
      <c r="CH28" s="46">
        <f t="shared" si="51"/>
        <v>246641.99999999971</v>
      </c>
      <c r="CI28" s="46">
        <f t="shared" si="52"/>
        <v>69444.444444444438</v>
      </c>
      <c r="CJ28" s="45">
        <f t="shared" si="53"/>
        <v>50.780999999999999</v>
      </c>
      <c r="CK28" s="46">
        <f t="shared" si="54"/>
        <v>206793.00000000009</v>
      </c>
      <c r="CL28" s="47">
        <f t="shared" si="55"/>
        <v>62500</v>
      </c>
      <c r="CM28" s="45">
        <f t="shared" si="56"/>
        <v>46793.44444444406</v>
      </c>
      <c r="CO28" s="129">
        <v>45792.625</v>
      </c>
      <c r="CP28" s="54">
        <v>301.32</v>
      </c>
      <c r="CQ28" s="129">
        <v>45792.625</v>
      </c>
      <c r="CR28" s="54">
        <v>57.174999999999997</v>
      </c>
      <c r="CS28" s="54"/>
      <c r="CT28" s="54"/>
      <c r="CU28" s="54"/>
      <c r="CV28" s="54"/>
      <c r="CW28" s="54"/>
      <c r="CX28" s="54"/>
      <c r="CY28" s="54"/>
      <c r="DF28" s="142">
        <f t="shared" si="1"/>
        <v>45917.625</v>
      </c>
      <c r="DG28" s="58">
        <f t="shared" si="2"/>
        <v>39389.197294270649</v>
      </c>
      <c r="DH28" s="58">
        <f t="shared" si="3"/>
        <v>-110695.14504271743</v>
      </c>
      <c r="DI28" s="58">
        <f t="shared" si="5"/>
        <v>-36425.000000000728</v>
      </c>
      <c r="DJ28" s="58">
        <f t="shared" si="6"/>
        <v>51306.416666666453</v>
      </c>
      <c r="DK28" s="58">
        <f t="shared" si="21"/>
        <v>17502.59344302208</v>
      </c>
      <c r="DL28" s="58">
        <f t="shared" si="21"/>
        <v>-3550.8927194833959</v>
      </c>
      <c r="DM28" s="58">
        <f t="shared" si="21"/>
        <v>4606.2499999972933</v>
      </c>
      <c r="DN28" s="58">
        <f t="shared" si="21"/>
        <v>4512.9722222223936</v>
      </c>
      <c r="DO28" s="58">
        <f t="shared" si="7"/>
        <v>17502.59344302208</v>
      </c>
      <c r="DP28" s="58">
        <f t="shared" si="4"/>
        <v>-3550.8927194833959</v>
      </c>
      <c r="DQ28" s="58">
        <f t="shared" si="4"/>
        <v>4606.2499999972933</v>
      </c>
      <c r="DR28" s="58">
        <f t="shared" si="4"/>
        <v>4512.9722222223936</v>
      </c>
      <c r="DS28" s="58">
        <f>SUM(DO$15:DO28)</f>
        <v>-70121.853634313884</v>
      </c>
      <c r="DT28" s="58">
        <f>SUM(DP$15:DP28)</f>
        <v>-142992.94521964737</v>
      </c>
      <c r="DU28" s="58">
        <f>SUM(DQ$15:DQ28)</f>
        <v>-37568.749999999614</v>
      </c>
      <c r="DV28" s="58">
        <f>SUM(DR$15:DR28)</f>
        <v>-52504.305555555242</v>
      </c>
      <c r="DZ28" s="133">
        <v>45917.625</v>
      </c>
      <c r="EA28" s="54">
        <f>VLOOKUP($DZ28,$DF$12:DS$49,14)</f>
        <v>-70121.853634313884</v>
      </c>
      <c r="EB28" s="54">
        <f>VLOOKUP($DZ28,$DF$12:DT$49,15)</f>
        <v>-142992.94521964737</v>
      </c>
      <c r="EC28" s="54">
        <f>VLOOKUP($DZ28,$DF$12:DU$49,16)</f>
        <v>-37568.749999999614</v>
      </c>
      <c r="ED28" s="54">
        <f>VLOOKUP($DZ28,$DF$12:DV$49,17)</f>
        <v>-52504.305555555242</v>
      </c>
    </row>
    <row r="29" spans="1:134" x14ac:dyDescent="0.3">
      <c r="A29" s="139">
        <v>45867.625</v>
      </c>
      <c r="B29" s="76">
        <f t="shared" si="22"/>
        <v>94.46</v>
      </c>
      <c r="C29" s="31">
        <f t="shared" si="8"/>
        <v>149094.78168264046</v>
      </c>
      <c r="D29" s="32">
        <f t="shared" si="9"/>
        <v>-61687.5</v>
      </c>
      <c r="E29" s="76">
        <f t="shared" si="23"/>
        <v>101.105</v>
      </c>
      <c r="F29" s="31">
        <f t="shared" si="10"/>
        <v>-27199.999999999134</v>
      </c>
      <c r="G29" s="32">
        <f t="shared" si="11"/>
        <v>-21962.433499999999</v>
      </c>
      <c r="H29" s="76">
        <f t="shared" si="24"/>
        <v>120.32</v>
      </c>
      <c r="I29" s="31">
        <f t="shared" si="12"/>
        <v>-557342.08367514587</v>
      </c>
      <c r="J29" s="32">
        <f t="shared" si="13"/>
        <v>-106102.5</v>
      </c>
      <c r="K29" s="76">
        <f t="shared" si="25"/>
        <v>99.623999999999995</v>
      </c>
      <c r="L29" s="31">
        <f t="shared" si="14"/>
        <v>-55760.00000000406</v>
      </c>
      <c r="M29" s="32">
        <f t="shared" si="15"/>
        <v>-48308.031333333332</v>
      </c>
      <c r="N29" s="82">
        <f t="shared" si="16"/>
        <v>695946.26752444811</v>
      </c>
      <c r="O29" s="82"/>
      <c r="P29" s="82"/>
      <c r="Q29" s="82">
        <f>$G$5*SUM($O$14:O29)-$H$5*SUM($P$14:P29)</f>
        <v>-685953.76080000005</v>
      </c>
      <c r="R29" s="82">
        <f t="shared" si="17"/>
        <v>9992.5067244480597</v>
      </c>
      <c r="S29" s="143"/>
      <c r="U29" s="75">
        <v>45793.625</v>
      </c>
      <c r="V29" s="54">
        <v>92.96</v>
      </c>
      <c r="W29" s="75">
        <v>45792.625</v>
      </c>
      <c r="X29" s="54">
        <v>101.241</v>
      </c>
      <c r="Y29" s="125">
        <v>45796.625</v>
      </c>
      <c r="Z29" s="54">
        <v>120.66</v>
      </c>
      <c r="AA29" s="75">
        <v>45882.625</v>
      </c>
      <c r="AB29" s="54">
        <v>99.745000000000005</v>
      </c>
      <c r="AF29" s="131">
        <v>45917.625</v>
      </c>
      <c r="AG29" s="45">
        <f t="shared" si="26"/>
        <v>81.05</v>
      </c>
      <c r="AH29" s="46">
        <f t="shared" si="27"/>
        <v>24700.506360381125</v>
      </c>
      <c r="AI29" s="46">
        <f t="shared" si="28"/>
        <v>-61687.499999999993</v>
      </c>
      <c r="AJ29" s="45">
        <f t="shared" si="29"/>
        <v>99.953125</v>
      </c>
      <c r="AK29" s="46">
        <f t="shared" si="30"/>
        <v>42438.616071428572</v>
      </c>
      <c r="AL29" s="47">
        <f t="shared" si="31"/>
        <v>-4794.7973632812536</v>
      </c>
      <c r="AM29" s="45">
        <f t="shared" si="32"/>
        <v>112.06</v>
      </c>
      <c r="AN29" s="46">
        <f t="shared" si="33"/>
        <v>474416.06834499928</v>
      </c>
      <c r="AO29" s="47">
        <f t="shared" si="34"/>
        <v>-63450.000000000007</v>
      </c>
      <c r="AP29" s="45">
        <f t="shared" si="35"/>
        <v>99.953125</v>
      </c>
      <c r="AQ29" s="46">
        <f t="shared" si="36"/>
        <v>36997.767857142862</v>
      </c>
      <c r="AR29" s="47">
        <f t="shared" si="37"/>
        <v>-4180.0797526041679</v>
      </c>
      <c r="AS29" s="45">
        <f t="shared" si="38"/>
        <v>101.5</v>
      </c>
      <c r="AT29" s="46">
        <f t="shared" si="39"/>
        <v>73660.71428571429</v>
      </c>
      <c r="AU29" s="47">
        <f t="shared" si="40"/>
        <v>45.976562500001819</v>
      </c>
      <c r="AV29" s="45">
        <f t="shared" si="41"/>
        <v>101.375</v>
      </c>
      <c r="AW29" s="46">
        <f t="shared" si="42"/>
        <v>294140.625</v>
      </c>
      <c r="AX29" s="47">
        <f t="shared" si="43"/>
        <v>2746.3310546875</v>
      </c>
      <c r="AY29" s="82">
        <f t="shared" si="44"/>
        <v>-82185.545685325051</v>
      </c>
      <c r="AZ29" s="82"/>
      <c r="BA29" s="82"/>
      <c r="BB29" s="82">
        <f>$AO$4*SUM($AZ$14:AZ29)-$AP$4*SUM($BA$14:BA29)</f>
        <v>28509.599357392377</v>
      </c>
      <c r="BC29" s="82">
        <f t="shared" si="18"/>
        <v>-110695.14504271743</v>
      </c>
      <c r="BE29" s="75">
        <v>45790.625</v>
      </c>
      <c r="BF29" s="54">
        <v>79.47</v>
      </c>
      <c r="BG29" s="75">
        <v>45932.625</v>
      </c>
      <c r="BH29" s="54">
        <v>99.78125</v>
      </c>
      <c r="BI29" s="75">
        <v>45790.625</v>
      </c>
      <c r="BJ29" s="54">
        <v>106.68</v>
      </c>
      <c r="BK29" s="75">
        <v>45932.625</v>
      </c>
      <c r="BL29" s="54">
        <v>99.78125</v>
      </c>
      <c r="BM29" s="75">
        <v>45911.625</v>
      </c>
      <c r="BN29" s="54">
        <v>101.890625</v>
      </c>
      <c r="BO29" s="75">
        <v>45912.625</v>
      </c>
      <c r="BP29" s="54">
        <v>101.171875</v>
      </c>
      <c r="BR29" s="131">
        <v>45917.625</v>
      </c>
      <c r="BS29" s="45">
        <f t="shared" si="19"/>
        <v>107.72799999999999</v>
      </c>
      <c r="BT29" s="46">
        <f t="shared" si="45"/>
        <v>89124.999999999229</v>
      </c>
      <c r="BU29" s="46">
        <f t="shared" si="46"/>
        <v>72916.666666666672</v>
      </c>
      <c r="BV29" s="45">
        <f t="shared" si="47"/>
        <v>47.936999999999998</v>
      </c>
      <c r="BW29" s="46">
        <f t="shared" si="48"/>
        <v>125549.99999999996</v>
      </c>
      <c r="BX29" s="47">
        <f t="shared" si="49"/>
        <v>72916.666666666672</v>
      </c>
      <c r="BY29" s="45">
        <f t="shared" si="50"/>
        <v>-36425.000000000728</v>
      </c>
      <c r="CA29" s="129">
        <v>45792.625</v>
      </c>
      <c r="CB29" s="54">
        <v>106.253</v>
      </c>
      <c r="CC29" s="129">
        <v>45792.625</v>
      </c>
      <c r="CD29" s="54">
        <v>55</v>
      </c>
      <c r="CF29" s="131">
        <v>45917.625</v>
      </c>
      <c r="CG29" s="45">
        <f t="shared" si="20"/>
        <v>251.23599999999999</v>
      </c>
      <c r="CH29" s="46">
        <f t="shared" si="51"/>
        <v>253032.99999999985</v>
      </c>
      <c r="CI29" s="46">
        <f t="shared" si="52"/>
        <v>72916.666666666672</v>
      </c>
      <c r="CJ29" s="45">
        <f t="shared" si="53"/>
        <v>50.738</v>
      </c>
      <c r="CK29" s="46">
        <f t="shared" si="54"/>
        <v>209018.25000000006</v>
      </c>
      <c r="CL29" s="47">
        <f t="shared" si="55"/>
        <v>65625</v>
      </c>
      <c r="CM29" s="45">
        <f t="shared" si="56"/>
        <v>51306.416666666453</v>
      </c>
      <c r="CO29" s="129">
        <v>45793.625</v>
      </c>
      <c r="CP29" s="54">
        <v>300.76799999999997</v>
      </c>
      <c r="CQ29" s="129">
        <v>45793.625</v>
      </c>
      <c r="CR29" s="54">
        <v>57.244999999999997</v>
      </c>
      <c r="CS29" s="54"/>
      <c r="CT29" s="54"/>
      <c r="CU29" s="54"/>
      <c r="CV29" s="54"/>
      <c r="CW29" s="54"/>
      <c r="CX29" s="54"/>
      <c r="CY29" s="54"/>
      <c r="DF29" s="142">
        <f t="shared" si="1"/>
        <v>45918.625</v>
      </c>
      <c r="DG29" s="58">
        <f t="shared" si="2"/>
        <v>72364.591231070284</v>
      </c>
      <c r="DH29" s="58">
        <f t="shared" si="3"/>
        <v>-98470.593975021737</v>
      </c>
      <c r="DI29" s="58">
        <f t="shared" si="5"/>
        <v>-34962.499999997919</v>
      </c>
      <c r="DJ29" s="58">
        <f t="shared" si="6"/>
        <v>59205.888888888876</v>
      </c>
      <c r="DK29" s="58">
        <f t="shared" si="21"/>
        <v>32975.393936799635</v>
      </c>
      <c r="DL29" s="58">
        <f t="shared" si="21"/>
        <v>12224.551067695691</v>
      </c>
      <c r="DM29" s="58">
        <f t="shared" si="21"/>
        <v>1462.5000000028085</v>
      </c>
      <c r="DN29" s="58">
        <f t="shared" si="21"/>
        <v>7899.4722222224227</v>
      </c>
      <c r="DO29" s="58">
        <f t="shared" si="7"/>
        <v>32975.393936799635</v>
      </c>
      <c r="DP29" s="58">
        <f t="shared" si="7"/>
        <v>12224.551067695691</v>
      </c>
      <c r="DQ29" s="58">
        <f t="shared" si="7"/>
        <v>1462.5000000028085</v>
      </c>
      <c r="DR29" s="58">
        <f t="shared" si="7"/>
        <v>7899.4722222224227</v>
      </c>
      <c r="DS29" s="58">
        <f>SUM(DO$15:DO29)</f>
        <v>-37146.459697514249</v>
      </c>
      <c r="DT29" s="58">
        <f>SUM(DP$15:DP29)</f>
        <v>-130768.39415195168</v>
      </c>
      <c r="DU29" s="58">
        <f>SUM(DQ$15:DQ29)</f>
        <v>-36106.249999996806</v>
      </c>
      <c r="DV29" s="58">
        <f>SUM(DR$15:DR29)</f>
        <v>-44604.833333332819</v>
      </c>
      <c r="DZ29" s="133">
        <v>45918.625</v>
      </c>
      <c r="EA29" s="54">
        <f>VLOOKUP($DZ29,$DF$12:DS$49,14)</f>
        <v>-37146.459697514249</v>
      </c>
      <c r="EB29" s="54">
        <f>VLOOKUP($DZ29,$DF$12:DT$49,15)</f>
        <v>-130768.39415195168</v>
      </c>
      <c r="EC29" s="54">
        <f>VLOOKUP($DZ29,$DF$12:DU$49,16)</f>
        <v>-36106.249999996806</v>
      </c>
      <c r="ED29" s="54">
        <f>VLOOKUP($DZ29,$DF$12:DV$49,17)</f>
        <v>-44604.833333332819</v>
      </c>
    </row>
    <row r="30" spans="1:134" x14ac:dyDescent="0.3">
      <c r="A30" s="140">
        <v>45868.625</v>
      </c>
      <c r="B30" s="76">
        <f t="shared" si="22"/>
        <v>94.48</v>
      </c>
      <c r="C30" s="31">
        <f t="shared" si="8"/>
        <v>154419.5953141647</v>
      </c>
      <c r="D30" s="32">
        <f t="shared" si="9"/>
        <v>-64624.999999999993</v>
      </c>
      <c r="E30" s="76">
        <f t="shared" si="23"/>
        <v>101.048</v>
      </c>
      <c r="F30" s="31">
        <f t="shared" si="10"/>
        <v>-38599.999999999571</v>
      </c>
      <c r="G30" s="32">
        <f t="shared" si="11"/>
        <v>-23008.263666666662</v>
      </c>
      <c r="H30" s="76">
        <f t="shared" si="24"/>
        <v>120.21</v>
      </c>
      <c r="I30" s="31">
        <f t="shared" si="12"/>
        <v>-596144.38063987147</v>
      </c>
      <c r="J30" s="32">
        <f t="shared" si="13"/>
        <v>-111154.99999999999</v>
      </c>
      <c r="K30" s="76">
        <f t="shared" si="25"/>
        <v>99.552999999999997</v>
      </c>
      <c r="L30" s="31">
        <f t="shared" si="14"/>
        <v>-84870.000000003216</v>
      </c>
      <c r="M30" s="32">
        <f t="shared" si="15"/>
        <v>-50608.41377777778</v>
      </c>
      <c r="N30" s="82">
        <f t="shared" si="16"/>
        <v>723223.82584292127</v>
      </c>
      <c r="O30" s="82"/>
      <c r="P30" s="82"/>
      <c r="Q30" s="82">
        <f>$G$5*SUM($O$14:O30)-$H$5*SUM($P$14:P30)</f>
        <v>-685953.76080000005</v>
      </c>
      <c r="R30" s="82">
        <f t="shared" si="17"/>
        <v>37270.065042921226</v>
      </c>
      <c r="S30" s="143"/>
      <c r="U30" s="75">
        <v>45796.625</v>
      </c>
      <c r="V30" s="54">
        <v>92.89</v>
      </c>
      <c r="W30" s="75">
        <v>45793.625</v>
      </c>
      <c r="X30" s="54">
        <v>101.34</v>
      </c>
      <c r="Y30" s="125">
        <v>45797.625</v>
      </c>
      <c r="Z30" s="54">
        <v>120.68</v>
      </c>
      <c r="AA30" s="75">
        <v>45883.625</v>
      </c>
      <c r="AB30" s="54">
        <v>99.620999999999995</v>
      </c>
      <c r="AF30" s="131">
        <v>45918.625</v>
      </c>
      <c r="AG30" s="45">
        <f t="shared" si="26"/>
        <v>81.23</v>
      </c>
      <c r="AH30" s="46">
        <f t="shared" si="27"/>
        <v>80276.64567124004</v>
      </c>
      <c r="AI30" s="46">
        <f t="shared" si="28"/>
        <v>-64624.999999999993</v>
      </c>
      <c r="AJ30" s="45">
        <f t="shared" si="29"/>
        <v>99.7890625</v>
      </c>
      <c r="AK30" s="46">
        <f t="shared" si="30"/>
        <v>19587.053571428572</v>
      </c>
      <c r="AL30" s="47">
        <f t="shared" si="31"/>
        <v>-5023.1210472470302</v>
      </c>
      <c r="AM30" s="45">
        <f t="shared" si="32"/>
        <v>111.83</v>
      </c>
      <c r="AN30" s="46">
        <f t="shared" si="33"/>
        <v>420664.49409901327</v>
      </c>
      <c r="AO30" s="47">
        <f t="shared" si="34"/>
        <v>-66471.42857142858</v>
      </c>
      <c r="AP30" s="45">
        <f t="shared" si="35"/>
        <v>99.7890625</v>
      </c>
      <c r="AQ30" s="46">
        <f t="shared" si="36"/>
        <v>17075.892857142859</v>
      </c>
      <c r="AR30" s="47">
        <f t="shared" si="37"/>
        <v>-4379.131169394841</v>
      </c>
      <c r="AS30" s="45">
        <f t="shared" si="38"/>
        <v>101.09375</v>
      </c>
      <c r="AT30" s="46">
        <f t="shared" si="39"/>
        <v>51897.321428571428</v>
      </c>
      <c r="AU30" s="47">
        <f t="shared" si="40"/>
        <v>48.165922619049525</v>
      </c>
      <c r="AV30" s="45">
        <f t="shared" si="41"/>
        <v>100.328125</v>
      </c>
      <c r="AW30" s="46">
        <f t="shared" si="42"/>
        <v>215625</v>
      </c>
      <c r="AX30" s="47">
        <f t="shared" si="43"/>
        <v>2877.1087239583358</v>
      </c>
      <c r="AY30" s="82">
        <f t="shared" si="44"/>
        <v>-69960.99461762936</v>
      </c>
      <c r="AZ30" s="82"/>
      <c r="BA30" s="82"/>
      <c r="BB30" s="82">
        <f>$AO$4*SUM($AZ$14:AZ30)-$AP$4*SUM($BA$14:BA30)</f>
        <v>28509.599357392377</v>
      </c>
      <c r="BC30" s="82">
        <f t="shared" si="18"/>
        <v>-98470.593975021737</v>
      </c>
      <c r="BE30" s="75">
        <v>45791.625</v>
      </c>
      <c r="BF30" s="54">
        <v>79.180000000000007</v>
      </c>
      <c r="BG30" s="75">
        <v>45933.625</v>
      </c>
      <c r="BH30" s="54">
        <v>99.6015625</v>
      </c>
      <c r="BI30" s="75">
        <v>45791.625</v>
      </c>
      <c r="BJ30" s="54">
        <v>106.18</v>
      </c>
      <c r="BK30" s="75">
        <v>45933.625</v>
      </c>
      <c r="BL30" s="54">
        <v>99.6015625</v>
      </c>
      <c r="BM30" s="75">
        <v>45912.625</v>
      </c>
      <c r="BN30" s="54">
        <v>101.546875</v>
      </c>
      <c r="BO30" s="75">
        <v>45915.625</v>
      </c>
      <c r="BP30" s="54">
        <v>101.4375</v>
      </c>
      <c r="BR30" s="131">
        <v>45918.625</v>
      </c>
      <c r="BS30" s="45">
        <f t="shared" si="19"/>
        <v>107.9539</v>
      </c>
      <c r="BT30" s="46">
        <f t="shared" si="45"/>
        <v>145600.00000000172</v>
      </c>
      <c r="BU30" s="46">
        <f t="shared" si="46"/>
        <v>76388.888888888891</v>
      </c>
      <c r="BV30" s="45">
        <f t="shared" si="47"/>
        <v>46.959000000000003</v>
      </c>
      <c r="BW30" s="46">
        <f t="shared" si="48"/>
        <v>180562.49999999965</v>
      </c>
      <c r="BX30" s="47">
        <f t="shared" si="49"/>
        <v>76388.888888888891</v>
      </c>
      <c r="BY30" s="45">
        <f t="shared" si="50"/>
        <v>-34962.499999997919</v>
      </c>
      <c r="CA30" s="129">
        <v>45793.625</v>
      </c>
      <c r="CB30" s="54">
        <v>106.4032</v>
      </c>
      <c r="CC30" s="129">
        <v>45793.625</v>
      </c>
      <c r="CD30" s="54">
        <v>54.555999999999997</v>
      </c>
      <c r="CF30" s="131">
        <v>45918.625</v>
      </c>
      <c r="CG30" s="45">
        <f t="shared" si="20"/>
        <v>247.51499999999999</v>
      </c>
      <c r="CH30" s="46">
        <f t="shared" si="51"/>
        <v>293963.99999999988</v>
      </c>
      <c r="CI30" s="46">
        <f t="shared" si="52"/>
        <v>76388.888888888891</v>
      </c>
      <c r="CJ30" s="45">
        <f t="shared" si="53"/>
        <v>50.093000000000004</v>
      </c>
      <c r="CK30" s="46">
        <f t="shared" si="54"/>
        <v>242396.99999999988</v>
      </c>
      <c r="CL30" s="47">
        <f t="shared" si="55"/>
        <v>68750</v>
      </c>
      <c r="CM30" s="45">
        <f t="shared" si="56"/>
        <v>59205.888888888876</v>
      </c>
      <c r="CO30" s="129">
        <v>45796.625</v>
      </c>
      <c r="CP30" s="54">
        <v>301.44499999999999</v>
      </c>
      <c r="CQ30" s="129">
        <v>45796.625</v>
      </c>
      <c r="CR30" s="54">
        <v>57.45</v>
      </c>
      <c r="CS30" s="54"/>
      <c r="CT30" s="54"/>
      <c r="CU30" s="54"/>
      <c r="CV30" s="54"/>
      <c r="CW30" s="54"/>
      <c r="CX30" s="54"/>
      <c r="CY30" s="54"/>
      <c r="DF30" s="142">
        <f t="shared" si="1"/>
        <v>45919.625</v>
      </c>
      <c r="DG30" s="58">
        <f t="shared" si="2"/>
        <v>38277.557411050278</v>
      </c>
      <c r="DH30" s="58">
        <f t="shared" si="3"/>
        <v>-87069.136516932442</v>
      </c>
      <c r="DI30" s="58">
        <f t="shared" si="5"/>
        <v>-33712.499999999025</v>
      </c>
      <c r="DJ30" s="58">
        <f t="shared" si="6"/>
        <v>53594.861111110673</v>
      </c>
      <c r="DK30" s="58">
        <f t="shared" si="21"/>
        <v>-34087.033820020006</v>
      </c>
      <c r="DL30" s="58">
        <f t="shared" si="21"/>
        <v>11401.457458089295</v>
      </c>
      <c r="DM30" s="58">
        <f t="shared" si="21"/>
        <v>1249.9999999988941</v>
      </c>
      <c r="DN30" s="58">
        <f t="shared" si="21"/>
        <v>-5611.027777778203</v>
      </c>
      <c r="DO30" s="58">
        <f t="shared" si="7"/>
        <v>-34087.033820020006</v>
      </c>
      <c r="DP30" s="58">
        <f t="shared" si="7"/>
        <v>11401.457458089295</v>
      </c>
      <c r="DQ30" s="58">
        <f t="shared" si="7"/>
        <v>1249.9999999988941</v>
      </c>
      <c r="DR30" s="58">
        <f t="shared" si="7"/>
        <v>-5611.027777778203</v>
      </c>
      <c r="DS30" s="58">
        <f>SUM(DO$15:DO30)</f>
        <v>-71233.493517534254</v>
      </c>
      <c r="DT30" s="58">
        <f>SUM(DP$15:DP30)</f>
        <v>-119366.93669386239</v>
      </c>
      <c r="DU30" s="58">
        <f>SUM(DQ$15:DQ30)</f>
        <v>-34856.249999997912</v>
      </c>
      <c r="DV30" s="58">
        <f>SUM(DR$15:DR30)</f>
        <v>-50215.861111111022</v>
      </c>
      <c r="DZ30" s="133">
        <v>45919.625</v>
      </c>
      <c r="EA30" s="54">
        <f>VLOOKUP($DZ30,$DF$12:DS$49,14)</f>
        <v>-71233.493517534254</v>
      </c>
      <c r="EB30" s="54">
        <f>VLOOKUP($DZ30,$DF$12:DT$49,15)</f>
        <v>-119366.93669386239</v>
      </c>
      <c r="EC30" s="54">
        <f>VLOOKUP($DZ30,$DF$12:DU$49,16)</f>
        <v>-34856.249999997912</v>
      </c>
      <c r="ED30" s="54">
        <f>VLOOKUP($DZ30,$DF$12:DV$49,17)</f>
        <v>-50215.861111111022</v>
      </c>
    </row>
    <row r="31" spans="1:134" x14ac:dyDescent="0.3">
      <c r="A31" s="140">
        <v>45869.625</v>
      </c>
      <c r="B31" s="76">
        <f t="shared" si="22"/>
        <v>94.45</v>
      </c>
      <c r="C31" s="31">
        <f t="shared" si="8"/>
        <v>146432.37486687832</v>
      </c>
      <c r="D31" s="32">
        <f t="shared" si="9"/>
        <v>-67562.499999999985</v>
      </c>
      <c r="E31" s="76">
        <f t="shared" si="23"/>
        <v>101.02200000000001</v>
      </c>
      <c r="F31" s="31">
        <f t="shared" si="10"/>
        <v>-43799.999999998814</v>
      </c>
      <c r="G31" s="32">
        <f t="shared" si="11"/>
        <v>-24054.093833333325</v>
      </c>
      <c r="H31" s="76">
        <f t="shared" si="24"/>
        <v>120.26</v>
      </c>
      <c r="I31" s="31">
        <f t="shared" si="12"/>
        <v>-578506.97292863217</v>
      </c>
      <c r="J31" s="32">
        <f t="shared" si="13"/>
        <v>-116207.49999999999</v>
      </c>
      <c r="K31" s="76">
        <f t="shared" si="25"/>
        <v>99.549000000000007</v>
      </c>
      <c r="L31" s="31">
        <f t="shared" si="14"/>
        <v>-86509.999999999389</v>
      </c>
      <c r="M31" s="32">
        <f t="shared" si="15"/>
        <v>-52908.796222222212</v>
      </c>
      <c r="N31" s="82">
        <f t="shared" si="16"/>
        <v>702019.64540662104</v>
      </c>
      <c r="O31" s="82"/>
      <c r="P31" s="82"/>
      <c r="Q31" s="82">
        <f>$G$5*SUM($O$14:O31)-$H$5*SUM($P$14:P31)</f>
        <v>-685953.76080000005</v>
      </c>
      <c r="R31" s="82">
        <f t="shared" si="17"/>
        <v>16065.884606620995</v>
      </c>
      <c r="S31" s="143"/>
      <c r="U31" s="75">
        <v>45797.625</v>
      </c>
      <c r="V31" s="54">
        <v>93.05</v>
      </c>
      <c r="W31" s="75">
        <v>45796.625</v>
      </c>
      <c r="X31" s="54">
        <v>101.408</v>
      </c>
      <c r="Y31" s="125">
        <v>45798.625</v>
      </c>
      <c r="Z31" s="54">
        <v>120.59</v>
      </c>
      <c r="AA31" s="75">
        <v>45884.625</v>
      </c>
      <c r="AB31" s="54">
        <v>99.375</v>
      </c>
      <c r="AF31" s="131">
        <v>45919.625</v>
      </c>
      <c r="AG31" s="45">
        <f t="shared" si="26"/>
        <v>81.260000000000005</v>
      </c>
      <c r="AH31" s="46">
        <f t="shared" si="27"/>
        <v>89539.33555638227</v>
      </c>
      <c r="AI31" s="46">
        <f t="shared" si="28"/>
        <v>-67562.499999999985</v>
      </c>
      <c r="AJ31" s="45">
        <f t="shared" si="29"/>
        <v>99.7734375</v>
      </c>
      <c r="AK31" s="46">
        <f t="shared" si="30"/>
        <v>17410.714285714286</v>
      </c>
      <c r="AL31" s="47">
        <f t="shared" si="31"/>
        <v>-5251.4447312127959</v>
      </c>
      <c r="AM31" s="45">
        <f t="shared" si="32"/>
        <v>111.74</v>
      </c>
      <c r="AN31" s="46">
        <f t="shared" si="33"/>
        <v>399631.26939405978</v>
      </c>
      <c r="AO31" s="47">
        <f t="shared" si="34"/>
        <v>-69492.857142857145</v>
      </c>
      <c r="AP31" s="45">
        <f t="shared" si="35"/>
        <v>99.7734375</v>
      </c>
      <c r="AQ31" s="46">
        <f t="shared" si="36"/>
        <v>15178.571428571429</v>
      </c>
      <c r="AR31" s="47">
        <f t="shared" si="37"/>
        <v>-4578.1825861855177</v>
      </c>
      <c r="AS31" s="45">
        <f t="shared" si="38"/>
        <v>101.015625</v>
      </c>
      <c r="AT31" s="46">
        <f t="shared" si="39"/>
        <v>47712.053571428565</v>
      </c>
      <c r="AU31" s="47">
        <f t="shared" si="40"/>
        <v>50.35528273809723</v>
      </c>
      <c r="AV31" s="45">
        <f t="shared" si="41"/>
        <v>100.125</v>
      </c>
      <c r="AW31" s="46">
        <f t="shared" si="42"/>
        <v>200390.625</v>
      </c>
      <c r="AX31" s="47">
        <f t="shared" si="43"/>
        <v>3007.8863932291679</v>
      </c>
      <c r="AY31" s="82">
        <f t="shared" si="44"/>
        <v>-58559.537159540065</v>
      </c>
      <c r="AZ31" s="82"/>
      <c r="BA31" s="82"/>
      <c r="BB31" s="82">
        <f>$AO$4*SUM($AZ$14:AZ31)-$AP$4*SUM($BA$14:BA31)</f>
        <v>28509.599357392377</v>
      </c>
      <c r="BC31" s="82">
        <f t="shared" si="18"/>
        <v>-87069.136516932442</v>
      </c>
      <c r="BE31" s="75">
        <v>45792.625</v>
      </c>
      <c r="BF31" s="54">
        <v>79.33</v>
      </c>
      <c r="BG31" s="75">
        <v>45936.625</v>
      </c>
      <c r="BH31" s="54">
        <v>99.46875</v>
      </c>
      <c r="BI31" s="75">
        <v>45792.625</v>
      </c>
      <c r="BJ31" s="54">
        <v>106.9</v>
      </c>
      <c r="BK31" s="75">
        <v>45936.625</v>
      </c>
      <c r="BL31" s="54">
        <v>99.46875</v>
      </c>
      <c r="BM31" s="75">
        <v>45915.625</v>
      </c>
      <c r="BN31" s="54">
        <v>101.71875</v>
      </c>
      <c r="BO31" s="75">
        <v>45916.625</v>
      </c>
      <c r="BP31" s="54">
        <v>101.578125</v>
      </c>
      <c r="BR31" s="131">
        <v>45919.625</v>
      </c>
      <c r="BS31" s="45">
        <f t="shared" si="19"/>
        <v>107.8977</v>
      </c>
      <c r="BT31" s="46">
        <f t="shared" si="45"/>
        <v>131550.00000000073</v>
      </c>
      <c r="BU31" s="46">
        <f t="shared" si="46"/>
        <v>79861.111111111109</v>
      </c>
      <c r="BV31" s="45">
        <f t="shared" si="47"/>
        <v>47.231000000000002</v>
      </c>
      <c r="BW31" s="46">
        <f t="shared" si="48"/>
        <v>165262.49999999974</v>
      </c>
      <c r="BX31" s="47">
        <f t="shared" si="49"/>
        <v>79861.111111111109</v>
      </c>
      <c r="BY31" s="45">
        <f t="shared" si="50"/>
        <v>-33712.499999999025</v>
      </c>
      <c r="CA31" s="129">
        <v>45796.625</v>
      </c>
      <c r="CB31" s="54">
        <v>106.25920000000001</v>
      </c>
      <c r="CC31" s="129">
        <v>45796.625</v>
      </c>
      <c r="CD31" s="54">
        <v>55.116999999999997</v>
      </c>
      <c r="CF31" s="131">
        <v>45919.625</v>
      </c>
      <c r="CG31" s="45">
        <f t="shared" si="20"/>
        <v>248.51300000000001</v>
      </c>
      <c r="CH31" s="46">
        <f t="shared" si="51"/>
        <v>282985.99999999971</v>
      </c>
      <c r="CI31" s="46">
        <f t="shared" si="52"/>
        <v>79861.111111111109</v>
      </c>
      <c r="CJ31" s="45">
        <f t="shared" si="53"/>
        <v>50.19</v>
      </c>
      <c r="CK31" s="46">
        <f t="shared" si="54"/>
        <v>237377.25000000017</v>
      </c>
      <c r="CL31" s="47">
        <f t="shared" si="55"/>
        <v>71874.999999999985</v>
      </c>
      <c r="CM31" s="45">
        <f t="shared" si="56"/>
        <v>53594.861111110673</v>
      </c>
      <c r="CO31" s="129">
        <v>45797.625</v>
      </c>
      <c r="CP31" s="54">
        <v>297.32799999999997</v>
      </c>
      <c r="CQ31" s="129">
        <v>45797.625</v>
      </c>
      <c r="CR31" s="54">
        <v>56.813000000000002</v>
      </c>
      <c r="CS31" s="54"/>
      <c r="CT31" s="54"/>
      <c r="CU31" s="54"/>
      <c r="CV31" s="54"/>
      <c r="CW31" s="54"/>
      <c r="CX31" s="54"/>
      <c r="CY31" s="54"/>
      <c r="DF31" s="142">
        <f t="shared" si="1"/>
        <v>45922.625</v>
      </c>
      <c r="DG31" s="58">
        <f t="shared" si="2"/>
        <v>45467.613763767498</v>
      </c>
      <c r="DH31" s="58">
        <f t="shared" si="3"/>
        <v>-45128.541495039608</v>
      </c>
      <c r="DI31" s="58">
        <f t="shared" si="5"/>
        <v>-16124.999999999345</v>
      </c>
      <c r="DJ31" s="58">
        <f t="shared" si="6"/>
        <v>70671.027777777563</v>
      </c>
      <c r="DK31" s="58">
        <f t="shared" si="21"/>
        <v>7190.0563527172199</v>
      </c>
      <c r="DL31" s="58">
        <f t="shared" si="21"/>
        <v>41940.595021892834</v>
      </c>
      <c r="DM31" s="58">
        <f t="shared" si="21"/>
        <v>17587.49999999968</v>
      </c>
      <c r="DN31" s="58">
        <f t="shared" si="21"/>
        <v>17076.16666666689</v>
      </c>
      <c r="DO31" s="58">
        <f t="shared" si="7"/>
        <v>7190.0563527172199</v>
      </c>
      <c r="DP31" s="58">
        <f t="shared" si="7"/>
        <v>41940.595021892834</v>
      </c>
      <c r="DQ31" s="58">
        <f t="shared" si="7"/>
        <v>17587.49999999968</v>
      </c>
      <c r="DR31" s="58">
        <f t="shared" si="7"/>
        <v>17076.16666666689</v>
      </c>
      <c r="DS31" s="58">
        <f>SUM(DO$15:DO31)</f>
        <v>-64043.437164817034</v>
      </c>
      <c r="DT31" s="58">
        <f>SUM(DP$15:DP31)</f>
        <v>-77426.341671969552</v>
      </c>
      <c r="DU31" s="58">
        <f>SUM(DQ$15:DQ31)</f>
        <v>-17268.749999998232</v>
      </c>
      <c r="DV31" s="58">
        <f>SUM(DR$15:DR31)</f>
        <v>-33139.694444444132</v>
      </c>
      <c r="DZ31" s="133">
        <v>45922.625</v>
      </c>
      <c r="EA31" s="54">
        <f>VLOOKUP($DZ31,$DF$12:DS$49,14)</f>
        <v>-64043.437164817034</v>
      </c>
      <c r="EB31" s="54">
        <f>VLOOKUP($DZ31,$DF$12:DT$49,15)</f>
        <v>-77426.341671969552</v>
      </c>
      <c r="EC31" s="54">
        <f>VLOOKUP($DZ31,$DF$12:DU$49,16)</f>
        <v>-17268.749999998232</v>
      </c>
      <c r="ED31" s="54">
        <f>VLOOKUP($DZ31,$DF$12:DV$49,17)</f>
        <v>-33139.694444444132</v>
      </c>
    </row>
    <row r="32" spans="1:134" x14ac:dyDescent="0.3">
      <c r="A32" s="139">
        <v>45870.625</v>
      </c>
      <c r="B32" s="76">
        <f t="shared" si="22"/>
        <v>94.32</v>
      </c>
      <c r="C32" s="31">
        <f t="shared" si="8"/>
        <v>111821.08626197618</v>
      </c>
      <c r="D32" s="32">
        <f t="shared" si="9"/>
        <v>-70499.999999999985</v>
      </c>
      <c r="E32" s="76">
        <f t="shared" si="23"/>
        <v>101.155</v>
      </c>
      <c r="F32" s="31">
        <f t="shared" si="10"/>
        <v>-17199.999999999705</v>
      </c>
      <c r="G32" s="32">
        <f t="shared" si="11"/>
        <v>-25099.923999999992</v>
      </c>
      <c r="H32" s="76">
        <f t="shared" si="24"/>
        <v>120.22</v>
      </c>
      <c r="I32" s="31">
        <f t="shared" si="12"/>
        <v>-592616.89909762458</v>
      </c>
      <c r="J32" s="32">
        <f t="shared" si="13"/>
        <v>-121259.99999999999</v>
      </c>
      <c r="K32" s="76">
        <f t="shared" si="25"/>
        <v>99.751000000000005</v>
      </c>
      <c r="L32" s="31">
        <f t="shared" si="14"/>
        <v>-3690.0000000001396</v>
      </c>
      <c r="M32" s="32">
        <f t="shared" si="15"/>
        <v>-55209.178666666659</v>
      </c>
      <c r="N32" s="82">
        <f t="shared" si="16"/>
        <v>738598.73069293378</v>
      </c>
      <c r="O32" s="82"/>
      <c r="P32" s="82"/>
      <c r="Q32" s="82">
        <f>$G$5*SUM($O$14:O32)-$H$5*SUM($P$14:P32)</f>
        <v>-685953.76080000005</v>
      </c>
      <c r="R32" s="82">
        <f t="shared" si="17"/>
        <v>52644.969892933732</v>
      </c>
      <c r="S32" s="143"/>
      <c r="U32" s="75">
        <v>45798.625</v>
      </c>
      <c r="V32" s="54">
        <v>92.95</v>
      </c>
      <c r="W32" s="75">
        <v>45797.625</v>
      </c>
      <c r="X32" s="54">
        <v>101.352</v>
      </c>
      <c r="Y32" s="125">
        <v>45799.625</v>
      </c>
      <c r="Z32" s="54">
        <v>120.57</v>
      </c>
      <c r="AA32" s="75">
        <v>45887.625</v>
      </c>
      <c r="AB32" s="54">
        <v>99.388999999999996</v>
      </c>
      <c r="AF32" s="131">
        <v>45922.625</v>
      </c>
      <c r="AG32" s="45">
        <f t="shared" si="26"/>
        <v>81.319999999999993</v>
      </c>
      <c r="AH32" s="46">
        <f t="shared" si="27"/>
        <v>108064.71532666117</v>
      </c>
      <c r="AI32" s="46">
        <f t="shared" si="28"/>
        <v>-76374.999999999985</v>
      </c>
      <c r="AJ32" s="45">
        <f t="shared" si="29"/>
        <v>99.65625</v>
      </c>
      <c r="AK32" s="46">
        <f t="shared" si="30"/>
        <v>1088.1696428571429</v>
      </c>
      <c r="AL32" s="47">
        <f t="shared" si="31"/>
        <v>-5936.4157831101184</v>
      </c>
      <c r="AM32" s="45">
        <f t="shared" si="32"/>
        <v>111.48</v>
      </c>
      <c r="AN32" s="46">
        <f t="shared" si="33"/>
        <v>338868.62024642644</v>
      </c>
      <c r="AO32" s="47">
        <f t="shared" si="34"/>
        <v>-78557.142857142855</v>
      </c>
      <c r="AP32" s="45">
        <f t="shared" si="35"/>
        <v>99.65625</v>
      </c>
      <c r="AQ32" s="46">
        <f t="shared" si="36"/>
        <v>948.66071428571433</v>
      </c>
      <c r="AR32" s="47">
        <f t="shared" si="37"/>
        <v>-5175.3368365575443</v>
      </c>
      <c r="AS32" s="45">
        <f t="shared" si="38"/>
        <v>100.8125</v>
      </c>
      <c r="AT32" s="46">
        <f t="shared" si="39"/>
        <v>36830.357142857145</v>
      </c>
      <c r="AU32" s="47">
        <f t="shared" si="40"/>
        <v>56.923363095240347</v>
      </c>
      <c r="AV32" s="45">
        <f t="shared" si="41"/>
        <v>99.734375</v>
      </c>
      <c r="AW32" s="46">
        <f t="shared" si="42"/>
        <v>171093.75</v>
      </c>
      <c r="AX32" s="47">
        <f t="shared" si="43"/>
        <v>3400.2194010416679</v>
      </c>
      <c r="AY32" s="82">
        <f t="shared" si="44"/>
        <v>-16618.942137647235</v>
      </c>
      <c r="AZ32" s="82"/>
      <c r="BA32" s="82"/>
      <c r="BB32" s="82">
        <f>$AO$4*SUM($AZ$14:AZ32)-$AP$4*SUM($BA$14:BA32)</f>
        <v>28509.599357392377</v>
      </c>
      <c r="BC32" s="82">
        <f t="shared" si="18"/>
        <v>-45128.541495039608</v>
      </c>
      <c r="BE32" s="75">
        <v>45793.625</v>
      </c>
      <c r="BF32" s="54">
        <v>79.42</v>
      </c>
      <c r="BG32" s="75">
        <v>45937.625</v>
      </c>
      <c r="BH32" s="54">
        <v>99.625</v>
      </c>
      <c r="BI32" s="75">
        <v>45793.625</v>
      </c>
      <c r="BJ32" s="54">
        <v>107.1</v>
      </c>
      <c r="BK32" s="75">
        <v>45937.625</v>
      </c>
      <c r="BL32" s="54">
        <v>99.625</v>
      </c>
      <c r="BM32" s="75">
        <v>45916.625</v>
      </c>
      <c r="BN32" s="54">
        <v>101.765625</v>
      </c>
      <c r="BO32" s="75">
        <v>45917.625</v>
      </c>
      <c r="BP32" s="54">
        <v>101.375</v>
      </c>
      <c r="BR32" s="131">
        <v>45922.625</v>
      </c>
      <c r="BS32" s="45">
        <f t="shared" si="19"/>
        <v>107.9379</v>
      </c>
      <c r="BT32" s="46">
        <f t="shared" si="45"/>
        <v>141600.00000000038</v>
      </c>
      <c r="BU32" s="46">
        <f t="shared" si="46"/>
        <v>90277.777777777766</v>
      </c>
      <c r="BV32" s="45">
        <f t="shared" si="47"/>
        <v>47.365000000000002</v>
      </c>
      <c r="BW32" s="46">
        <f t="shared" si="48"/>
        <v>157724.99999999974</v>
      </c>
      <c r="BX32" s="47">
        <f t="shared" si="49"/>
        <v>90277.777777777766</v>
      </c>
      <c r="BY32" s="45">
        <f t="shared" si="50"/>
        <v>-16124.999999999345</v>
      </c>
      <c r="CA32" s="129">
        <v>45797.625</v>
      </c>
      <c r="CB32" s="54">
        <v>106.3137</v>
      </c>
      <c r="CC32" s="129">
        <v>45797.625</v>
      </c>
      <c r="CD32" s="54">
        <v>55.078000000000003</v>
      </c>
      <c r="CF32" s="131">
        <v>45922.625</v>
      </c>
      <c r="CG32" s="45">
        <f t="shared" si="20"/>
        <v>247.34700000000001</v>
      </c>
      <c r="CH32" s="46">
        <f t="shared" si="51"/>
        <v>295811.99999999971</v>
      </c>
      <c r="CI32" s="46">
        <f t="shared" si="52"/>
        <v>90277.777777777766</v>
      </c>
      <c r="CJ32" s="45">
        <f t="shared" si="53"/>
        <v>50.252000000000002</v>
      </c>
      <c r="CK32" s="46">
        <f t="shared" si="54"/>
        <v>234168.74999999991</v>
      </c>
      <c r="CL32" s="47">
        <f t="shared" si="55"/>
        <v>81249.999999999985</v>
      </c>
      <c r="CM32" s="45">
        <f t="shared" si="56"/>
        <v>70671.027777777563</v>
      </c>
      <c r="CO32" s="129">
        <v>45798.625</v>
      </c>
      <c r="CP32" s="54">
        <v>299.49900000000002</v>
      </c>
      <c r="CQ32" s="129">
        <v>45798.625</v>
      </c>
      <c r="CR32" s="54">
        <v>57.048999999999999</v>
      </c>
      <c r="CS32" s="54"/>
      <c r="CT32" s="54"/>
      <c r="CU32" s="54"/>
      <c r="CV32" s="54"/>
      <c r="CW32" s="54"/>
      <c r="CX32" s="54"/>
      <c r="CY32" s="54"/>
      <c r="DF32" s="142">
        <f t="shared" si="1"/>
        <v>45923.625</v>
      </c>
      <c r="DG32" s="58">
        <f t="shared" si="2"/>
        <v>71191.645264659484</v>
      </c>
      <c r="DH32" s="58">
        <f t="shared" si="3"/>
        <v>-50529.863357590919</v>
      </c>
      <c r="DI32" s="58">
        <f t="shared" si="5"/>
        <v>-25950.000000000844</v>
      </c>
      <c r="DJ32" s="58">
        <f t="shared" si="6"/>
        <v>85594.499999999593</v>
      </c>
      <c r="DK32" s="58">
        <f t="shared" si="21"/>
        <v>25724.031500891986</v>
      </c>
      <c r="DL32" s="58">
        <f t="shared" si="21"/>
        <v>-5401.3218625513109</v>
      </c>
      <c r="DM32" s="58">
        <f t="shared" si="21"/>
        <v>-9825.0000000014988</v>
      </c>
      <c r="DN32" s="58">
        <f t="shared" si="21"/>
        <v>14923.47222222203</v>
      </c>
      <c r="DO32" s="58">
        <f t="shared" si="7"/>
        <v>25724.031500891986</v>
      </c>
      <c r="DP32" s="58">
        <f t="shared" si="7"/>
        <v>-5401.3218625513109</v>
      </c>
      <c r="DQ32" s="58">
        <f t="shared" si="7"/>
        <v>-9825.0000000014988</v>
      </c>
      <c r="DR32" s="58">
        <f t="shared" si="7"/>
        <v>14923.47222222203</v>
      </c>
      <c r="DS32" s="58">
        <f>SUM(DO$15:DO32)</f>
        <v>-38319.405663925048</v>
      </c>
      <c r="DT32" s="58">
        <f>SUM(DP$15:DP32)</f>
        <v>-82827.663534520863</v>
      </c>
      <c r="DU32" s="58">
        <f>SUM(DQ$15:DQ32)</f>
        <v>-27093.749999999731</v>
      </c>
      <c r="DV32" s="58">
        <f>SUM(DR$15:DR32)</f>
        <v>-18216.222222222103</v>
      </c>
      <c r="DZ32" s="133">
        <v>45923.625</v>
      </c>
      <c r="EA32" s="54">
        <f>VLOOKUP($DZ32,$DF$12:DS$49,14)</f>
        <v>-38319.405663925048</v>
      </c>
      <c r="EB32" s="54">
        <f>VLOOKUP($DZ32,$DF$12:DT$49,15)</f>
        <v>-82827.663534520863</v>
      </c>
      <c r="EC32" s="54">
        <f>VLOOKUP($DZ32,$DF$12:DU$49,16)</f>
        <v>-27093.749999999731</v>
      </c>
      <c r="ED32" s="54">
        <f>VLOOKUP($DZ32,$DF$12:DV$49,17)</f>
        <v>-18216.222222222103</v>
      </c>
    </row>
    <row r="33" spans="1:134" x14ac:dyDescent="0.3">
      <c r="A33" s="139">
        <v>45873.625</v>
      </c>
      <c r="B33" s="76">
        <f t="shared" si="22"/>
        <v>94.38</v>
      </c>
      <c r="C33" s="31">
        <f t="shared" si="8"/>
        <v>127795.52715654897</v>
      </c>
      <c r="D33" s="32">
        <f t="shared" si="9"/>
        <v>-79312.499999999985</v>
      </c>
      <c r="E33" s="76">
        <f t="shared" si="23"/>
        <v>101.214</v>
      </c>
      <c r="F33" s="31">
        <f t="shared" si="10"/>
        <v>-5400.0000000002046</v>
      </c>
      <c r="G33" s="32">
        <f t="shared" si="11"/>
        <v>-28237.414499999992</v>
      </c>
      <c r="H33" s="76">
        <f t="shared" si="24"/>
        <v>120.41</v>
      </c>
      <c r="I33" s="31">
        <f t="shared" si="12"/>
        <v>-525594.74979491893</v>
      </c>
      <c r="J33" s="32">
        <f t="shared" si="13"/>
        <v>-136417.49999999997</v>
      </c>
      <c r="K33" s="76">
        <f t="shared" si="25"/>
        <v>99.884</v>
      </c>
      <c r="L33" s="31">
        <f t="shared" si="14"/>
        <v>50839.999999998043</v>
      </c>
      <c r="M33" s="32">
        <f t="shared" si="15"/>
        <v>-62110.326000000015</v>
      </c>
      <c r="N33" s="82">
        <f t="shared" si="16"/>
        <v>732862.36545146606</v>
      </c>
      <c r="O33" s="82"/>
      <c r="P33" s="82"/>
      <c r="Q33" s="82">
        <f>$G$5*SUM($O$14:O33)-$H$5*SUM($P$14:P33)</f>
        <v>-685953.76080000005</v>
      </c>
      <c r="R33" s="82">
        <f t="shared" si="17"/>
        <v>46908.604651466012</v>
      </c>
      <c r="S33" s="143"/>
      <c r="U33" s="75">
        <v>45799.625</v>
      </c>
      <c r="V33" s="54">
        <v>92.82</v>
      </c>
      <c r="W33" s="75">
        <v>45798.625</v>
      </c>
      <c r="X33" s="54">
        <v>101.282</v>
      </c>
      <c r="Y33" s="125">
        <v>45800.625</v>
      </c>
      <c r="Z33" s="54">
        <v>120.79</v>
      </c>
      <c r="AA33" s="75">
        <v>45888.625</v>
      </c>
      <c r="AB33" s="54">
        <v>99.484999999999999</v>
      </c>
      <c r="AF33" s="131">
        <v>45923.625</v>
      </c>
      <c r="AG33" s="45">
        <f t="shared" si="26"/>
        <v>81.260000000000005</v>
      </c>
      <c r="AH33" s="46">
        <f t="shared" si="27"/>
        <v>89539.33555638227</v>
      </c>
      <c r="AI33" s="46">
        <f t="shared" si="28"/>
        <v>-79312.5</v>
      </c>
      <c r="AJ33" s="45">
        <f t="shared" si="29"/>
        <v>99.796875</v>
      </c>
      <c r="AK33" s="46">
        <f t="shared" si="30"/>
        <v>20675.223214285714</v>
      </c>
      <c r="AL33" s="47">
        <f t="shared" si="31"/>
        <v>-6164.7394670758877</v>
      </c>
      <c r="AM33" s="45">
        <f t="shared" si="32"/>
        <v>111.71</v>
      </c>
      <c r="AN33" s="46">
        <f t="shared" si="33"/>
        <v>392620.19449240668</v>
      </c>
      <c r="AO33" s="47">
        <f t="shared" si="34"/>
        <v>-81578.57142857142</v>
      </c>
      <c r="AP33" s="45">
        <f t="shared" si="35"/>
        <v>99.796875</v>
      </c>
      <c r="AQ33" s="46">
        <f t="shared" si="36"/>
        <v>18024.553571428572</v>
      </c>
      <c r="AR33" s="47">
        <f t="shared" si="37"/>
        <v>-5374.3882533482247</v>
      </c>
      <c r="AS33" s="45">
        <f t="shared" si="38"/>
        <v>101.140625</v>
      </c>
      <c r="AT33" s="46">
        <f t="shared" si="39"/>
        <v>54408.482142857145</v>
      </c>
      <c r="AU33" s="47">
        <f t="shared" si="40"/>
        <v>59.112723214289872</v>
      </c>
      <c r="AV33" s="45">
        <f t="shared" si="41"/>
        <v>100.421875</v>
      </c>
      <c r="AW33" s="46">
        <f t="shared" si="42"/>
        <v>222656.25</v>
      </c>
      <c r="AX33" s="47">
        <f t="shared" si="43"/>
        <v>3530.9970703125</v>
      </c>
      <c r="AY33" s="82">
        <f t="shared" si="44"/>
        <v>-22020.264000198542</v>
      </c>
      <c r="AZ33" s="82"/>
      <c r="BA33" s="82"/>
      <c r="BB33" s="82">
        <f>$AO$4*SUM($AZ$14:AZ33)-$AP$4*SUM($BA$14:BA33)</f>
        <v>28509.599357392377</v>
      </c>
      <c r="BC33" s="82">
        <f t="shared" si="18"/>
        <v>-50529.863357590919</v>
      </c>
      <c r="BE33" s="75">
        <v>45796.625</v>
      </c>
      <c r="BF33" s="54">
        <v>79.38</v>
      </c>
      <c r="BG33" s="75">
        <v>45938.625</v>
      </c>
      <c r="BH33" s="54">
        <v>99.5625</v>
      </c>
      <c r="BI33" s="75">
        <v>45796.625</v>
      </c>
      <c r="BJ33" s="54">
        <v>107.11</v>
      </c>
      <c r="BK33" s="75">
        <v>45938.625</v>
      </c>
      <c r="BL33" s="54">
        <v>99.5625</v>
      </c>
      <c r="BM33" s="75">
        <v>45917.625</v>
      </c>
      <c r="BN33" s="54">
        <v>101.5</v>
      </c>
      <c r="BO33" s="75">
        <v>45918.625</v>
      </c>
      <c r="BP33" s="54">
        <v>100.328125</v>
      </c>
      <c r="BR33" s="131">
        <v>45923.625</v>
      </c>
      <c r="BS33" s="45">
        <f t="shared" si="19"/>
        <v>107.82299999999999</v>
      </c>
      <c r="BT33" s="46">
        <f t="shared" si="45"/>
        <v>112874.99999999895</v>
      </c>
      <c r="BU33" s="46">
        <f t="shared" si="46"/>
        <v>93750</v>
      </c>
      <c r="BV33" s="45">
        <f t="shared" si="47"/>
        <v>47.701000000000001</v>
      </c>
      <c r="BW33" s="46">
        <f t="shared" si="48"/>
        <v>138824.9999999998</v>
      </c>
      <c r="BX33" s="47">
        <f t="shared" si="49"/>
        <v>93750</v>
      </c>
      <c r="BY33" s="45">
        <f t="shared" si="50"/>
        <v>-25950.000000000844</v>
      </c>
      <c r="CA33" s="129">
        <v>45798.625</v>
      </c>
      <c r="CB33" s="54">
        <v>105.5667</v>
      </c>
      <c r="CC33" s="129">
        <v>45798.625</v>
      </c>
      <c r="CD33" s="54">
        <v>58.378999999999998</v>
      </c>
      <c r="CF33" s="131">
        <v>45923.625</v>
      </c>
      <c r="CG33" s="45">
        <f t="shared" si="20"/>
        <v>242.93100000000001</v>
      </c>
      <c r="CH33" s="46">
        <f t="shared" si="51"/>
        <v>344387.99999999971</v>
      </c>
      <c r="CI33" s="46">
        <f t="shared" si="52"/>
        <v>93750</v>
      </c>
      <c r="CJ33" s="45">
        <f t="shared" si="53"/>
        <v>49.594999999999999</v>
      </c>
      <c r="CK33" s="46">
        <f t="shared" si="54"/>
        <v>268168.50000000012</v>
      </c>
      <c r="CL33" s="47">
        <f t="shared" si="55"/>
        <v>84375</v>
      </c>
      <c r="CM33" s="45">
        <f t="shared" si="56"/>
        <v>85594.499999999593</v>
      </c>
      <c r="CO33" s="129">
        <v>45799.625</v>
      </c>
      <c r="CP33" s="54">
        <v>305.50700000000001</v>
      </c>
      <c r="CQ33" s="129">
        <v>45799.625</v>
      </c>
      <c r="CR33" s="54">
        <v>58.765999999999998</v>
      </c>
      <c r="CS33" s="54"/>
      <c r="CT33" s="54"/>
      <c r="CU33" s="54"/>
      <c r="CV33" s="54"/>
      <c r="CW33" s="54"/>
      <c r="CX33" s="54"/>
      <c r="CY33" s="54"/>
      <c r="DF33" s="142">
        <f t="shared" si="1"/>
        <v>45924.625</v>
      </c>
      <c r="DG33" s="58">
        <f t="shared" si="2"/>
        <v>37590.467665056494</v>
      </c>
      <c r="DH33" s="58">
        <f t="shared" si="3"/>
        <v>-21128.75928180453</v>
      </c>
      <c r="DI33" s="58">
        <f t="shared" si="5"/>
        <v>-14812.499999999956</v>
      </c>
      <c r="DJ33" s="58">
        <f t="shared" si="6"/>
        <v>87238.222222221724</v>
      </c>
      <c r="DK33" s="58">
        <f t="shared" si="21"/>
        <v>-33601.17759960299</v>
      </c>
      <c r="DL33" s="58">
        <f t="shared" si="21"/>
        <v>29401.104075786388</v>
      </c>
      <c r="DM33" s="58">
        <f t="shared" si="21"/>
        <v>11137.500000000888</v>
      </c>
      <c r="DN33" s="58">
        <f t="shared" si="21"/>
        <v>1643.7222222221317</v>
      </c>
      <c r="DO33" s="58">
        <f t="shared" si="7"/>
        <v>-33601.17759960299</v>
      </c>
      <c r="DP33" s="58">
        <f t="shared" si="7"/>
        <v>29401.104075786388</v>
      </c>
      <c r="DQ33" s="58">
        <f t="shared" si="7"/>
        <v>11137.500000000888</v>
      </c>
      <c r="DR33" s="58">
        <f t="shared" si="7"/>
        <v>1643.7222222221317</v>
      </c>
      <c r="DS33" s="58">
        <f>SUM(DO$15:DO33)</f>
        <v>-71920.583263528039</v>
      </c>
      <c r="DT33" s="58">
        <f>SUM(DP$15:DP33)</f>
        <v>-53426.559458734475</v>
      </c>
      <c r="DU33" s="58">
        <f>SUM(DQ$15:DQ33)</f>
        <v>-15956.249999998843</v>
      </c>
      <c r="DV33" s="58">
        <f>SUM(DR$15:DR33)</f>
        <v>-16572.499999999971</v>
      </c>
      <c r="DZ33" s="133">
        <v>45924.625</v>
      </c>
      <c r="EA33" s="54">
        <f>VLOOKUP($DZ33,$DF$12:DS$49,14)</f>
        <v>-71920.583263528039</v>
      </c>
      <c r="EB33" s="54">
        <f>VLOOKUP($DZ33,$DF$12:DT$49,15)</f>
        <v>-53426.559458734475</v>
      </c>
      <c r="EC33" s="54">
        <f>VLOOKUP($DZ33,$DF$12:DU$49,16)</f>
        <v>-15956.249999998843</v>
      </c>
      <c r="ED33" s="54">
        <f>VLOOKUP($DZ33,$DF$12:DV$49,17)</f>
        <v>-16572.499999999971</v>
      </c>
    </row>
    <row r="34" spans="1:134" x14ac:dyDescent="0.3">
      <c r="A34" s="139">
        <v>45874.625</v>
      </c>
      <c r="B34" s="76">
        <f t="shared" si="22"/>
        <v>94.45</v>
      </c>
      <c r="C34" s="31">
        <f t="shared" si="8"/>
        <v>146432.37486687832</v>
      </c>
      <c r="D34" s="32">
        <f t="shared" si="9"/>
        <v>-82250</v>
      </c>
      <c r="E34" s="76">
        <f t="shared" si="23"/>
        <v>101.217</v>
      </c>
      <c r="F34" s="31">
        <f t="shared" si="10"/>
        <v>-4800.0000000001819</v>
      </c>
      <c r="G34" s="32">
        <f t="shared" si="11"/>
        <v>-29283.244666666658</v>
      </c>
      <c r="H34" s="76">
        <f t="shared" si="24"/>
        <v>120.52</v>
      </c>
      <c r="I34" s="31">
        <f t="shared" si="12"/>
        <v>-486792.45283019333</v>
      </c>
      <c r="J34" s="32">
        <f t="shared" si="13"/>
        <v>-141470</v>
      </c>
      <c r="K34" s="76">
        <f t="shared" si="25"/>
        <v>99.923000000000002</v>
      </c>
      <c r="L34" s="31">
        <f t="shared" si="14"/>
        <v>66829.999999998647</v>
      </c>
      <c r="M34" s="32">
        <f t="shared" si="15"/>
        <v>-64410.708444444448</v>
      </c>
      <c r="N34" s="82">
        <f t="shared" si="16"/>
        <v>728947.36391929258</v>
      </c>
      <c r="O34" s="82"/>
      <c r="P34" s="82"/>
      <c r="Q34" s="82">
        <f>$G$5*SUM($O$14:O34)-$H$5*SUM($P$14:P34)</f>
        <v>-685953.76080000005</v>
      </c>
      <c r="R34" s="82">
        <f t="shared" si="17"/>
        <v>42993.603119292529</v>
      </c>
      <c r="S34" s="143"/>
      <c r="U34" s="75">
        <v>45800.625</v>
      </c>
      <c r="V34" s="54">
        <v>92.47</v>
      </c>
      <c r="W34" s="75">
        <v>45799.625</v>
      </c>
      <c r="X34" s="54">
        <v>101.363</v>
      </c>
      <c r="Y34" s="125">
        <v>45804.625</v>
      </c>
      <c r="Z34" s="54">
        <v>121.1</v>
      </c>
      <c r="AA34" s="75">
        <v>45889.625</v>
      </c>
      <c r="AB34" s="54">
        <v>99.653999999999996</v>
      </c>
      <c r="AF34" s="131">
        <v>45924.625</v>
      </c>
      <c r="AG34" s="45">
        <f t="shared" si="26"/>
        <v>81.150000000000006</v>
      </c>
      <c r="AH34" s="46">
        <f t="shared" si="27"/>
        <v>55576.139310858918</v>
      </c>
      <c r="AI34" s="46">
        <f t="shared" si="28"/>
        <v>-82250</v>
      </c>
      <c r="AJ34" s="45">
        <f t="shared" si="29"/>
        <v>99.6015625</v>
      </c>
      <c r="AK34" s="46">
        <f t="shared" si="30"/>
        <v>-6529.0178571428569</v>
      </c>
      <c r="AL34" s="47">
        <f t="shared" si="31"/>
        <v>-6393.0631510416715</v>
      </c>
      <c r="AM34" s="45">
        <f t="shared" si="32"/>
        <v>111.26</v>
      </c>
      <c r="AN34" s="46">
        <f t="shared" si="33"/>
        <v>287454.07096766192</v>
      </c>
      <c r="AO34" s="47">
        <f t="shared" si="34"/>
        <v>-84600</v>
      </c>
      <c r="AP34" s="45">
        <f t="shared" si="35"/>
        <v>99.6015625</v>
      </c>
      <c r="AQ34" s="46">
        <f t="shared" si="36"/>
        <v>-5691.9642857142862</v>
      </c>
      <c r="AR34" s="47">
        <f t="shared" si="37"/>
        <v>-5573.4396701388905</v>
      </c>
      <c r="AS34" s="45">
        <f t="shared" si="38"/>
        <v>100.859375</v>
      </c>
      <c r="AT34" s="46">
        <f t="shared" si="39"/>
        <v>39341.517857142855</v>
      </c>
      <c r="AU34" s="47">
        <f t="shared" si="40"/>
        <v>61.302083333335759</v>
      </c>
      <c r="AV34" s="45">
        <f t="shared" si="41"/>
        <v>100.015625</v>
      </c>
      <c r="AW34" s="46">
        <f t="shared" si="42"/>
        <v>192187.5</v>
      </c>
      <c r="AX34" s="47">
        <f t="shared" si="43"/>
        <v>3661.7747395833358</v>
      </c>
      <c r="AY34" s="82">
        <f t="shared" si="44"/>
        <v>7380.8400755878465</v>
      </c>
      <c r="AZ34" s="82"/>
      <c r="BA34" s="82"/>
      <c r="BB34" s="82">
        <f>$AO$4*SUM($AZ$14:AZ34)-$AP$4*SUM($BA$14:BA34)</f>
        <v>28509.599357392377</v>
      </c>
      <c r="BC34" s="82">
        <f t="shared" si="18"/>
        <v>-21128.75928180453</v>
      </c>
      <c r="BE34" s="75">
        <v>45797.625</v>
      </c>
      <c r="BF34" s="54">
        <v>79.34</v>
      </c>
      <c r="BG34" s="75">
        <v>45939.625</v>
      </c>
      <c r="BH34" s="54">
        <v>99.5078125</v>
      </c>
      <c r="BI34" s="75">
        <v>45797.625</v>
      </c>
      <c r="BJ34" s="54">
        <v>106.86</v>
      </c>
      <c r="BK34" s="75">
        <v>45939.625</v>
      </c>
      <c r="BL34" s="54">
        <v>99.5078125</v>
      </c>
      <c r="BM34" s="75">
        <v>45918.625</v>
      </c>
      <c r="BN34" s="54">
        <v>101.09375</v>
      </c>
      <c r="BO34" s="75">
        <v>45919.625</v>
      </c>
      <c r="BP34" s="54">
        <v>100.125</v>
      </c>
      <c r="BR34" s="131">
        <v>45924.625</v>
      </c>
      <c r="BS34" s="45">
        <f t="shared" si="19"/>
        <v>107.7465</v>
      </c>
      <c r="BT34" s="46">
        <f t="shared" si="45"/>
        <v>93750</v>
      </c>
      <c r="BU34" s="46">
        <f t="shared" si="46"/>
        <v>97222.222222222234</v>
      </c>
      <c r="BV34" s="45">
        <f t="shared" si="47"/>
        <v>48.238999999999997</v>
      </c>
      <c r="BW34" s="46">
        <f t="shared" si="48"/>
        <v>108562.49999999999</v>
      </c>
      <c r="BX34" s="47">
        <f t="shared" si="49"/>
        <v>97222.222222222219</v>
      </c>
      <c r="BY34" s="45">
        <f t="shared" si="50"/>
        <v>-14812.499999999956</v>
      </c>
      <c r="CA34" s="129">
        <v>45799.625</v>
      </c>
      <c r="CB34" s="54">
        <v>105.6853</v>
      </c>
      <c r="CC34" s="129">
        <v>45799.625</v>
      </c>
      <c r="CD34" s="54">
        <v>57.960999999999999</v>
      </c>
      <c r="CF34" s="131">
        <v>45924.625</v>
      </c>
      <c r="CG34" s="45">
        <f t="shared" si="20"/>
        <v>243.08600000000001</v>
      </c>
      <c r="CH34" s="46">
        <f t="shared" si="51"/>
        <v>342682.99999999959</v>
      </c>
      <c r="CI34" s="46">
        <f t="shared" si="52"/>
        <v>97222.222222222234</v>
      </c>
      <c r="CJ34" s="45">
        <f t="shared" si="53"/>
        <v>49.652999999999999</v>
      </c>
      <c r="CK34" s="46">
        <f t="shared" si="54"/>
        <v>265167.00000000012</v>
      </c>
      <c r="CL34" s="47">
        <f t="shared" si="55"/>
        <v>87500</v>
      </c>
      <c r="CM34" s="45">
        <f t="shared" si="56"/>
        <v>87238.222222221724</v>
      </c>
      <c r="CO34" s="129">
        <v>45800.625</v>
      </c>
      <c r="CP34" s="54">
        <v>312.83199999999999</v>
      </c>
      <c r="CQ34" s="129">
        <v>45800.625</v>
      </c>
      <c r="CR34" s="54">
        <v>60.347000000000001</v>
      </c>
      <c r="CS34" s="54"/>
      <c r="CT34" s="54"/>
      <c r="CU34" s="54"/>
      <c r="CV34" s="54"/>
      <c r="CW34" s="54"/>
      <c r="CX34" s="54"/>
      <c r="CY34" s="54"/>
      <c r="DF34" s="142">
        <f t="shared" si="1"/>
        <v>45925.625</v>
      </c>
      <c r="DG34" s="58">
        <f t="shared" si="2"/>
        <v>38126.776980563591</v>
      </c>
      <c r="DH34" s="58">
        <f t="shared" si="3"/>
        <v>-51936.181784138767</v>
      </c>
      <c r="DI34" s="58">
        <f t="shared" si="5"/>
        <v>-11349.999999998821</v>
      </c>
      <c r="DJ34" s="58">
        <f t="shared" si="6"/>
        <v>98365.694444444147</v>
      </c>
      <c r="DK34" s="58">
        <f t="shared" si="21"/>
        <v>536.30931550709647</v>
      </c>
      <c r="DL34" s="58">
        <f t="shared" si="21"/>
        <v>-30807.422502334237</v>
      </c>
      <c r="DM34" s="58">
        <f t="shared" si="21"/>
        <v>3462.500000001135</v>
      </c>
      <c r="DN34" s="58">
        <f t="shared" si="21"/>
        <v>11127.472222222423</v>
      </c>
      <c r="DO34" s="58">
        <f t="shared" si="7"/>
        <v>536.30931550709647</v>
      </c>
      <c r="DP34" s="58">
        <f t="shared" si="7"/>
        <v>-30807.422502334237</v>
      </c>
      <c r="DQ34" s="58">
        <f t="shared" si="7"/>
        <v>3462.500000001135</v>
      </c>
      <c r="DR34" s="58">
        <f t="shared" si="7"/>
        <v>11127.472222222423</v>
      </c>
      <c r="DS34" s="58">
        <f>SUM(DO$15:DO34)</f>
        <v>-71384.273948020942</v>
      </c>
      <c r="DT34" s="58">
        <f>SUM(DP$15:DP34)</f>
        <v>-84233.981961068712</v>
      </c>
      <c r="DU34" s="58">
        <f>SUM(DQ$15:DQ34)</f>
        <v>-12493.749999997708</v>
      </c>
      <c r="DV34" s="58">
        <f>SUM(DR$15:DR34)</f>
        <v>-5445.0277777775482</v>
      </c>
      <c r="DZ34" s="133">
        <v>45925.625</v>
      </c>
      <c r="EA34" s="54">
        <f>VLOOKUP($DZ34,$DF$12:DS$49,14)</f>
        <v>-71384.273948020942</v>
      </c>
      <c r="EB34" s="54">
        <f>VLOOKUP($DZ34,$DF$12:DT$49,15)</f>
        <v>-84233.981961068712</v>
      </c>
      <c r="EC34" s="54">
        <f>VLOOKUP($DZ34,$DF$12:DU$49,16)</f>
        <v>-12493.749999997708</v>
      </c>
      <c r="ED34" s="54">
        <f>VLOOKUP($DZ34,$DF$12:DV$49,17)</f>
        <v>-5445.0277777775482</v>
      </c>
    </row>
    <row r="35" spans="1:134" x14ac:dyDescent="0.3">
      <c r="A35" s="139">
        <v>45875.625</v>
      </c>
      <c r="B35" s="76">
        <f t="shared" si="22"/>
        <v>94.47</v>
      </c>
      <c r="C35" s="31">
        <f t="shared" si="8"/>
        <v>151757.1884984026</v>
      </c>
      <c r="D35" s="32">
        <f t="shared" si="9"/>
        <v>-85187.5</v>
      </c>
      <c r="E35" s="76">
        <f t="shared" si="23"/>
        <v>101.197</v>
      </c>
      <c r="F35" s="31">
        <f t="shared" si="10"/>
        <v>-8799.9999999993852</v>
      </c>
      <c r="G35" s="32">
        <f t="shared" si="11"/>
        <v>-30329.074833333332</v>
      </c>
      <c r="H35" s="76">
        <f t="shared" si="24"/>
        <v>120.41</v>
      </c>
      <c r="I35" s="31">
        <f t="shared" si="12"/>
        <v>-525594.74979491893</v>
      </c>
      <c r="J35" s="32">
        <f t="shared" si="13"/>
        <v>-146522.5</v>
      </c>
      <c r="K35" s="76">
        <f t="shared" si="25"/>
        <v>99.869</v>
      </c>
      <c r="L35" s="31">
        <f t="shared" si="14"/>
        <v>44689.999999997803</v>
      </c>
      <c r="M35" s="32">
        <f t="shared" si="15"/>
        <v>-66711.09088888891</v>
      </c>
      <c r="N35" s="82">
        <f t="shared" si="16"/>
        <v>755794.92223776306</v>
      </c>
      <c r="O35" s="82"/>
      <c r="P35" s="82"/>
      <c r="Q35" s="82">
        <f>$G$5*SUM($O$14:O35)-$H$5*SUM($P$14:P35)</f>
        <v>-685953.76080000005</v>
      </c>
      <c r="R35" s="82">
        <f t="shared" si="17"/>
        <v>69841.161437763018</v>
      </c>
      <c r="S35" s="143"/>
      <c r="U35" s="75">
        <v>45804.625</v>
      </c>
      <c r="V35" s="54">
        <v>93.11</v>
      </c>
      <c r="W35" s="75">
        <v>45800.625</v>
      </c>
      <c r="X35" s="54">
        <v>101.581</v>
      </c>
      <c r="Y35" s="125">
        <v>45805.625</v>
      </c>
      <c r="Z35" s="54">
        <v>120.98</v>
      </c>
      <c r="AA35" s="75">
        <v>45890.625</v>
      </c>
      <c r="AB35" s="54">
        <v>99.468999999999994</v>
      </c>
      <c r="AF35" s="131">
        <v>45925.625</v>
      </c>
      <c r="AG35" s="45">
        <f t="shared" si="26"/>
        <v>80.92</v>
      </c>
      <c r="AH35" s="46">
        <f t="shared" si="27"/>
        <v>-15437.816475236121</v>
      </c>
      <c r="AI35" s="46">
        <f t="shared" si="28"/>
        <v>-85187.5</v>
      </c>
      <c r="AJ35" s="45">
        <f t="shared" si="29"/>
        <v>99.390625</v>
      </c>
      <c r="AK35" s="46">
        <f t="shared" si="30"/>
        <v>-35909.598214285717</v>
      </c>
      <c r="AL35" s="47">
        <f t="shared" si="31"/>
        <v>-6621.3868350074408</v>
      </c>
      <c r="AM35" s="45">
        <f t="shared" si="32"/>
        <v>111.06</v>
      </c>
      <c r="AN35" s="46">
        <f t="shared" si="33"/>
        <v>240713.57162332331</v>
      </c>
      <c r="AO35" s="47">
        <f t="shared" si="34"/>
        <v>-87621.42857142858</v>
      </c>
      <c r="AP35" s="45">
        <f t="shared" si="35"/>
        <v>99.390625</v>
      </c>
      <c r="AQ35" s="46">
        <f t="shared" si="36"/>
        <v>-31305.803571428576</v>
      </c>
      <c r="AR35" s="47">
        <f t="shared" si="37"/>
        <v>-5772.4910869295636</v>
      </c>
      <c r="AS35" s="45">
        <f t="shared" si="38"/>
        <v>100.640625</v>
      </c>
      <c r="AT35" s="46">
        <f t="shared" si="39"/>
        <v>27622.767857142859</v>
      </c>
      <c r="AU35" s="47">
        <f t="shared" si="40"/>
        <v>63.491443452381645</v>
      </c>
      <c r="AV35" s="45">
        <f t="shared" si="41"/>
        <v>100.03125</v>
      </c>
      <c r="AW35" s="46">
        <f t="shared" si="42"/>
        <v>193359.375</v>
      </c>
      <c r="AX35" s="47">
        <f t="shared" si="43"/>
        <v>3792.5524088541715</v>
      </c>
      <c r="AY35" s="82">
        <f t="shared" si="44"/>
        <v>-23426.58242674639</v>
      </c>
      <c r="AZ35" s="82"/>
      <c r="BA35" s="82"/>
      <c r="BB35" s="82">
        <f>$AO$4*SUM($AZ$14:AZ35)-$AP$4*SUM($BA$14:BA35)</f>
        <v>28509.599357392377</v>
      </c>
      <c r="BC35" s="82">
        <f t="shared" si="18"/>
        <v>-51936.181784138767</v>
      </c>
      <c r="BE35" s="75">
        <v>45798.625</v>
      </c>
      <c r="BF35" s="54">
        <v>78.81</v>
      </c>
      <c r="BG35" s="75">
        <v>45940.625</v>
      </c>
      <c r="BH35" s="54">
        <v>99.890625</v>
      </c>
      <c r="BI35" s="75">
        <v>45798.625</v>
      </c>
      <c r="BJ35" s="54">
        <v>105.66</v>
      </c>
      <c r="BK35" s="75">
        <v>45940.625</v>
      </c>
      <c r="BL35" s="54">
        <v>99.890625</v>
      </c>
      <c r="BM35" s="75">
        <v>45919.625</v>
      </c>
      <c r="BN35" s="54">
        <v>101.015625</v>
      </c>
      <c r="BO35" s="75">
        <v>45922.625</v>
      </c>
      <c r="BP35" s="54">
        <v>99.734375</v>
      </c>
      <c r="BR35" s="131">
        <v>45925.625</v>
      </c>
      <c r="BS35" s="45">
        <f t="shared" si="19"/>
        <v>107.6015</v>
      </c>
      <c r="BT35" s="46">
        <f t="shared" si="45"/>
        <v>57500.000000000997</v>
      </c>
      <c r="BU35" s="46">
        <f t="shared" si="46"/>
        <v>100694.44444444445</v>
      </c>
      <c r="BV35" s="45">
        <f t="shared" si="47"/>
        <v>48.945</v>
      </c>
      <c r="BW35" s="46">
        <f t="shared" si="48"/>
        <v>68849.999999999811</v>
      </c>
      <c r="BX35" s="47">
        <f t="shared" si="49"/>
        <v>100694.44444444447</v>
      </c>
      <c r="BY35" s="45">
        <f t="shared" si="50"/>
        <v>-11349.999999998821</v>
      </c>
      <c r="CA35" s="129">
        <v>45804.625</v>
      </c>
      <c r="CB35" s="54">
        <v>106.0853</v>
      </c>
      <c r="CC35" s="129">
        <v>45804.625</v>
      </c>
      <c r="CD35" s="54">
        <v>55.93</v>
      </c>
      <c r="CF35" s="131">
        <v>45925.625</v>
      </c>
      <c r="CG35" s="45">
        <f t="shared" si="20"/>
        <v>247.20099999999999</v>
      </c>
      <c r="CH35" s="46">
        <f t="shared" si="51"/>
        <v>297417.99999999988</v>
      </c>
      <c r="CI35" s="46">
        <f t="shared" si="52"/>
        <v>100694.44444444445</v>
      </c>
      <c r="CJ35" s="45">
        <f t="shared" si="53"/>
        <v>50.735999999999997</v>
      </c>
      <c r="CK35" s="46">
        <f t="shared" si="54"/>
        <v>209121.75000000017</v>
      </c>
      <c r="CL35" s="47">
        <f t="shared" si="55"/>
        <v>90625</v>
      </c>
      <c r="CM35" s="45">
        <f t="shared" si="56"/>
        <v>98365.694444444147</v>
      </c>
      <c r="CO35" s="129">
        <v>45804.625</v>
      </c>
      <c r="CP35" s="54">
        <v>300.76</v>
      </c>
      <c r="CQ35" s="129">
        <v>45804.625</v>
      </c>
      <c r="CR35" s="54">
        <v>57.875</v>
      </c>
      <c r="CS35" s="54"/>
      <c r="CT35" s="54"/>
      <c r="CU35" s="54"/>
      <c r="CV35" s="54"/>
      <c r="CW35" s="54"/>
      <c r="CX35" s="54"/>
      <c r="CY35" s="54"/>
      <c r="DF35" s="142">
        <f t="shared" si="1"/>
        <v>45926.625</v>
      </c>
      <c r="DG35" s="58">
        <f t="shared" si="2"/>
        <v>80819.631518541748</v>
      </c>
      <c r="DH35" s="58">
        <f t="shared" si="3"/>
        <v>-50765.134632205474</v>
      </c>
      <c r="DI35" s="58">
        <f t="shared" si="5"/>
        <v>-6262.4999999984429</v>
      </c>
      <c r="DJ35" s="58">
        <f t="shared" si="6"/>
        <v>105963.91666666651</v>
      </c>
      <c r="DK35" s="58">
        <f t="shared" si="21"/>
        <v>42692.854537978157</v>
      </c>
      <c r="DL35" s="58">
        <f t="shared" si="21"/>
        <v>1171.0471519332932</v>
      </c>
      <c r="DM35" s="58">
        <f t="shared" si="21"/>
        <v>5087.5000000003783</v>
      </c>
      <c r="DN35" s="58">
        <f t="shared" si="21"/>
        <v>7598.2222222223645</v>
      </c>
      <c r="DO35" s="58">
        <f t="shared" si="7"/>
        <v>42692.854537978157</v>
      </c>
      <c r="DP35" s="58">
        <f t="shared" si="7"/>
        <v>1171.0471519332932</v>
      </c>
      <c r="DQ35" s="58">
        <f t="shared" si="7"/>
        <v>5087.5000000003783</v>
      </c>
      <c r="DR35" s="58">
        <f t="shared" si="7"/>
        <v>7598.2222222223645</v>
      </c>
      <c r="DS35" s="58">
        <f>SUM(DO$15:DO35)</f>
        <v>-28691.419410042785</v>
      </c>
      <c r="DT35" s="58">
        <f>SUM(DP$15:DP35)</f>
        <v>-83062.934809135419</v>
      </c>
      <c r="DU35" s="58">
        <f>SUM(DQ$15:DQ35)</f>
        <v>-7406.2499999973297</v>
      </c>
      <c r="DV35" s="58">
        <f>SUM(DR$15:DR35)</f>
        <v>2153.1944444448163</v>
      </c>
      <c r="DZ35" s="133">
        <v>45926.625</v>
      </c>
      <c r="EA35" s="54">
        <f>VLOOKUP($DZ35,$DF$12:DS$49,14)</f>
        <v>-28691.419410042785</v>
      </c>
      <c r="EB35" s="54">
        <f>VLOOKUP($DZ35,$DF$12:DT$49,15)</f>
        <v>-83062.934809135419</v>
      </c>
      <c r="EC35" s="54">
        <f>VLOOKUP($DZ35,$DF$12:DU$49,16)</f>
        <v>-7406.2499999973297</v>
      </c>
      <c r="ED35" s="54">
        <f>VLOOKUP($DZ35,$DF$12:DV$49,17)</f>
        <v>2153.1944444448163</v>
      </c>
    </row>
    <row r="36" spans="1:134" x14ac:dyDescent="0.3">
      <c r="A36" s="139">
        <v>45876.625</v>
      </c>
      <c r="B36" s="76">
        <f t="shared" si="22"/>
        <v>94.64</v>
      </c>
      <c r="C36" s="31">
        <f t="shared" si="8"/>
        <v>197018.10436634769</v>
      </c>
      <c r="D36" s="32">
        <f t="shared" si="9"/>
        <v>-88124.999999999985</v>
      </c>
      <c r="E36" s="76">
        <f t="shared" si="23"/>
        <v>101.16500000000001</v>
      </c>
      <c r="F36" s="31">
        <f t="shared" si="10"/>
        <v>-15199.999999998679</v>
      </c>
      <c r="G36" s="32">
        <f t="shared" si="11"/>
        <v>-31374.904999999984</v>
      </c>
      <c r="H36" s="76">
        <f t="shared" si="24"/>
        <v>120.52</v>
      </c>
      <c r="I36" s="31">
        <f t="shared" si="12"/>
        <v>-486792.45283019333</v>
      </c>
      <c r="J36" s="32">
        <f t="shared" si="13"/>
        <v>-151574.99999999997</v>
      </c>
      <c r="K36" s="76">
        <f t="shared" si="25"/>
        <v>99.838999999999999</v>
      </c>
      <c r="L36" s="31">
        <f t="shared" si="14"/>
        <v>32389.999999997341</v>
      </c>
      <c r="M36" s="32">
        <f t="shared" si="15"/>
        <v>-69011.473333333328</v>
      </c>
      <c r="N36" s="82">
        <f t="shared" si="16"/>
        <v>757213.98886320367</v>
      </c>
      <c r="O36" s="82"/>
      <c r="P36" s="82"/>
      <c r="Q36" s="82">
        <f>$G$5*SUM($O$14:O36)-$H$5*SUM($P$14:P36)</f>
        <v>-685953.76080000005</v>
      </c>
      <c r="R36" s="82">
        <f t="shared" si="17"/>
        <v>71260.228063203627</v>
      </c>
      <c r="S36" s="143"/>
      <c r="U36" s="75">
        <v>45805.625</v>
      </c>
      <c r="V36" s="54">
        <v>93.01</v>
      </c>
      <c r="W36" s="75">
        <v>45803.625</v>
      </c>
      <c r="X36" s="54">
        <v>101.53100000000001</v>
      </c>
      <c r="Y36" s="125">
        <v>45806.625</v>
      </c>
      <c r="Z36" s="54">
        <v>121.25</v>
      </c>
      <c r="AA36" s="75">
        <v>45891.625</v>
      </c>
      <c r="AB36" s="54">
        <v>99.596000000000004</v>
      </c>
      <c r="AF36" s="131">
        <v>45926.625</v>
      </c>
      <c r="AG36" s="45">
        <f t="shared" si="26"/>
        <v>81.08</v>
      </c>
      <c r="AH36" s="46">
        <f t="shared" si="27"/>
        <v>33963.196245523352</v>
      </c>
      <c r="AI36" s="46">
        <f t="shared" si="28"/>
        <v>-88124.999999999985</v>
      </c>
      <c r="AJ36" s="45">
        <f t="shared" si="29"/>
        <v>99.3828125</v>
      </c>
      <c r="AK36" s="46">
        <f t="shared" si="30"/>
        <v>-36997.767857142862</v>
      </c>
      <c r="AL36" s="47">
        <f t="shared" si="31"/>
        <v>-6849.7105189732174</v>
      </c>
      <c r="AM36" s="45">
        <f t="shared" si="32"/>
        <v>111.21</v>
      </c>
      <c r="AN36" s="46">
        <f t="shared" si="33"/>
        <v>275768.94613157155</v>
      </c>
      <c r="AO36" s="47">
        <f t="shared" si="34"/>
        <v>-90642.85714285713</v>
      </c>
      <c r="AP36" s="45">
        <f t="shared" si="35"/>
        <v>99.3828125</v>
      </c>
      <c r="AQ36" s="46">
        <f t="shared" si="36"/>
        <v>-32254.46428571429</v>
      </c>
      <c r="AR36" s="47">
        <f t="shared" si="37"/>
        <v>-5971.5425037202367</v>
      </c>
      <c r="AS36" s="45">
        <f t="shared" si="38"/>
        <v>100.5625</v>
      </c>
      <c r="AT36" s="46">
        <f t="shared" si="39"/>
        <v>23437.500000000004</v>
      </c>
      <c r="AU36" s="47">
        <f t="shared" si="40"/>
        <v>65.68080357143117</v>
      </c>
      <c r="AV36" s="45">
        <f t="shared" si="41"/>
        <v>99.90625</v>
      </c>
      <c r="AW36" s="46">
        <f t="shared" si="42"/>
        <v>183984.375</v>
      </c>
      <c r="AX36" s="47">
        <f t="shared" si="43"/>
        <v>3923.330078125</v>
      </c>
      <c r="AY36" s="82">
        <f t="shared" si="44"/>
        <v>-22255.535274813097</v>
      </c>
      <c r="AZ36" s="82"/>
      <c r="BA36" s="82"/>
      <c r="BB36" s="82">
        <f>$AO$4*SUM($AZ$14:AZ36)-$AP$4*SUM($BA$14:BA36)</f>
        <v>28509.599357392377</v>
      </c>
      <c r="BC36" s="82">
        <f t="shared" si="18"/>
        <v>-50765.134632205474</v>
      </c>
      <c r="BE36" s="75">
        <v>45799.625</v>
      </c>
      <c r="BF36" s="54">
        <v>78.97</v>
      </c>
      <c r="BG36" s="75">
        <v>45943.625</v>
      </c>
      <c r="BH36" s="54">
        <v>99.9921875</v>
      </c>
      <c r="BI36" s="75">
        <v>45799.625</v>
      </c>
      <c r="BJ36" s="54">
        <v>106.2</v>
      </c>
      <c r="BK36" s="75">
        <v>45943.625</v>
      </c>
      <c r="BL36" s="54">
        <v>99.9921875</v>
      </c>
      <c r="BM36" s="75">
        <v>45922.625</v>
      </c>
      <c r="BN36" s="54">
        <v>100.8125</v>
      </c>
      <c r="BO36" s="75">
        <v>45923.625</v>
      </c>
      <c r="BP36" s="54">
        <v>100.421875</v>
      </c>
      <c r="BR36" s="131">
        <v>45926.625</v>
      </c>
      <c r="BS36" s="45">
        <f t="shared" si="19"/>
        <v>107.7762</v>
      </c>
      <c r="BT36" s="46">
        <f t="shared" si="45"/>
        <v>101175.00000000135</v>
      </c>
      <c r="BU36" s="46">
        <f t="shared" si="46"/>
        <v>104166.66666666667</v>
      </c>
      <c r="BV36" s="45">
        <f t="shared" si="47"/>
        <v>48.259</v>
      </c>
      <c r="BW36" s="46">
        <f t="shared" si="48"/>
        <v>107437.49999999981</v>
      </c>
      <c r="BX36" s="47">
        <f t="shared" si="49"/>
        <v>104166.66666666666</v>
      </c>
      <c r="BY36" s="45">
        <f t="shared" si="50"/>
        <v>-6262.4999999984429</v>
      </c>
      <c r="CA36" s="129">
        <v>45805.625</v>
      </c>
      <c r="CB36" s="54">
        <v>106.0368</v>
      </c>
      <c r="CC36" s="129">
        <v>45805.625</v>
      </c>
      <c r="CD36" s="54">
        <v>56.25</v>
      </c>
      <c r="CF36" s="131">
        <v>45926.625</v>
      </c>
      <c r="CG36" s="45">
        <f t="shared" si="20"/>
        <v>244.453</v>
      </c>
      <c r="CH36" s="46">
        <f t="shared" si="51"/>
        <v>327645.99999999977</v>
      </c>
      <c r="CI36" s="46">
        <f t="shared" si="52"/>
        <v>104166.66666666667</v>
      </c>
      <c r="CJ36" s="45">
        <f t="shared" si="53"/>
        <v>50.292000000000002</v>
      </c>
      <c r="CK36" s="46">
        <f t="shared" si="54"/>
        <v>232098.74999999994</v>
      </c>
      <c r="CL36" s="47">
        <f t="shared" si="55"/>
        <v>93750</v>
      </c>
      <c r="CM36" s="45">
        <f t="shared" si="56"/>
        <v>105963.91666666651</v>
      </c>
      <c r="CO36" s="129">
        <v>45805.625</v>
      </c>
      <c r="CP36" s="54">
        <v>299.834</v>
      </c>
      <c r="CQ36" s="129">
        <v>45805.625</v>
      </c>
      <c r="CR36" s="54">
        <v>57.68</v>
      </c>
      <c r="CS36" s="54"/>
      <c r="CT36" s="54"/>
      <c r="CU36" s="54"/>
      <c r="CV36" s="54"/>
      <c r="CW36" s="54"/>
      <c r="CX36" s="54"/>
      <c r="CY36" s="54"/>
      <c r="DF36" s="142">
        <f t="shared" si="1"/>
        <v>45929.625</v>
      </c>
      <c r="DG36" s="58">
        <f t="shared" si="2"/>
        <v>4003.7110540830763</v>
      </c>
      <c r="DH36" s="58">
        <f t="shared" si="3"/>
        <v>-22232.722256011908</v>
      </c>
      <c r="DI36" s="58">
        <f t="shared" si="5"/>
        <v>1787.500000000422</v>
      </c>
      <c r="DJ36" s="58">
        <f t="shared" si="6"/>
        <v>103292.0833333332</v>
      </c>
      <c r="DK36" s="58">
        <f t="shared" si="21"/>
        <v>-76815.920464458672</v>
      </c>
      <c r="DL36" s="58">
        <f t="shared" si="21"/>
        <v>28532.412376193566</v>
      </c>
      <c r="DM36" s="58">
        <f t="shared" si="21"/>
        <v>8049.999999998865</v>
      </c>
      <c r="DN36" s="58">
        <f t="shared" si="21"/>
        <v>-2671.8333333333139</v>
      </c>
      <c r="DO36" s="58">
        <f t="shared" si="7"/>
        <v>-76815.920464458672</v>
      </c>
      <c r="DP36" s="58">
        <f t="shared" si="7"/>
        <v>28532.412376193566</v>
      </c>
      <c r="DQ36" s="58">
        <f t="shared" si="7"/>
        <v>8049.999999998865</v>
      </c>
      <c r="DR36" s="58">
        <f t="shared" si="7"/>
        <v>-2671.8333333333139</v>
      </c>
      <c r="DS36" s="58">
        <f>SUM(DO$15:DO36)</f>
        <v>-105507.33987450146</v>
      </c>
      <c r="DT36" s="58">
        <f>SUM(DP$15:DP36)</f>
        <v>-54530.522432941856</v>
      </c>
      <c r="DU36" s="58">
        <f>SUM(DQ$15:DQ36)</f>
        <v>643.75000000153523</v>
      </c>
      <c r="DV36" s="58">
        <f>SUM(DR$15:DR36)</f>
        <v>-518.6388888884976</v>
      </c>
      <c r="DZ36" s="133">
        <v>45929.625</v>
      </c>
      <c r="EA36" s="54">
        <f>VLOOKUP($DZ36,$DF$12:DS$49,14)</f>
        <v>-105507.33987450146</v>
      </c>
      <c r="EB36" s="54">
        <f>VLOOKUP($DZ36,$DF$12:DT$49,15)</f>
        <v>-54530.522432941856</v>
      </c>
      <c r="EC36" s="54">
        <f>VLOOKUP($DZ36,$DF$12:DU$49,16)</f>
        <v>643.75000000153523</v>
      </c>
      <c r="ED36" s="54">
        <f>VLOOKUP($DZ36,$DF$12:DV$49,17)</f>
        <v>-518.6388888884976</v>
      </c>
    </row>
    <row r="37" spans="1:134" x14ac:dyDescent="0.3">
      <c r="A37" s="139">
        <v>45877.625</v>
      </c>
      <c r="B37" s="76">
        <f t="shared" si="22"/>
        <v>94.67</v>
      </c>
      <c r="C37" s="31">
        <f t="shared" si="8"/>
        <v>205005.32481362854</v>
      </c>
      <c r="D37" s="32">
        <f t="shared" si="9"/>
        <v>-91062.5</v>
      </c>
      <c r="E37" s="76">
        <f t="shared" si="23"/>
        <v>101.039</v>
      </c>
      <c r="F37" s="31">
        <f t="shared" si="10"/>
        <v>-40399.999999999636</v>
      </c>
      <c r="G37" s="32">
        <f t="shared" si="11"/>
        <v>-32420.735166666658</v>
      </c>
      <c r="H37" s="76">
        <f t="shared" si="24"/>
        <v>120.29</v>
      </c>
      <c r="I37" s="31">
        <f t="shared" si="12"/>
        <v>-567924.52830188663</v>
      </c>
      <c r="J37" s="32">
        <f t="shared" si="13"/>
        <v>-156627.5</v>
      </c>
      <c r="K37" s="76">
        <f t="shared" si="25"/>
        <v>99.611000000000004</v>
      </c>
      <c r="L37" s="31">
        <f t="shared" si="14"/>
        <v>-61090.000000000371</v>
      </c>
      <c r="M37" s="32">
        <f t="shared" si="15"/>
        <v>-71311.85577777779</v>
      </c>
      <c r="N37" s="82">
        <f t="shared" si="16"/>
        <v>778913.73250440322</v>
      </c>
      <c r="O37" s="82"/>
      <c r="P37" s="82"/>
      <c r="Q37" s="82">
        <f>$G$5*SUM($O$14:O37)-$H$5*SUM($P$14:P37)</f>
        <v>-685953.76080000005</v>
      </c>
      <c r="R37" s="82">
        <f t="shared" si="17"/>
        <v>92959.971704403171</v>
      </c>
      <c r="S37" s="143"/>
      <c r="U37" s="75">
        <v>45806.625</v>
      </c>
      <c r="V37" s="54">
        <v>93.33</v>
      </c>
      <c r="W37" s="75">
        <v>45804.625</v>
      </c>
      <c r="X37" s="54">
        <v>101.529</v>
      </c>
      <c r="Y37" s="125">
        <v>45810.625</v>
      </c>
      <c r="Z37" s="54">
        <v>121.27</v>
      </c>
      <c r="AA37" s="75">
        <v>45894.625</v>
      </c>
      <c r="AB37" s="54">
        <v>99.394999999999996</v>
      </c>
      <c r="AF37" s="131">
        <v>45929.625</v>
      </c>
      <c r="AG37" s="45">
        <f t="shared" si="26"/>
        <v>81.22</v>
      </c>
      <c r="AH37" s="46">
        <f t="shared" si="27"/>
        <v>77189.082376188933</v>
      </c>
      <c r="AI37" s="46">
        <f t="shared" si="28"/>
        <v>-96937.499999999985</v>
      </c>
      <c r="AJ37" s="45">
        <f t="shared" si="29"/>
        <v>99.4921875</v>
      </c>
      <c r="AK37" s="46">
        <f t="shared" si="30"/>
        <v>-21763.392857142859</v>
      </c>
      <c r="AL37" s="47">
        <f t="shared" si="31"/>
        <v>-7534.6815708705399</v>
      </c>
      <c r="AM37" s="45">
        <f t="shared" si="32"/>
        <v>111.58</v>
      </c>
      <c r="AN37" s="46">
        <f t="shared" si="33"/>
        <v>362238.86991859571</v>
      </c>
      <c r="AO37" s="47">
        <f t="shared" si="34"/>
        <v>-99707.142857142855</v>
      </c>
      <c r="AP37" s="45">
        <f t="shared" si="35"/>
        <v>99.4921875</v>
      </c>
      <c r="AQ37" s="46">
        <f t="shared" si="36"/>
        <v>-18973.214285714286</v>
      </c>
      <c r="AR37" s="47">
        <f t="shared" si="37"/>
        <v>-6568.6967540922633</v>
      </c>
      <c r="AS37" s="45">
        <f t="shared" si="38"/>
        <v>100.875</v>
      </c>
      <c r="AT37" s="46">
        <f t="shared" si="39"/>
        <v>40178.571428571428</v>
      </c>
      <c r="AU37" s="47">
        <f t="shared" si="40"/>
        <v>72.248883928576106</v>
      </c>
      <c r="AV37" s="45">
        <f t="shared" si="41"/>
        <v>100.65625</v>
      </c>
      <c r="AW37" s="46">
        <f t="shared" si="42"/>
        <v>240234.37499999997</v>
      </c>
      <c r="AX37" s="47">
        <f t="shared" si="43"/>
        <v>4315.6630859375036</v>
      </c>
      <c r="AY37" s="82">
        <f t="shared" si="44"/>
        <v>6276.877101380469</v>
      </c>
      <c r="AZ37" s="82"/>
      <c r="BA37" s="82"/>
      <c r="BB37" s="82">
        <f>$AO$4*SUM($AZ$14:AZ37)-$AP$4*SUM($BA$14:BA37)</f>
        <v>28509.599357392377</v>
      </c>
      <c r="BC37" s="82">
        <f t="shared" si="18"/>
        <v>-22232.722256011908</v>
      </c>
      <c r="BE37" s="75">
        <v>45800.625</v>
      </c>
      <c r="BF37" s="54">
        <v>78.95</v>
      </c>
      <c r="BG37" s="75">
        <v>45944.625</v>
      </c>
      <c r="BH37" s="54">
        <v>100.1328125</v>
      </c>
      <c r="BI37" s="75">
        <v>45800.625</v>
      </c>
      <c r="BJ37" s="54">
        <v>106.28</v>
      </c>
      <c r="BK37" s="75">
        <v>45944.625</v>
      </c>
      <c r="BL37" s="54">
        <v>100.1328125</v>
      </c>
      <c r="BM37" s="75">
        <v>45923.625</v>
      </c>
      <c r="BN37" s="54">
        <v>101.140625</v>
      </c>
      <c r="BO37" s="75">
        <v>45924.625</v>
      </c>
      <c r="BP37" s="54">
        <v>100.015625</v>
      </c>
      <c r="BR37" s="131">
        <v>45929.625</v>
      </c>
      <c r="BS37" s="45">
        <f t="shared" si="19"/>
        <v>107.9713</v>
      </c>
      <c r="BT37" s="46">
        <f t="shared" si="45"/>
        <v>149950.00000000047</v>
      </c>
      <c r="BU37" s="46">
        <f t="shared" si="46"/>
        <v>114583.33333333333</v>
      </c>
      <c r="BV37" s="45">
        <f t="shared" si="47"/>
        <v>47.534999999999997</v>
      </c>
      <c r="BW37" s="46">
        <f t="shared" si="48"/>
        <v>148162.50000000003</v>
      </c>
      <c r="BX37" s="47">
        <f t="shared" si="49"/>
        <v>114583.33333333333</v>
      </c>
      <c r="BY37" s="45">
        <f t="shared" si="50"/>
        <v>1787.500000000422</v>
      </c>
      <c r="CA37" s="129">
        <v>45806.625</v>
      </c>
      <c r="CB37" s="54">
        <v>106.0986</v>
      </c>
      <c r="CC37" s="129">
        <v>45806.625</v>
      </c>
      <c r="CD37" s="54">
        <v>56.234999999999999</v>
      </c>
      <c r="CF37" s="131">
        <v>45929.625</v>
      </c>
      <c r="CG37" s="45">
        <f t="shared" si="20"/>
        <v>241.69499999999999</v>
      </c>
      <c r="CH37" s="46">
        <f t="shared" si="51"/>
        <v>357983.99999999988</v>
      </c>
      <c r="CI37" s="46">
        <f t="shared" si="52"/>
        <v>114583.33333333333</v>
      </c>
      <c r="CJ37" s="45">
        <f t="shared" si="53"/>
        <v>49.634</v>
      </c>
      <c r="CK37" s="46">
        <f t="shared" si="54"/>
        <v>266150.25</v>
      </c>
      <c r="CL37" s="47">
        <f t="shared" si="55"/>
        <v>103125</v>
      </c>
      <c r="CM37" s="45">
        <f t="shared" si="56"/>
        <v>103292.0833333332</v>
      </c>
      <c r="CO37" s="129">
        <v>45806.625</v>
      </c>
      <c r="CP37" s="54">
        <v>297.57499999999999</v>
      </c>
      <c r="CQ37" s="129">
        <v>45806.625</v>
      </c>
      <c r="CR37" s="54">
        <v>57.243000000000002</v>
      </c>
      <c r="CS37" s="54"/>
      <c r="CT37" s="54"/>
      <c r="CU37" s="54"/>
      <c r="CV37" s="54"/>
      <c r="CW37" s="54"/>
      <c r="CX37" s="54"/>
      <c r="CY37" s="54"/>
      <c r="DF37" s="142">
        <f t="shared" si="1"/>
        <v>45930.625</v>
      </c>
      <c r="DG37" s="58">
        <f t="shared" si="2"/>
        <v>911.97524452535436</v>
      </c>
      <c r="DH37" s="58">
        <f t="shared" si="3"/>
        <v>-28254.023205204176</v>
      </c>
      <c r="DI37" s="58">
        <f t="shared" si="5"/>
        <v>2968.7499999993306</v>
      </c>
      <c r="DJ37" s="58">
        <f t="shared" si="6"/>
        <v>127757.80555555518</v>
      </c>
      <c r="DK37" s="58">
        <f t="shared" si="21"/>
        <v>-3091.735809557722</v>
      </c>
      <c r="DL37" s="58">
        <f t="shared" si="21"/>
        <v>-6021.3009491922676</v>
      </c>
      <c r="DM37" s="58">
        <f t="shared" si="21"/>
        <v>1181.2499999989086</v>
      </c>
      <c r="DN37" s="58">
        <f t="shared" si="21"/>
        <v>24465.722222221986</v>
      </c>
      <c r="DO37" s="58">
        <f t="shared" si="7"/>
        <v>-3091.735809557722</v>
      </c>
      <c r="DP37" s="58">
        <f t="shared" si="7"/>
        <v>-6021.3009491922676</v>
      </c>
      <c r="DQ37" s="58">
        <f t="shared" si="7"/>
        <v>1181.2499999989086</v>
      </c>
      <c r="DR37" s="58">
        <f t="shared" si="7"/>
        <v>24465.722222221986</v>
      </c>
      <c r="DS37" s="58">
        <f>SUM(DO$15:DO37)</f>
        <v>-108599.07568405918</v>
      </c>
      <c r="DT37" s="58">
        <f>SUM(DP$15:DP37)</f>
        <v>-60551.823382134127</v>
      </c>
      <c r="DU37" s="58">
        <f>SUM(DQ$15:DQ37)</f>
        <v>1825.0000000004438</v>
      </c>
      <c r="DV37" s="58">
        <f>SUM(DR$15:DR37)</f>
        <v>23947.083333333489</v>
      </c>
      <c r="DZ37" s="133">
        <v>45930.625</v>
      </c>
      <c r="EA37" s="54">
        <f>VLOOKUP($DZ37,$DF$12:DS$49,14)</f>
        <v>-108599.07568405918</v>
      </c>
      <c r="EB37" s="54">
        <f>VLOOKUP($DZ37,$DF$12:DT$49,15)</f>
        <v>-60551.823382134127</v>
      </c>
      <c r="EC37" s="54">
        <f>VLOOKUP($DZ37,$DF$12:DU$49,16)</f>
        <v>1825.0000000004438</v>
      </c>
      <c r="ED37" s="54">
        <f>VLOOKUP($DZ37,$DF$12:DV$49,17)</f>
        <v>23947.083333333489</v>
      </c>
    </row>
    <row r="38" spans="1:134" x14ac:dyDescent="0.3">
      <c r="A38" s="139">
        <v>45880.625</v>
      </c>
      <c r="B38" s="76">
        <f t="shared" si="22"/>
        <v>94.66</v>
      </c>
      <c r="C38" s="31">
        <f t="shared" si="8"/>
        <v>202342.9179978664</v>
      </c>
      <c r="D38" s="32">
        <f t="shared" si="9"/>
        <v>-99874.999999999985</v>
      </c>
      <c r="E38" s="76">
        <f t="shared" si="23"/>
        <v>101.004</v>
      </c>
      <c r="F38" s="31">
        <f t="shared" si="10"/>
        <v>-47399.999999998952</v>
      </c>
      <c r="G38" s="32">
        <f t="shared" si="11"/>
        <v>-35558.225666666644</v>
      </c>
      <c r="H38" s="76">
        <f t="shared" si="24"/>
        <v>120.27</v>
      </c>
      <c r="I38" s="31">
        <f t="shared" si="12"/>
        <v>-574979.49138638529</v>
      </c>
      <c r="J38" s="32">
        <f t="shared" si="13"/>
        <v>-171784.99999999997</v>
      </c>
      <c r="K38" s="76">
        <f t="shared" si="25"/>
        <v>99.561999999999998</v>
      </c>
      <c r="L38" s="31">
        <f t="shared" si="14"/>
        <v>-81180.00000000307</v>
      </c>
      <c r="M38" s="32">
        <f t="shared" si="15"/>
        <v>-78213.003111111073</v>
      </c>
      <c r="N38" s="82">
        <f t="shared" si="16"/>
        <v>772797.63193980313</v>
      </c>
      <c r="O38" s="82"/>
      <c r="P38" s="82"/>
      <c r="Q38" s="82">
        <f>$G$5*SUM($O$14:O38)-$H$5*SUM($P$14:P38)</f>
        <v>-685953.76080000005</v>
      </c>
      <c r="R38" s="82">
        <f t="shared" si="17"/>
        <v>86843.871139803086</v>
      </c>
      <c r="S38" s="143"/>
      <c r="U38" s="75">
        <v>45807.625</v>
      </c>
      <c r="V38" s="54">
        <v>93.44</v>
      </c>
      <c r="W38" s="75">
        <v>45805.625</v>
      </c>
      <c r="X38" s="54">
        <v>101.491</v>
      </c>
      <c r="Y38" s="125">
        <v>45811.625</v>
      </c>
      <c r="Z38" s="54">
        <v>121.47</v>
      </c>
      <c r="AA38" s="75">
        <v>45895.625</v>
      </c>
      <c r="AB38" s="54">
        <v>99.643000000000001</v>
      </c>
      <c r="AF38" s="131">
        <v>45930.625</v>
      </c>
      <c r="AG38" s="45">
        <f t="shared" si="26"/>
        <v>81.19</v>
      </c>
      <c r="AH38" s="46">
        <f t="shared" si="27"/>
        <v>67926.392491046703</v>
      </c>
      <c r="AI38" s="46">
        <f t="shared" si="28"/>
        <v>-99874.999999999985</v>
      </c>
      <c r="AJ38" s="45">
        <f t="shared" si="29"/>
        <v>99.5078125</v>
      </c>
      <c r="AK38" s="46">
        <f t="shared" si="30"/>
        <v>-19587.053571428572</v>
      </c>
      <c r="AL38" s="47">
        <f t="shared" si="31"/>
        <v>-7763.0052548363092</v>
      </c>
      <c r="AM38" s="45">
        <f t="shared" si="32"/>
        <v>111.47</v>
      </c>
      <c r="AN38" s="46">
        <f t="shared" si="33"/>
        <v>336531.59527921065</v>
      </c>
      <c r="AO38" s="47">
        <f t="shared" si="34"/>
        <v>-102728.57142857142</v>
      </c>
      <c r="AP38" s="45">
        <f t="shared" si="35"/>
        <v>99.5078125</v>
      </c>
      <c r="AQ38" s="46">
        <f t="shared" si="36"/>
        <v>-17075.892857142859</v>
      </c>
      <c r="AR38" s="47">
        <f t="shared" si="37"/>
        <v>-6767.7481708829364</v>
      </c>
      <c r="AS38" s="45">
        <f t="shared" si="38"/>
        <v>100.828125</v>
      </c>
      <c r="AT38" s="46">
        <f t="shared" si="39"/>
        <v>37667.410714285717</v>
      </c>
      <c r="AU38" s="47">
        <f t="shared" si="40"/>
        <v>74.438244047618355</v>
      </c>
      <c r="AV38" s="45">
        <f t="shared" si="41"/>
        <v>100.390625</v>
      </c>
      <c r="AW38" s="46">
        <f t="shared" si="42"/>
        <v>220312.5</v>
      </c>
      <c r="AX38" s="47">
        <f t="shared" si="43"/>
        <v>4446.4407552083358</v>
      </c>
      <c r="AY38" s="82">
        <f t="shared" si="44"/>
        <v>255.57615218820138</v>
      </c>
      <c r="AZ38" s="82"/>
      <c r="BA38" s="82"/>
      <c r="BB38" s="82">
        <f>$AO$4*SUM($AZ$14:AZ38)-$AP$4*SUM($BA$14:BA38)</f>
        <v>28509.599357392377</v>
      </c>
      <c r="BC38" s="82">
        <f t="shared" si="18"/>
        <v>-28254.023205204176</v>
      </c>
      <c r="BE38" s="75">
        <v>45804.625</v>
      </c>
      <c r="BF38" s="54">
        <v>79.430000000000007</v>
      </c>
      <c r="BG38" s="75">
        <v>45945.625</v>
      </c>
      <c r="BH38" s="54">
        <v>100.0234375</v>
      </c>
      <c r="BI38" s="75">
        <v>45804.625</v>
      </c>
      <c r="BJ38" s="54">
        <v>107.24</v>
      </c>
      <c r="BK38" s="75">
        <v>45945.625</v>
      </c>
      <c r="BL38" s="54">
        <v>100.0234375</v>
      </c>
      <c r="BM38" s="75">
        <v>45924.625</v>
      </c>
      <c r="BN38" s="54">
        <v>100.859375</v>
      </c>
      <c r="BO38" s="75">
        <v>45925.625</v>
      </c>
      <c r="BP38" s="54">
        <v>100.03125</v>
      </c>
      <c r="BR38" s="131">
        <v>45930.625</v>
      </c>
      <c r="BS38" s="45">
        <f t="shared" si="19"/>
        <v>107.99469999999999</v>
      </c>
      <c r="BT38" s="46">
        <f t="shared" si="45"/>
        <v>155799.99999999927</v>
      </c>
      <c r="BU38" s="46">
        <f t="shared" si="46"/>
        <v>118055.55555555556</v>
      </c>
      <c r="BV38" s="45">
        <f t="shared" si="47"/>
        <v>47.451999999999998</v>
      </c>
      <c r="BW38" s="46">
        <f t="shared" si="48"/>
        <v>152831.24999999991</v>
      </c>
      <c r="BX38" s="47">
        <f t="shared" si="49"/>
        <v>118055.55555555556</v>
      </c>
      <c r="BY38" s="45">
        <f t="shared" si="50"/>
        <v>2968.7499999993306</v>
      </c>
      <c r="CA38" s="129">
        <v>45807.625</v>
      </c>
      <c r="CB38" s="54">
        <v>106.17010000000001</v>
      </c>
      <c r="CC38" s="129">
        <v>45807.625</v>
      </c>
      <c r="CD38" s="54">
        <v>55.927</v>
      </c>
      <c r="CF38" s="131">
        <v>45930.625</v>
      </c>
      <c r="CG38" s="45">
        <f t="shared" si="20"/>
        <v>240.52799999999999</v>
      </c>
      <c r="CH38" s="46">
        <f t="shared" si="51"/>
        <v>370820.99999999983</v>
      </c>
      <c r="CI38" s="46">
        <f t="shared" si="52"/>
        <v>118055.55555555556</v>
      </c>
      <c r="CJ38" s="45">
        <f t="shared" si="53"/>
        <v>49.851999999999997</v>
      </c>
      <c r="CK38" s="46">
        <f t="shared" si="54"/>
        <v>254868.7500000002</v>
      </c>
      <c r="CL38" s="47">
        <f t="shared" si="55"/>
        <v>106250</v>
      </c>
      <c r="CM38" s="45">
        <f t="shared" si="56"/>
        <v>127757.80555555518</v>
      </c>
      <c r="CO38" s="129">
        <v>45807.625</v>
      </c>
      <c r="CP38" s="54">
        <v>300.33600000000001</v>
      </c>
      <c r="CQ38" s="129">
        <v>45807.625</v>
      </c>
      <c r="CR38" s="54">
        <v>57.917000000000002</v>
      </c>
      <c r="CS38" s="54"/>
      <c r="CT38" s="54"/>
      <c r="CU38" s="54"/>
      <c r="CV38" s="54"/>
      <c r="CW38" s="54"/>
      <c r="CX38" s="54"/>
      <c r="CY38" s="54"/>
      <c r="DF38" s="142">
        <f t="shared" si="1"/>
        <v>45931.625</v>
      </c>
      <c r="DG38" s="58">
        <f t="shared" si="2"/>
        <v>19414.12032862613</v>
      </c>
      <c r="DH38" s="58">
        <f t="shared" si="3"/>
        <v>-103332.87978855522</v>
      </c>
      <c r="DI38" s="58">
        <f t="shared" si="5"/>
        <v>-3243.749999998312</v>
      </c>
      <c r="DJ38" s="58">
        <f t="shared" si="6"/>
        <v>116760.77777777734</v>
      </c>
      <c r="DK38" s="58">
        <f t="shared" si="21"/>
        <v>18502.145084100775</v>
      </c>
      <c r="DL38" s="58">
        <f t="shared" si="21"/>
        <v>-75078.856583351037</v>
      </c>
      <c r="DM38" s="58">
        <f t="shared" si="21"/>
        <v>-6212.4999999976426</v>
      </c>
      <c r="DN38" s="58">
        <f t="shared" si="21"/>
        <v>-10997.027777777839</v>
      </c>
      <c r="DO38" s="58">
        <f t="shared" si="7"/>
        <v>18502.145084100775</v>
      </c>
      <c r="DP38" s="58">
        <f t="shared" si="7"/>
        <v>-75078.856583351037</v>
      </c>
      <c r="DQ38" s="58">
        <f t="shared" si="7"/>
        <v>-6212.4999999976426</v>
      </c>
      <c r="DR38" s="58">
        <f t="shared" si="7"/>
        <v>-10997.027777777839</v>
      </c>
      <c r="DS38" s="58">
        <f>SUM(DO$15:DO38)</f>
        <v>-90096.930599958403</v>
      </c>
      <c r="DT38" s="58">
        <f>SUM(DP$15:DP38)</f>
        <v>-135630.67996548518</v>
      </c>
      <c r="DU38" s="58">
        <f>SUM(DQ$15:DQ38)</f>
        <v>-4387.4999999971988</v>
      </c>
      <c r="DV38" s="58">
        <f>SUM(DR$15:DR38)</f>
        <v>12950.055555555649</v>
      </c>
      <c r="DZ38" s="133">
        <v>45931.625</v>
      </c>
      <c r="EA38" s="54">
        <f>VLOOKUP($DZ38,$DF$12:DS$49,14)</f>
        <v>-90096.930599958403</v>
      </c>
      <c r="EB38" s="54">
        <f>VLOOKUP($DZ38,$DF$12:DT$49,15)</f>
        <v>-135630.67996548518</v>
      </c>
      <c r="EC38" s="54">
        <f>VLOOKUP($DZ38,$DF$12:DU$49,16)</f>
        <v>-4387.4999999971988</v>
      </c>
      <c r="ED38" s="54">
        <f>VLOOKUP($DZ38,$DF$12:DV$49,17)</f>
        <v>12950.055555555649</v>
      </c>
    </row>
    <row r="39" spans="1:134" x14ac:dyDescent="0.3">
      <c r="A39" s="139">
        <v>45881.625</v>
      </c>
      <c r="B39" s="76">
        <f t="shared" si="22"/>
        <v>94.75</v>
      </c>
      <c r="C39" s="31">
        <f t="shared" si="8"/>
        <v>226304.57933972005</v>
      </c>
      <c r="D39" s="32">
        <f t="shared" si="9"/>
        <v>-102812.5</v>
      </c>
      <c r="E39" s="76">
        <f t="shared" si="23"/>
        <v>100.947</v>
      </c>
      <c r="F39" s="31">
        <f t="shared" si="10"/>
        <v>-58799.999999999382</v>
      </c>
      <c r="G39" s="32">
        <f t="shared" si="11"/>
        <v>-36604.055833333332</v>
      </c>
      <c r="H39" s="76">
        <f t="shared" si="24"/>
        <v>120.15</v>
      </c>
      <c r="I39" s="31">
        <f t="shared" si="12"/>
        <v>-617309.26989335299</v>
      </c>
      <c r="J39" s="32">
        <f t="shared" si="13"/>
        <v>-176837.5</v>
      </c>
      <c r="K39" s="76">
        <f t="shared" si="25"/>
        <v>99.405000000000001</v>
      </c>
      <c r="L39" s="31">
        <f t="shared" si="14"/>
        <v>-145550.00000000163</v>
      </c>
      <c r="M39" s="32">
        <f t="shared" si="15"/>
        <v>-80513.385555555535</v>
      </c>
      <c r="N39" s="82">
        <f t="shared" si="16"/>
        <v>786979.51951084856</v>
      </c>
      <c r="O39" s="82"/>
      <c r="P39" s="82"/>
      <c r="Q39" s="82">
        <f>$G$5*SUM($O$14:O39)-$H$5*SUM($P$14:P39)</f>
        <v>-685953.76080000005</v>
      </c>
      <c r="R39" s="82">
        <f t="shared" si="17"/>
        <v>101025.75871084852</v>
      </c>
      <c r="S39" s="143"/>
      <c r="U39" s="75">
        <v>45810.625</v>
      </c>
      <c r="V39" s="54">
        <v>93.5</v>
      </c>
      <c r="W39" s="75">
        <v>45806.625</v>
      </c>
      <c r="X39" s="54">
        <v>101.58</v>
      </c>
      <c r="Y39" s="125">
        <v>45812.625</v>
      </c>
      <c r="Z39" s="54">
        <v>121.35</v>
      </c>
      <c r="AA39" s="75">
        <v>45896.625</v>
      </c>
      <c r="AB39" s="54">
        <v>99.801000000000002</v>
      </c>
      <c r="AF39" s="131">
        <v>45931.625</v>
      </c>
      <c r="AG39" s="45">
        <f t="shared" si="26"/>
        <v>80.959999999999994</v>
      </c>
      <c r="AH39" s="46">
        <f>(AG39/$AG$14-1)*$AG$5</f>
        <v>-3087.5632950483346</v>
      </c>
      <c r="AI39" s="46">
        <f>-1*(AF39-$AF$14)/360*$AG$5*$AG$7</f>
        <v>-102812.49999999999</v>
      </c>
      <c r="AJ39" s="45">
        <f t="shared" si="29"/>
        <v>99.765625</v>
      </c>
      <c r="AK39" s="46">
        <f>(AJ39-$AJ$14)/100*$AH$5</f>
        <v>16322.544642857143</v>
      </c>
      <c r="AL39" s="47">
        <f>(AF39-$AF$14)/360*$AH$5*$AH$6-(AF39-$AF$14)/360*$AH$5*$AH$7*$AJ$14/100</f>
        <v>-7991.3289388020858</v>
      </c>
      <c r="AM39" s="45">
        <f t="shared" si="32"/>
        <v>111.51</v>
      </c>
      <c r="AN39" s="46">
        <f>(AM39/$AM$14-1)*$AI$5</f>
        <v>345879.69514807948</v>
      </c>
      <c r="AO39" s="47">
        <f>-1*(AF39-$AF$14)/360*$AI$5*$AI$7</f>
        <v>-105750.00000000001</v>
      </c>
      <c r="AP39" s="45">
        <f t="shared" si="35"/>
        <v>99.765625</v>
      </c>
      <c r="AQ39" s="46">
        <f>(AP39-$AP$14)/100*$AJ$5</f>
        <v>14229.910714285716</v>
      </c>
      <c r="AR39" s="47">
        <f>(AF39-$AF$14)/360*$AJ$5*$AJ$6-(AF39-$AF$14)/360*$AJ$5*$AJ$7*$AP$14/100</f>
        <v>-6966.7995876736168</v>
      </c>
      <c r="AS39" s="45">
        <f t="shared" si="38"/>
        <v>101.171875</v>
      </c>
      <c r="AT39" s="46">
        <f>(AS39-$AS$14)/100*$AK$5</f>
        <v>56082.58928571429</v>
      </c>
      <c r="AU39" s="47">
        <f>(AF39-$AF$14)/360*$AK$5*$AK$6-(AF39-$AF$14)/360*$AK$5*$AK$7*$AS$14/100</f>
        <v>76.627604166671517</v>
      </c>
      <c r="AV39" s="45">
        <f t="shared" si="41"/>
        <v>100.578125</v>
      </c>
      <c r="AW39" s="46">
        <f>(AV39-$AV$14)/100*$AL$5</f>
        <v>234375</v>
      </c>
      <c r="AX39" s="47">
        <f>(AF39-$AF$14)/360*$AL$5*$AL$6-(AF39-$AF$14)/360*$AL$5*$AL$7*$AV$14/100</f>
        <v>4577.2184244791679</v>
      </c>
      <c r="AY39" s="82">
        <f>AH39+AI39-AK39-AL39-AN39-AO39+AQ39+AR39+AT39+AU39+AW39+AX39</f>
        <v>-51986.427706210656</v>
      </c>
      <c r="AZ39" s="82">
        <v>0.381299</v>
      </c>
      <c r="BA39" s="82">
        <v>0.40603600000000001</v>
      </c>
      <c r="BB39" s="82">
        <f>$AO$4*SUM($AZ$14:AZ39)-$AP$4*SUM($BA$14:BA39)</f>
        <v>51346.452082344564</v>
      </c>
      <c r="BC39" s="82">
        <f t="shared" si="18"/>
        <v>-103332.87978855522</v>
      </c>
      <c r="BE39" s="75">
        <v>45805.625</v>
      </c>
      <c r="BF39" s="54">
        <v>79.38</v>
      </c>
      <c r="BG39" s="75">
        <v>45946.625</v>
      </c>
      <c r="BH39" s="54">
        <v>100.359375</v>
      </c>
      <c r="BI39" s="75">
        <v>45805.625</v>
      </c>
      <c r="BJ39" s="54">
        <v>106.98</v>
      </c>
      <c r="BK39" s="75">
        <v>45946.625</v>
      </c>
      <c r="BL39" s="54">
        <v>100.359375</v>
      </c>
      <c r="BM39" s="75">
        <v>45925.625</v>
      </c>
      <c r="BN39" s="54">
        <v>100.640625</v>
      </c>
      <c r="BO39" s="75">
        <v>45926.625</v>
      </c>
      <c r="BP39" s="54">
        <v>99.90625</v>
      </c>
      <c r="BR39" s="131">
        <v>45931.625</v>
      </c>
      <c r="BS39" s="45">
        <f t="shared" si="19"/>
        <v>107.9406</v>
      </c>
      <c r="BT39" s="46">
        <f t="shared" si="45"/>
        <v>142275.00000000148</v>
      </c>
      <c r="BU39" s="46">
        <f t="shared" si="46"/>
        <v>121527.77777777778</v>
      </c>
      <c r="BV39" s="45">
        <f t="shared" si="47"/>
        <v>47.582000000000001</v>
      </c>
      <c r="BW39" s="46">
        <f t="shared" si="48"/>
        <v>145518.7499999998</v>
      </c>
      <c r="BX39" s="47">
        <f t="shared" si="49"/>
        <v>121527.77777777778</v>
      </c>
      <c r="BY39" s="45">
        <f t="shared" si="50"/>
        <v>-3243.749999998312</v>
      </c>
      <c r="CA39" s="129">
        <v>45810.625</v>
      </c>
      <c r="CB39" s="54">
        <v>106.27670000000001</v>
      </c>
      <c r="CC39" s="129">
        <v>45810.625</v>
      </c>
      <c r="CD39" s="54">
        <v>55.593000000000004</v>
      </c>
      <c r="CF39" s="131">
        <v>45931.625</v>
      </c>
      <c r="CG39" s="45">
        <f t="shared" si="20"/>
        <v>239.28700000000001</v>
      </c>
      <c r="CH39" s="46">
        <f t="shared" si="51"/>
        <v>384471.99999999965</v>
      </c>
      <c r="CI39" s="46">
        <f t="shared" si="52"/>
        <v>121527.77777777778</v>
      </c>
      <c r="CJ39" s="45">
        <f t="shared" si="53"/>
        <v>49.369</v>
      </c>
      <c r="CK39" s="46">
        <f t="shared" si="54"/>
        <v>279864.00000000006</v>
      </c>
      <c r="CL39" s="47">
        <f t="shared" si="55"/>
        <v>109375</v>
      </c>
      <c r="CM39" s="45">
        <f t="shared" si="56"/>
        <v>116760.77777777734</v>
      </c>
      <c r="CO39" s="129">
        <v>45810.625</v>
      </c>
      <c r="CP39" s="54">
        <v>299.81799999999998</v>
      </c>
      <c r="CQ39" s="129">
        <v>45810.625</v>
      </c>
      <c r="CR39" s="54">
        <v>57.789000000000001</v>
      </c>
      <c r="CS39" s="54"/>
      <c r="CT39" s="54"/>
      <c r="CU39" s="54"/>
      <c r="CV39" s="54"/>
      <c r="CW39" s="54"/>
      <c r="CX39" s="54"/>
      <c r="CY39" s="54"/>
      <c r="DF39" s="142">
        <f t="shared" si="1"/>
        <v>45932.625</v>
      </c>
      <c r="DG39" s="58">
        <f t="shared" si="2"/>
        <v>6559.0449654442782</v>
      </c>
      <c r="DH39" s="58">
        <f t="shared" si="3"/>
        <v>-124895.76192988246</v>
      </c>
      <c r="DI39" s="58">
        <f t="shared" si="5"/>
        <v>-14975.000000000116</v>
      </c>
      <c r="DJ39" s="58">
        <f t="shared" si="6"/>
        <v>123323.99999999971</v>
      </c>
      <c r="DK39" s="58">
        <f t="shared" si="21"/>
        <v>-12855.075363181852</v>
      </c>
      <c r="DL39" s="58">
        <f t="shared" si="21"/>
        <v>-21562.882141327238</v>
      </c>
      <c r="DM39" s="58">
        <f t="shared" si="21"/>
        <v>-11731.250000001804</v>
      </c>
      <c r="DN39" s="58">
        <f t="shared" si="21"/>
        <v>6563.2222222223645</v>
      </c>
      <c r="DO39" s="58">
        <f t="shared" si="7"/>
        <v>-12855.075363181852</v>
      </c>
      <c r="DP39" s="58">
        <f t="shared" si="7"/>
        <v>-21562.882141327238</v>
      </c>
      <c r="DQ39" s="58">
        <f t="shared" si="7"/>
        <v>-11731.250000001804</v>
      </c>
      <c r="DR39" s="58">
        <f t="shared" si="7"/>
        <v>6563.2222222223645</v>
      </c>
      <c r="DS39" s="58">
        <f>SUM(DO$15:DO39)</f>
        <v>-102952.00596314025</v>
      </c>
      <c r="DT39" s="58">
        <f>SUM(DP$15:DP39)</f>
        <v>-157193.56210681243</v>
      </c>
      <c r="DU39" s="58">
        <f>SUM(DQ$15:DQ39)</f>
        <v>-16118.749999999003</v>
      </c>
      <c r="DV39" s="58">
        <f>SUM(DR$15:DR39)</f>
        <v>19513.277777778014</v>
      </c>
      <c r="DZ39" s="133">
        <v>45932.625</v>
      </c>
      <c r="EA39" s="54">
        <f>VLOOKUP($DZ39,$DF$12:DS$49,14)</f>
        <v>-102952.00596314025</v>
      </c>
      <c r="EB39" s="54">
        <f>VLOOKUP($DZ39,$DF$12:DT$49,15)</f>
        <v>-157193.56210681243</v>
      </c>
      <c r="EC39" s="54">
        <f>VLOOKUP($DZ39,$DF$12:DU$49,16)</f>
        <v>-16118.749999999003</v>
      </c>
      <c r="ED39" s="54">
        <f>VLOOKUP($DZ39,$DF$12:DV$49,17)</f>
        <v>19513.277777778014</v>
      </c>
    </row>
    <row r="40" spans="1:134" x14ac:dyDescent="0.3">
      <c r="A40" s="139">
        <v>45882.625</v>
      </c>
      <c r="B40" s="76">
        <f t="shared" si="22"/>
        <v>94.88</v>
      </c>
      <c r="C40" s="31">
        <f t="shared" si="8"/>
        <v>260915.86794461662</v>
      </c>
      <c r="D40" s="32">
        <f t="shared" si="9"/>
        <v>-105750</v>
      </c>
      <c r="E40" s="76">
        <f t="shared" si="23"/>
        <v>101.11799999999999</v>
      </c>
      <c r="F40" s="31">
        <f t="shared" si="10"/>
        <v>-24600.000000000931</v>
      </c>
      <c r="G40" s="32">
        <f t="shared" si="11"/>
        <v>-37649.885999999991</v>
      </c>
      <c r="H40" s="76">
        <f t="shared" si="24"/>
        <v>120.52</v>
      </c>
      <c r="I40" s="31">
        <f t="shared" si="12"/>
        <v>-486792.45283019333</v>
      </c>
      <c r="J40" s="32">
        <f t="shared" si="13"/>
        <v>-181890</v>
      </c>
      <c r="K40" s="76">
        <f t="shared" si="25"/>
        <v>99.745000000000005</v>
      </c>
      <c r="L40" s="31">
        <f t="shared" si="14"/>
        <v>-6150.0000000002328</v>
      </c>
      <c r="M40" s="32">
        <f t="shared" si="15"/>
        <v>-82813.768000000011</v>
      </c>
      <c r="N40" s="82">
        <f t="shared" si="16"/>
        <v>797134.43877481064</v>
      </c>
      <c r="O40" s="82"/>
      <c r="P40" s="82"/>
      <c r="Q40" s="82">
        <f>$G$5*SUM($O$14:O40)-$H$5*SUM($P$14:P40)</f>
        <v>-685953.76080000005</v>
      </c>
      <c r="R40" s="82">
        <f t="shared" si="17"/>
        <v>111180.67797481059</v>
      </c>
      <c r="S40" s="143"/>
      <c r="U40" s="75">
        <v>45811.625</v>
      </c>
      <c r="V40" s="54">
        <v>93.62</v>
      </c>
      <c r="W40" s="75">
        <v>45807.625</v>
      </c>
      <c r="X40" s="54">
        <v>101.56</v>
      </c>
      <c r="Y40" s="125">
        <v>45813.625</v>
      </c>
      <c r="Z40" s="54">
        <v>121.02</v>
      </c>
      <c r="AA40" s="75">
        <v>45897.625</v>
      </c>
      <c r="AB40" s="54">
        <v>99.775999999999996</v>
      </c>
      <c r="AF40" s="131">
        <v>45932.625</v>
      </c>
      <c r="AG40" s="45">
        <f t="shared" si="26"/>
        <v>80.930000000000007</v>
      </c>
      <c r="AH40" s="46">
        <f t="shared" si="27"/>
        <v>-12350.253180187787</v>
      </c>
      <c r="AI40" s="46">
        <f t="shared" ref="AI40:AI50" si="57">-1*(AF40-$AF$14)/360*$AG$5*$AG$7</f>
        <v>-105750</v>
      </c>
      <c r="AJ40" s="45">
        <f t="shared" si="29"/>
        <v>99.78125</v>
      </c>
      <c r="AK40" s="46">
        <f t="shared" si="30"/>
        <v>18498.883928571431</v>
      </c>
      <c r="AL40" s="47">
        <f t="shared" ref="AL40:AL50" si="58">(AF40-$AF$14)/360*$AH$5*$AH$6-(AF40-$AF$14)/360*$AH$5*$AH$7*$AJ$14/100</f>
        <v>-8219.6526227678623</v>
      </c>
      <c r="AM40" s="45">
        <f t="shared" si="32"/>
        <v>111.69</v>
      </c>
      <c r="AN40" s="46">
        <f t="shared" si="33"/>
        <v>387946.14455797512</v>
      </c>
      <c r="AO40" s="47">
        <f t="shared" ref="AO40:AO50" si="59">-1*(AF40-$AF$14)/360*$AI$5*$AI$7</f>
        <v>-108771.42857142858</v>
      </c>
      <c r="AP40" s="45">
        <f t="shared" si="35"/>
        <v>99.78125</v>
      </c>
      <c r="AQ40" s="46">
        <f t="shared" si="36"/>
        <v>16127.232142857145</v>
      </c>
      <c r="AR40" s="47">
        <f t="shared" ref="AR40:AR50" si="60">(AF40-$AF$14)/360*$AJ$5*$AJ$6-(AF40-$AF$14)/360*$AJ$5*$AJ$7*$AP$14/100</f>
        <v>-7165.8510044642899</v>
      </c>
      <c r="AS40" s="45">
        <f t="shared" si="38"/>
        <v>101.3125</v>
      </c>
      <c r="AT40" s="46">
        <f t="shared" si="39"/>
        <v>63616.071428571428</v>
      </c>
      <c r="AU40" s="47">
        <f t="shared" ref="AU40:AU50" si="61">(AF40-$AF$14)/360*$AK$5*$AK$6-(AF40-$AF$14)/360*$AK$5*$AK$7*$AS$14/100</f>
        <v>78.816964285721042</v>
      </c>
      <c r="AV40" s="45">
        <f t="shared" si="41"/>
        <v>100.875</v>
      </c>
      <c r="AW40" s="46">
        <f t="shared" si="42"/>
        <v>256640.625</v>
      </c>
      <c r="AX40" s="47">
        <f t="shared" ref="AX40:AX50" si="62">(AF40-$AF$14)/360*$AL$5*$AL$6-(AF40-$AF$14)/360*$AL$5*$AL$7*$AV$14/100</f>
        <v>4707.9960937500036</v>
      </c>
      <c r="AY40" s="82">
        <f t="shared" ref="AY40:AY50" si="63">AH40+AI40-AK40-AL40-AN40-AO40+AQ40+AR40+AT40+AU40+AW40+AX40</f>
        <v>-73549.309847537894</v>
      </c>
      <c r="AZ40" s="82"/>
      <c r="BA40" s="82"/>
      <c r="BB40" s="82">
        <f>$AO$4*SUM($AZ$14:AZ40)-$AP$4*SUM($BA$14:BA40)</f>
        <v>51346.452082344564</v>
      </c>
      <c r="BC40" s="82">
        <f t="shared" si="18"/>
        <v>-124895.76192988246</v>
      </c>
      <c r="BE40" s="75">
        <v>45806.625</v>
      </c>
      <c r="BF40" s="54">
        <v>79.5</v>
      </c>
      <c r="BI40" s="75">
        <v>45806.625</v>
      </c>
      <c r="BJ40" s="54">
        <v>107.46</v>
      </c>
      <c r="BM40" s="75">
        <v>45926.625</v>
      </c>
      <c r="BN40" s="54">
        <v>100.5625</v>
      </c>
      <c r="BO40" s="75">
        <v>45929.625</v>
      </c>
      <c r="BP40" s="54">
        <v>100.65625</v>
      </c>
      <c r="BR40" s="131">
        <v>45932.625</v>
      </c>
      <c r="BS40" s="45">
        <f t="shared" si="19"/>
        <v>107.9785</v>
      </c>
      <c r="BT40" s="46">
        <f t="shared" si="45"/>
        <v>151749.99999999983</v>
      </c>
      <c r="BU40" s="46">
        <f t="shared" si="46"/>
        <v>125000</v>
      </c>
      <c r="BV40" s="45">
        <f t="shared" si="47"/>
        <v>47.204999999999998</v>
      </c>
      <c r="BW40" s="46">
        <f t="shared" si="48"/>
        <v>166724.99999999994</v>
      </c>
      <c r="BX40" s="47">
        <f t="shared" si="49"/>
        <v>125000</v>
      </c>
      <c r="BY40" s="45">
        <f t="shared" si="50"/>
        <v>-14975.000000000116</v>
      </c>
      <c r="CA40" s="129">
        <v>45811.625</v>
      </c>
      <c r="CB40" s="54">
        <v>106.4064</v>
      </c>
      <c r="CC40" s="129">
        <v>45811.625</v>
      </c>
      <c r="CD40" s="54">
        <v>54.945999999999998</v>
      </c>
      <c r="CF40" s="131">
        <v>45932.625</v>
      </c>
      <c r="CG40" s="45">
        <f t="shared" si="20"/>
        <v>236.33199999999999</v>
      </c>
      <c r="CH40" s="46">
        <f t="shared" si="51"/>
        <v>416976.99999999988</v>
      </c>
      <c r="CI40" s="46">
        <f t="shared" si="52"/>
        <v>125000</v>
      </c>
      <c r="CJ40" s="45">
        <f t="shared" si="53"/>
        <v>48.860999999999997</v>
      </c>
      <c r="CK40" s="46">
        <f t="shared" si="54"/>
        <v>306153.00000000017</v>
      </c>
      <c r="CL40" s="47">
        <f t="shared" si="55"/>
        <v>112500</v>
      </c>
      <c r="CM40" s="45">
        <f t="shared" si="56"/>
        <v>123323.99999999971</v>
      </c>
      <c r="CO40" s="129">
        <v>45811.625</v>
      </c>
      <c r="CP40" s="54">
        <v>296.63099999999997</v>
      </c>
      <c r="CQ40" s="129">
        <v>45811.625</v>
      </c>
      <c r="CR40" s="54">
        <v>56.976999999999997</v>
      </c>
      <c r="CS40" s="54"/>
      <c r="CT40" s="54"/>
      <c r="CU40" s="54"/>
      <c r="CV40" s="54"/>
      <c r="CW40" s="54"/>
      <c r="CX40" s="54"/>
      <c r="CY40" s="54"/>
      <c r="DF40" s="142">
        <f t="shared" si="1"/>
        <v>45933.625</v>
      </c>
      <c r="DG40" s="58">
        <f t="shared" si="2"/>
        <v>-25437.542286617885</v>
      </c>
      <c r="DH40" s="58">
        <f t="shared" si="3"/>
        <v>-150662.39453342871</v>
      </c>
      <c r="DI40" s="58">
        <f t="shared" si="5"/>
        <v>-21924.999999999185</v>
      </c>
      <c r="DJ40" s="58">
        <f t="shared" si="6"/>
        <v>119422.47222222178</v>
      </c>
      <c r="DK40" s="58">
        <f t="shared" si="21"/>
        <v>-31996.587252062163</v>
      </c>
      <c r="DL40" s="58">
        <f t="shared" si="21"/>
        <v>-25766.632603546255</v>
      </c>
      <c r="DM40" s="58">
        <f t="shared" si="21"/>
        <v>-6949.9999999990687</v>
      </c>
      <c r="DN40" s="58">
        <f t="shared" si="21"/>
        <v>-3901.5277777779265</v>
      </c>
      <c r="DO40" s="58">
        <f t="shared" si="7"/>
        <v>-31996.587252062163</v>
      </c>
      <c r="DP40" s="58">
        <f t="shared" si="7"/>
        <v>-25766.632603546255</v>
      </c>
      <c r="DQ40" s="58">
        <f t="shared" si="7"/>
        <v>-6949.9999999990687</v>
      </c>
      <c r="DR40" s="58">
        <f t="shared" si="7"/>
        <v>-3901.5277777779265</v>
      </c>
      <c r="DS40" s="58">
        <f>SUM(DO$15:DO40)</f>
        <v>-134948.59321520242</v>
      </c>
      <c r="DT40" s="58">
        <f>SUM(DP$15:DP40)</f>
        <v>-182960.19471035869</v>
      </c>
      <c r="DU40" s="58">
        <f>SUM(DQ$15:DQ40)</f>
        <v>-23068.749999998072</v>
      </c>
      <c r="DV40" s="58">
        <f>SUM(DR$15:DR40)</f>
        <v>15611.750000000087</v>
      </c>
      <c r="DZ40" s="133">
        <v>45933.625</v>
      </c>
      <c r="EA40" s="54">
        <f>VLOOKUP($DZ40,$DF$12:DS$49,14)</f>
        <v>-134948.59321520242</v>
      </c>
      <c r="EB40" s="54">
        <f>VLOOKUP($DZ40,$DF$12:DT$49,15)</f>
        <v>-182960.19471035869</v>
      </c>
      <c r="EC40" s="54">
        <f>VLOOKUP($DZ40,$DF$12:DU$49,16)</f>
        <v>-23068.749999998072</v>
      </c>
      <c r="ED40" s="54">
        <f>VLOOKUP($DZ40,$DF$12:DV$49,17)</f>
        <v>15611.750000000087</v>
      </c>
    </row>
    <row r="41" spans="1:134" ht="15" thickBot="1" x14ac:dyDescent="0.35">
      <c r="A41" s="141">
        <v>45883.625</v>
      </c>
      <c r="B41" s="76">
        <f t="shared" si="22"/>
        <v>94.94</v>
      </c>
      <c r="C41" s="31">
        <f t="shared" si="8"/>
        <v>276890.30883918941</v>
      </c>
      <c r="D41" s="32">
        <f t="shared" si="9"/>
        <v>-108687.5</v>
      </c>
      <c r="E41" s="76">
        <f t="shared" si="23"/>
        <v>101.057</v>
      </c>
      <c r="F41" s="31">
        <f t="shared" si="10"/>
        <v>-36799.999999999498</v>
      </c>
      <c r="G41" s="32">
        <f t="shared" si="11"/>
        <v>-38695.716166666665</v>
      </c>
      <c r="H41" s="76">
        <f t="shared" si="24"/>
        <v>120.46</v>
      </c>
      <c r="I41" s="31">
        <f t="shared" si="12"/>
        <v>-507957.34208367957</v>
      </c>
      <c r="J41" s="32">
        <f t="shared" si="13"/>
        <v>-186942.5</v>
      </c>
      <c r="K41" s="76">
        <f t="shared" si="25"/>
        <v>99.620999999999995</v>
      </c>
      <c r="L41" s="31">
        <f t="shared" si="14"/>
        <v>-56990.000000004104</v>
      </c>
      <c r="M41" s="32">
        <f t="shared" si="15"/>
        <v>-85114.150444444458</v>
      </c>
      <c r="N41" s="82">
        <f t="shared" si="16"/>
        <v>796494.21664508653</v>
      </c>
      <c r="O41" s="82"/>
      <c r="P41" s="82"/>
      <c r="Q41" s="82">
        <f>$G$5*SUM($O$14:O41)-$H$5*SUM($P$14:P41)</f>
        <v>-685953.76080000005</v>
      </c>
      <c r="R41" s="82">
        <f t="shared" si="17"/>
        <v>110540.45584508649</v>
      </c>
      <c r="S41" s="143"/>
      <c r="U41" s="75">
        <v>45812.625</v>
      </c>
      <c r="V41" s="54">
        <v>93.7</v>
      </c>
      <c r="W41" s="75">
        <v>45810.625</v>
      </c>
      <c r="X41" s="54">
        <v>101.574</v>
      </c>
      <c r="Y41" s="125">
        <v>45814.625</v>
      </c>
      <c r="Z41" s="54">
        <v>121.27</v>
      </c>
      <c r="AA41" s="75">
        <v>45898.625</v>
      </c>
      <c r="AB41" s="54">
        <v>99.783000000000001</v>
      </c>
      <c r="AF41" s="131">
        <v>45933.625</v>
      </c>
      <c r="AG41" s="45">
        <f t="shared" si="26"/>
        <v>80.84</v>
      </c>
      <c r="AH41" s="46">
        <f t="shared" si="27"/>
        <v>-40138.322835617248</v>
      </c>
      <c r="AI41" s="46">
        <f t="shared" si="57"/>
        <v>-108687.5</v>
      </c>
      <c r="AJ41" s="45">
        <f t="shared" si="29"/>
        <v>99.6015625</v>
      </c>
      <c r="AK41" s="46">
        <f t="shared" si="30"/>
        <v>-6529.0178571428569</v>
      </c>
      <c r="AL41" s="47">
        <f t="shared" si="58"/>
        <v>-8447.9763067336316</v>
      </c>
      <c r="AM41" s="45">
        <f t="shared" si="32"/>
        <v>111.55</v>
      </c>
      <c r="AN41" s="46">
        <f t="shared" si="33"/>
        <v>355227.79501694266</v>
      </c>
      <c r="AO41" s="47">
        <f t="shared" si="59"/>
        <v>-111792.85714285714</v>
      </c>
      <c r="AP41" s="45">
        <f t="shared" si="35"/>
        <v>99.6015625</v>
      </c>
      <c r="AQ41" s="46">
        <f t="shared" si="36"/>
        <v>-5691.9642857142862</v>
      </c>
      <c r="AR41" s="47">
        <f t="shared" si="60"/>
        <v>-7364.9024212549557</v>
      </c>
      <c r="AS41" s="45">
        <f t="shared" si="38"/>
        <v>101.046875</v>
      </c>
      <c r="AT41" s="46">
        <f t="shared" si="39"/>
        <v>49386.16071428571</v>
      </c>
      <c r="AU41" s="47">
        <f t="shared" si="61"/>
        <v>81.006324404766929</v>
      </c>
      <c r="AV41" s="45">
        <f t="shared" si="41"/>
        <v>100.609375</v>
      </c>
      <c r="AW41" s="46">
        <f t="shared" si="42"/>
        <v>236718.75</v>
      </c>
      <c r="AX41" s="47">
        <f t="shared" si="62"/>
        <v>4838.7737630208321</v>
      </c>
      <c r="AY41" s="82">
        <f t="shared" si="63"/>
        <v>-99315.942451084135</v>
      </c>
      <c r="AZ41" s="82"/>
      <c r="BA41" s="82"/>
      <c r="BB41" s="82">
        <f>$AO$4*SUM($AZ$14:AZ41)-$AP$4*SUM($BA$14:BA41)</f>
        <v>51346.452082344564</v>
      </c>
      <c r="BC41" s="82">
        <f t="shared" si="18"/>
        <v>-150662.39453342871</v>
      </c>
      <c r="BE41" s="75">
        <v>45807.625</v>
      </c>
      <c r="BF41" s="54">
        <v>79.569999999999993</v>
      </c>
      <c r="BI41" s="75">
        <v>45807.625</v>
      </c>
      <c r="BJ41" s="54">
        <v>107.77</v>
      </c>
      <c r="BM41" s="75">
        <v>45929.625</v>
      </c>
      <c r="BN41" s="54">
        <v>100.875</v>
      </c>
      <c r="BO41" s="75">
        <v>45930.625</v>
      </c>
      <c r="BP41" s="54">
        <v>100.390625</v>
      </c>
      <c r="BR41" s="131">
        <v>45933.625</v>
      </c>
      <c r="BS41" s="45">
        <f t="shared" si="19"/>
        <v>107.9615</v>
      </c>
      <c r="BT41" s="46">
        <f t="shared" si="45"/>
        <v>147500.00000000084</v>
      </c>
      <c r="BU41" s="46">
        <f t="shared" si="46"/>
        <v>128472.22222222223</v>
      </c>
      <c r="BV41" s="45">
        <f t="shared" si="47"/>
        <v>47.156999999999996</v>
      </c>
      <c r="BW41" s="46">
        <f t="shared" si="48"/>
        <v>169425.00000000003</v>
      </c>
      <c r="BX41" s="47">
        <f t="shared" si="49"/>
        <v>128472.22222222222</v>
      </c>
      <c r="BY41" s="45">
        <f t="shared" si="50"/>
        <v>-21924.999999999185</v>
      </c>
      <c r="CA41" s="129">
        <v>45812.625</v>
      </c>
      <c r="CB41" s="54">
        <v>106.3698</v>
      </c>
      <c r="CC41" s="129">
        <v>45812.625</v>
      </c>
      <c r="CD41" s="54">
        <v>55.19</v>
      </c>
      <c r="CF41" s="131">
        <v>45933.625</v>
      </c>
      <c r="CG41" s="45">
        <f t="shared" si="20"/>
        <v>235.94200000000001</v>
      </c>
      <c r="CH41" s="46">
        <f t="shared" si="51"/>
        <v>421266.99999999971</v>
      </c>
      <c r="CI41" s="46">
        <f t="shared" si="52"/>
        <v>128472.22222222223</v>
      </c>
      <c r="CJ41" s="45">
        <f t="shared" si="53"/>
        <v>48.695999999999998</v>
      </c>
      <c r="CK41" s="46">
        <f t="shared" si="54"/>
        <v>314691.75000000012</v>
      </c>
      <c r="CL41" s="47">
        <f t="shared" si="55"/>
        <v>115625</v>
      </c>
      <c r="CM41" s="45">
        <f t="shared" si="56"/>
        <v>119422.47222222178</v>
      </c>
      <c r="CO41" s="129">
        <v>45812.625</v>
      </c>
      <c r="CP41" s="54">
        <v>293.44900000000001</v>
      </c>
      <c r="CQ41" s="129">
        <v>45812.625</v>
      </c>
      <c r="CR41" s="54">
        <v>56.475999999999999</v>
      </c>
      <c r="CS41" s="54"/>
      <c r="CT41" s="54"/>
      <c r="CU41" s="54"/>
      <c r="CV41" s="54"/>
      <c r="CW41" s="54"/>
      <c r="CX41" s="54"/>
      <c r="CY41" s="54"/>
      <c r="DF41" s="142">
        <f t="shared" si="1"/>
        <v>45936.625</v>
      </c>
      <c r="DG41" s="58">
        <f t="shared" si="2"/>
        <v>-37985.192551076092</v>
      </c>
      <c r="DH41" s="58">
        <f t="shared" si="3"/>
        <v>-132746.44587669443</v>
      </c>
      <c r="DI41" s="58">
        <f t="shared" si="5"/>
        <v>-14849.999999999302</v>
      </c>
      <c r="DJ41" s="58">
        <f t="shared" si="6"/>
        <v>130966.88888888864</v>
      </c>
      <c r="DK41" s="58">
        <f t="shared" si="21"/>
        <v>-12547.650264458207</v>
      </c>
      <c r="DL41" s="58">
        <f t="shared" si="21"/>
        <v>17915.948656734283</v>
      </c>
      <c r="DM41" s="58">
        <f t="shared" si="21"/>
        <v>7074.9999999998836</v>
      </c>
      <c r="DN41" s="58">
        <f t="shared" si="21"/>
        <v>11544.416666666861</v>
      </c>
      <c r="DO41" s="58">
        <f t="shared" si="7"/>
        <v>-12547.650264458207</v>
      </c>
      <c r="DP41" s="58">
        <f t="shared" si="7"/>
        <v>17915.948656734283</v>
      </c>
      <c r="DQ41" s="58">
        <f t="shared" si="7"/>
        <v>7074.9999999998836</v>
      </c>
      <c r="DR41" s="58">
        <f t="shared" si="7"/>
        <v>11544.416666666861</v>
      </c>
      <c r="DS41" s="58">
        <f>SUM(DO$15:DO41)</f>
        <v>-147496.24347966062</v>
      </c>
      <c r="DT41" s="58">
        <f>SUM(DP$15:DP41)</f>
        <v>-165044.2460536244</v>
      </c>
      <c r="DU41" s="58">
        <f>SUM(DQ$15:DQ41)</f>
        <v>-15993.749999998188</v>
      </c>
      <c r="DV41" s="58">
        <f>SUM(DR$15:DR41)</f>
        <v>27156.166666666948</v>
      </c>
      <c r="DZ41" s="133">
        <v>45936.625</v>
      </c>
      <c r="EA41" s="54">
        <f>VLOOKUP($DZ41,$DF$12:DS$49,14)</f>
        <v>-147496.24347966062</v>
      </c>
      <c r="EB41" s="54">
        <f>VLOOKUP($DZ41,$DF$12:DT$49,15)</f>
        <v>-165044.2460536244</v>
      </c>
      <c r="EC41" s="54">
        <f>VLOOKUP($DZ41,$DF$12:DU$49,16)</f>
        <v>-15993.749999998188</v>
      </c>
      <c r="ED41" s="54">
        <f>VLOOKUP($DZ41,$DF$12:DV$49,17)</f>
        <v>27156.166666666948</v>
      </c>
    </row>
    <row r="42" spans="1:134" x14ac:dyDescent="0.3">
      <c r="A42" s="142">
        <v>45884.625</v>
      </c>
      <c r="B42" s="76">
        <f t="shared" si="22"/>
        <v>94.87</v>
      </c>
      <c r="C42" s="31">
        <f t="shared" si="8"/>
        <v>258253.46112886004</v>
      </c>
      <c r="D42" s="32">
        <f t="shared" si="9"/>
        <v>-111624.99999999999</v>
      </c>
      <c r="E42" s="76">
        <f t="shared" si="23"/>
        <v>100.946</v>
      </c>
      <c r="F42" s="31">
        <f t="shared" si="10"/>
        <v>-59000.000000000335</v>
      </c>
      <c r="G42" s="32">
        <f t="shared" si="11"/>
        <v>-39741.546333333325</v>
      </c>
      <c r="H42" s="76">
        <f t="shared" si="24"/>
        <v>120.46</v>
      </c>
      <c r="I42" s="31">
        <f t="shared" si="12"/>
        <v>-507957.34208367957</v>
      </c>
      <c r="J42" s="32">
        <f t="shared" si="13"/>
        <v>-191994.99999999997</v>
      </c>
      <c r="K42" s="76">
        <f t="shared" si="25"/>
        <v>99.375</v>
      </c>
      <c r="L42" s="31">
        <f t="shared" si="14"/>
        <v>-157850.0000000021</v>
      </c>
      <c r="M42" s="32">
        <f t="shared" si="15"/>
        <v>-87414.532888888862</v>
      </c>
      <c r="N42" s="82">
        <f t="shared" si="16"/>
        <v>700057.81665698241</v>
      </c>
      <c r="O42" s="82"/>
      <c r="P42" s="82"/>
      <c r="Q42" s="82">
        <f>$G$5*SUM($O$14:O42)-$H$5*SUM($P$14:P42)</f>
        <v>-685953.76080000005</v>
      </c>
      <c r="R42" s="82">
        <f t="shared" si="17"/>
        <v>14104.055856982362</v>
      </c>
      <c r="S42" s="143"/>
      <c r="U42" s="75">
        <v>45813.625</v>
      </c>
      <c r="V42" s="54">
        <v>93.55</v>
      </c>
      <c r="W42" s="75">
        <v>45811.625</v>
      </c>
      <c r="X42" s="54">
        <v>101.60599999999999</v>
      </c>
      <c r="Y42" s="125">
        <v>45817.625</v>
      </c>
      <c r="Z42" s="54">
        <v>121.32</v>
      </c>
      <c r="AA42" s="75">
        <v>45901.625</v>
      </c>
      <c r="AB42" s="54">
        <v>99.632000000000005</v>
      </c>
      <c r="AF42" s="131">
        <v>45936.625</v>
      </c>
      <c r="AG42" s="45">
        <f t="shared" si="26"/>
        <v>80.86</v>
      </c>
      <c r="AH42" s="46">
        <f t="shared" si="27"/>
        <v>-33963.196245523352</v>
      </c>
      <c r="AI42" s="46">
        <f t="shared" si="57"/>
        <v>-117499.99999999999</v>
      </c>
      <c r="AJ42" s="45">
        <f t="shared" si="29"/>
        <v>99.46875</v>
      </c>
      <c r="AK42" s="46">
        <f t="shared" si="30"/>
        <v>-25027.901785714286</v>
      </c>
      <c r="AL42" s="47">
        <f t="shared" si="58"/>
        <v>-9132.9473586309541</v>
      </c>
      <c r="AM42" s="45">
        <f t="shared" si="32"/>
        <v>111.19</v>
      </c>
      <c r="AN42" s="46">
        <f t="shared" si="33"/>
        <v>271094.89619713998</v>
      </c>
      <c r="AO42" s="47">
        <f t="shared" si="59"/>
        <v>-120857.14285714286</v>
      </c>
      <c r="AP42" s="45">
        <f t="shared" si="35"/>
        <v>99.46875</v>
      </c>
      <c r="AQ42" s="46">
        <f t="shared" si="36"/>
        <v>-21819.196428571431</v>
      </c>
      <c r="AR42" s="47">
        <f t="shared" si="60"/>
        <v>-7962.0566716269823</v>
      </c>
      <c r="AS42" s="45">
        <f t="shared" si="38"/>
        <v>100.6875</v>
      </c>
      <c r="AT42" s="46">
        <f t="shared" si="39"/>
        <v>30133.928571428572</v>
      </c>
      <c r="AU42" s="47">
        <f t="shared" si="61"/>
        <v>87.574404761908227</v>
      </c>
      <c r="AV42" s="45">
        <f t="shared" si="41"/>
        <v>99.859375</v>
      </c>
      <c r="AW42" s="46">
        <f t="shared" si="42"/>
        <v>180468.75</v>
      </c>
      <c r="AX42" s="47">
        <f t="shared" si="62"/>
        <v>5231.1067708333358</v>
      </c>
      <c r="AY42" s="82">
        <f t="shared" si="63"/>
        <v>-81399.993794349866</v>
      </c>
      <c r="AZ42" s="82"/>
      <c r="BA42" s="82"/>
      <c r="BB42" s="82">
        <f>$AO$4*SUM($AZ$14:AZ42)-$AP$4*SUM($BA$14:BA42)</f>
        <v>51346.452082344564</v>
      </c>
      <c r="BC42" s="82">
        <f t="shared" si="18"/>
        <v>-132746.44587669443</v>
      </c>
      <c r="BE42" s="75">
        <v>45810.625</v>
      </c>
      <c r="BF42" s="54">
        <v>79.180000000000007</v>
      </c>
      <c r="BI42" s="75">
        <v>45810.625</v>
      </c>
      <c r="BJ42" s="54">
        <v>107.07</v>
      </c>
      <c r="BM42" s="75">
        <v>45930.625</v>
      </c>
      <c r="BN42" s="54">
        <v>100.828125</v>
      </c>
      <c r="BO42" s="75">
        <v>45931.625</v>
      </c>
      <c r="BP42" s="54">
        <v>100.578125</v>
      </c>
      <c r="BR42" s="131">
        <v>45936.625</v>
      </c>
      <c r="BS42" s="45">
        <f t="shared" si="19"/>
        <v>108.1194</v>
      </c>
      <c r="BT42" s="46">
        <f t="shared" si="45"/>
        <v>186975.00000000035</v>
      </c>
      <c r="BU42" s="46">
        <f t="shared" si="46"/>
        <v>138888.88888888888</v>
      </c>
      <c r="BV42" s="45">
        <f t="shared" si="47"/>
        <v>46.581000000000003</v>
      </c>
      <c r="BW42" s="46">
        <f t="shared" si="48"/>
        <v>201824.99999999965</v>
      </c>
      <c r="BX42" s="47">
        <f t="shared" si="49"/>
        <v>138888.88888888888</v>
      </c>
      <c r="BY42" s="45">
        <f t="shared" si="50"/>
        <v>-14849.999999999302</v>
      </c>
      <c r="CA42" s="129">
        <v>45813.625</v>
      </c>
      <c r="CB42" s="54">
        <v>106.2727</v>
      </c>
      <c r="CC42" s="129">
        <v>45813.625</v>
      </c>
      <c r="CD42" s="54">
        <v>55.59</v>
      </c>
      <c r="CF42" s="131">
        <v>45936.625</v>
      </c>
      <c r="CG42" s="45">
        <f t="shared" si="20"/>
        <v>239.226</v>
      </c>
      <c r="CH42" s="46">
        <f t="shared" si="51"/>
        <v>385142.99999999977</v>
      </c>
      <c r="CI42" s="46">
        <f t="shared" si="52"/>
        <v>138888.88888888888</v>
      </c>
      <c r="CJ42" s="45">
        <f t="shared" si="53"/>
        <v>49.597000000000001</v>
      </c>
      <c r="CK42" s="46">
        <f t="shared" si="54"/>
        <v>268065</v>
      </c>
      <c r="CL42" s="47">
        <f t="shared" si="55"/>
        <v>125000</v>
      </c>
      <c r="CM42" s="45">
        <f t="shared" si="56"/>
        <v>130966.88888888864</v>
      </c>
      <c r="CO42" s="129">
        <v>45813.625</v>
      </c>
      <c r="CP42" s="54">
        <v>293.76400000000001</v>
      </c>
      <c r="CQ42" s="129">
        <v>45813.625</v>
      </c>
      <c r="CR42" s="54">
        <v>56.481999999999999</v>
      </c>
      <c r="CS42" s="54"/>
      <c r="CT42" s="54"/>
      <c r="CU42" s="54"/>
      <c r="CV42" s="54"/>
      <c r="CW42" s="54"/>
      <c r="CX42" s="54"/>
      <c r="CY42" s="54"/>
      <c r="DF42" s="142">
        <f t="shared" si="1"/>
        <v>45937.625</v>
      </c>
      <c r="DG42" s="58">
        <f t="shared" si="2"/>
        <v>-124144.50467495741</v>
      </c>
      <c r="DH42" s="58">
        <f t="shared" si="3"/>
        <v>-157245.33626139903</v>
      </c>
      <c r="DI42" s="58">
        <f t="shared" si="5"/>
        <v>-9949.9999999995343</v>
      </c>
      <c r="DJ42" s="58">
        <f t="shared" si="6"/>
        <v>121426.36111111086</v>
      </c>
      <c r="DK42" s="58">
        <f t="shared" si="21"/>
        <v>-86159.312123881318</v>
      </c>
      <c r="DL42" s="58">
        <f t="shared" si="21"/>
        <v>-24498.890384704602</v>
      </c>
      <c r="DM42" s="58">
        <f t="shared" si="21"/>
        <v>4899.9999999997672</v>
      </c>
      <c r="DN42" s="58">
        <f t="shared" si="21"/>
        <v>-9540.527777777781</v>
      </c>
      <c r="DO42" s="58">
        <f t="shared" si="7"/>
        <v>-86159.312123881318</v>
      </c>
      <c r="DP42" s="58">
        <f t="shared" si="7"/>
        <v>-24498.890384704602</v>
      </c>
      <c r="DQ42" s="58">
        <f t="shared" si="7"/>
        <v>4899.9999999997672</v>
      </c>
      <c r="DR42" s="58">
        <f t="shared" si="7"/>
        <v>-9540.527777777781</v>
      </c>
      <c r="DS42" s="58">
        <f>SUM(DO$15:DO42)</f>
        <v>-233655.55560354196</v>
      </c>
      <c r="DT42" s="58">
        <f>SUM(DP$15:DP42)</f>
        <v>-189543.13643832901</v>
      </c>
      <c r="DU42" s="58">
        <f>SUM(DQ$15:DQ42)</f>
        <v>-11093.749999998421</v>
      </c>
      <c r="DV42" s="58">
        <f>SUM(DR$15:DR42)</f>
        <v>17615.638888889167</v>
      </c>
      <c r="DZ42" s="133">
        <v>45937.625</v>
      </c>
      <c r="EA42" s="54">
        <f>VLOOKUP($DZ42,$DF$12:DS$49,14)</f>
        <v>-233655.55560354196</v>
      </c>
      <c r="EB42" s="54">
        <f>VLOOKUP($DZ42,$DF$12:DT$49,15)</f>
        <v>-189543.13643832901</v>
      </c>
      <c r="EC42" s="54">
        <f>VLOOKUP($DZ42,$DF$12:DU$49,16)</f>
        <v>-11093.749999998421</v>
      </c>
      <c r="ED42" s="54">
        <f>VLOOKUP($DZ42,$DF$12:DV$49,17)</f>
        <v>17615.638888889167</v>
      </c>
    </row>
    <row r="43" spans="1:134" x14ac:dyDescent="0.3">
      <c r="A43" s="142">
        <v>45887.625</v>
      </c>
      <c r="B43" s="76">
        <f t="shared" si="22"/>
        <v>94.83</v>
      </c>
      <c r="C43" s="31">
        <f t="shared" si="8"/>
        <v>247603.83386581152</v>
      </c>
      <c r="D43" s="32">
        <f t="shared" si="9"/>
        <v>-120437.5</v>
      </c>
      <c r="E43" s="76">
        <f t="shared" si="23"/>
        <v>100.953</v>
      </c>
      <c r="F43" s="31">
        <f t="shared" si="10"/>
        <v>-57599.999999999345</v>
      </c>
      <c r="G43" s="32">
        <f t="shared" si="11"/>
        <v>-42879.036833333339</v>
      </c>
      <c r="H43" s="76">
        <f t="shared" si="24"/>
        <v>120.14</v>
      </c>
      <c r="I43" s="31">
        <f t="shared" si="12"/>
        <v>-620836.75143560464</v>
      </c>
      <c r="J43" s="32">
        <f t="shared" si="13"/>
        <v>-207152.5</v>
      </c>
      <c r="K43" s="76">
        <f t="shared" si="25"/>
        <v>99.388999999999996</v>
      </c>
      <c r="L43" s="31">
        <f t="shared" si="14"/>
        <v>-152110.00000000384</v>
      </c>
      <c r="M43" s="32">
        <f t="shared" si="15"/>
        <v>-94315.680222222232</v>
      </c>
      <c r="N43" s="82">
        <f t="shared" si="16"/>
        <v>809208.94191252277</v>
      </c>
      <c r="O43" s="82"/>
      <c r="P43" s="82"/>
      <c r="Q43" s="82">
        <f>$G$5*SUM($O$14:O43)-$H$5*SUM($P$14:P43)</f>
        <v>-685953.76080000005</v>
      </c>
      <c r="R43" s="82">
        <f t="shared" si="17"/>
        <v>123255.18111252273</v>
      </c>
      <c r="S43" s="143"/>
      <c r="U43" s="75">
        <v>45814.625</v>
      </c>
      <c r="V43" s="54">
        <v>93.7</v>
      </c>
      <c r="W43" s="75">
        <v>45812.625</v>
      </c>
      <c r="X43" s="54">
        <v>101.54</v>
      </c>
      <c r="Y43" s="125">
        <v>45818.625</v>
      </c>
      <c r="Z43" s="54">
        <v>121.52</v>
      </c>
      <c r="AA43" s="75">
        <v>45902.625</v>
      </c>
      <c r="AB43" s="54">
        <v>99.481999999999999</v>
      </c>
      <c r="AF43" s="131">
        <v>45937.625</v>
      </c>
      <c r="AG43" s="45">
        <f t="shared" si="26"/>
        <v>80.77</v>
      </c>
      <c r="AH43" s="46">
        <f t="shared" si="27"/>
        <v>-61751.265900952814</v>
      </c>
      <c r="AI43" s="46">
        <f t="shared" si="57"/>
        <v>-120437.49999999999</v>
      </c>
      <c r="AJ43" s="45">
        <f t="shared" si="29"/>
        <v>99.625</v>
      </c>
      <c r="AK43" s="46">
        <f t="shared" si="30"/>
        <v>-3264.5089285714284</v>
      </c>
      <c r="AL43" s="47">
        <f t="shared" si="58"/>
        <v>-9361.2710425967234</v>
      </c>
      <c r="AM43" s="45">
        <f t="shared" si="32"/>
        <v>111.4</v>
      </c>
      <c r="AN43" s="46">
        <f t="shared" si="33"/>
        <v>320172.42050869437</v>
      </c>
      <c r="AO43" s="47">
        <f t="shared" si="59"/>
        <v>-123878.57142857142</v>
      </c>
      <c r="AP43" s="45">
        <f t="shared" si="35"/>
        <v>99.625</v>
      </c>
      <c r="AQ43" s="46">
        <f t="shared" si="36"/>
        <v>-2845.9821428571431</v>
      </c>
      <c r="AR43" s="47">
        <f t="shared" si="60"/>
        <v>-8161.1080884176627</v>
      </c>
      <c r="AS43" s="45">
        <f t="shared" si="38"/>
        <v>100.96875</v>
      </c>
      <c r="AT43" s="46">
        <f t="shared" si="39"/>
        <v>45200.892857142862</v>
      </c>
      <c r="AU43" s="47">
        <f t="shared" si="61"/>
        <v>89.763764880954113</v>
      </c>
      <c r="AV43" s="45">
        <f t="shared" si="41"/>
        <v>100.390625</v>
      </c>
      <c r="AW43" s="46">
        <f t="shared" si="42"/>
        <v>220312.5</v>
      </c>
      <c r="AX43" s="47">
        <f t="shared" si="62"/>
        <v>5361.8844401041715</v>
      </c>
      <c r="AY43" s="82">
        <f t="shared" si="63"/>
        <v>-105898.88417905448</v>
      </c>
      <c r="AZ43" s="82"/>
      <c r="BA43" s="82"/>
      <c r="BB43" s="82">
        <f>$AO$4*SUM($AZ$14:AZ43)-$AP$4*SUM($BA$14:BA43)</f>
        <v>51346.452082344564</v>
      </c>
      <c r="BC43" s="82">
        <f t="shared" si="18"/>
        <v>-157245.33626139903</v>
      </c>
      <c r="BE43" s="75">
        <v>45811.625</v>
      </c>
      <c r="BF43" s="54">
        <v>79.33</v>
      </c>
      <c r="BI43" s="75">
        <v>45811.625</v>
      </c>
      <c r="BJ43" s="54">
        <v>107.12</v>
      </c>
      <c r="BM43" s="75">
        <v>45931.625</v>
      </c>
      <c r="BN43" s="54">
        <v>101.171875</v>
      </c>
      <c r="BO43" s="75">
        <v>45932.625</v>
      </c>
      <c r="BP43" s="54">
        <v>100.875</v>
      </c>
      <c r="BR43" s="131">
        <v>45937.625</v>
      </c>
      <c r="BS43" s="45">
        <f t="shared" si="19"/>
        <v>108.0094</v>
      </c>
      <c r="BT43" s="46">
        <f t="shared" si="45"/>
        <v>159475.00000000047</v>
      </c>
      <c r="BU43" s="46">
        <f t="shared" si="46"/>
        <v>142361.11111111109</v>
      </c>
      <c r="BV43" s="45">
        <f t="shared" si="47"/>
        <v>47.156999999999996</v>
      </c>
      <c r="BW43" s="46">
        <f t="shared" si="48"/>
        <v>169425.00000000003</v>
      </c>
      <c r="BX43" s="47">
        <f t="shared" si="49"/>
        <v>142361.11111111109</v>
      </c>
      <c r="BY43" s="45">
        <f t="shared" si="50"/>
        <v>-9949.9999999995343</v>
      </c>
      <c r="CA43" s="129">
        <v>45814.625</v>
      </c>
      <c r="CB43" s="54">
        <v>106.61709999999999</v>
      </c>
      <c r="CC43" s="129">
        <v>45814.625</v>
      </c>
      <c r="CD43" s="54">
        <v>54.094999999999999</v>
      </c>
      <c r="CF43" s="131">
        <v>45937.625</v>
      </c>
      <c r="CG43" s="45">
        <f t="shared" si="20"/>
        <v>242.00200000000001</v>
      </c>
      <c r="CH43" s="46">
        <f t="shared" si="51"/>
        <v>354606.99999999971</v>
      </c>
      <c r="CI43" s="46">
        <f t="shared" si="52"/>
        <v>142361.11111111109</v>
      </c>
      <c r="CJ43" s="45">
        <f t="shared" si="53"/>
        <v>49.996000000000002</v>
      </c>
      <c r="CK43" s="46">
        <f t="shared" si="54"/>
        <v>247416.74999999991</v>
      </c>
      <c r="CL43" s="47">
        <f t="shared" si="55"/>
        <v>128125</v>
      </c>
      <c r="CM43" s="45">
        <f t="shared" si="56"/>
        <v>121426.36111111086</v>
      </c>
      <c r="CO43" s="129">
        <v>45814.625</v>
      </c>
      <c r="CP43" s="54">
        <v>289.697</v>
      </c>
      <c r="CQ43" s="129">
        <v>45814.625</v>
      </c>
      <c r="CR43" s="54">
        <v>55.588999999999999</v>
      </c>
      <c r="CS43" s="54"/>
      <c r="CT43" s="54"/>
      <c r="CU43" s="54"/>
      <c r="CV43" s="54"/>
      <c r="CW43" s="54"/>
      <c r="CX43" s="54"/>
      <c r="CY43" s="54"/>
      <c r="DF43" s="142">
        <f t="shared" si="1"/>
        <v>45938.625</v>
      </c>
      <c r="DG43" s="58">
        <f t="shared" si="2"/>
        <v>-148043.05396576703</v>
      </c>
      <c r="DH43" s="58">
        <f t="shared" si="3"/>
        <v>-157536.93553579622</v>
      </c>
      <c r="DI43" s="58">
        <f t="shared" si="5"/>
        <v>-11437.500000000524</v>
      </c>
      <c r="DJ43" s="58">
        <f t="shared" si="6"/>
        <v>101206.33333333299</v>
      </c>
      <c r="DK43" s="58">
        <f t="shared" si="21"/>
        <v>-23898.54929080962</v>
      </c>
      <c r="DL43" s="58">
        <f t="shared" si="21"/>
        <v>-291.5992743971874</v>
      </c>
      <c r="DM43" s="58">
        <f t="shared" si="21"/>
        <v>-1487.5000000009895</v>
      </c>
      <c r="DN43" s="58">
        <f t="shared" si="21"/>
        <v>-20220.027777777868</v>
      </c>
      <c r="DO43" s="58">
        <f t="shared" si="7"/>
        <v>-23898.54929080962</v>
      </c>
      <c r="DP43" s="58">
        <f t="shared" si="7"/>
        <v>-291.5992743971874</v>
      </c>
      <c r="DQ43" s="58">
        <f t="shared" si="7"/>
        <v>-1487.5000000009895</v>
      </c>
      <c r="DR43" s="58">
        <f t="shared" si="7"/>
        <v>-20220.027777777868</v>
      </c>
      <c r="DS43" s="58">
        <f>SUM(DO$15:DO43)</f>
        <v>-257554.10489435156</v>
      </c>
      <c r="DT43" s="58">
        <f>SUM(DP$15:DP43)</f>
        <v>-189834.73571272619</v>
      </c>
      <c r="DU43" s="58">
        <f>SUM(DQ$15:DQ43)</f>
        <v>-12581.249999999411</v>
      </c>
      <c r="DV43" s="58">
        <f>SUM(DR$15:DR43)</f>
        <v>-2604.3888888887013</v>
      </c>
      <c r="DZ43" s="133">
        <v>45938.625</v>
      </c>
      <c r="EA43" s="54">
        <f>VLOOKUP($DZ43,$DF$12:DS$49,14)</f>
        <v>-257554.10489435156</v>
      </c>
      <c r="EB43" s="54">
        <f>VLOOKUP($DZ43,$DF$12:DT$49,15)</f>
        <v>-189834.73571272619</v>
      </c>
      <c r="EC43" s="54">
        <f>VLOOKUP($DZ43,$DF$12:DU$49,16)</f>
        <v>-12581.249999999411</v>
      </c>
      <c r="ED43" s="54">
        <f>VLOOKUP($DZ43,$DF$12:DV$49,17)</f>
        <v>-2604.3888888887013</v>
      </c>
    </row>
    <row r="44" spans="1:134" x14ac:dyDescent="0.3">
      <c r="A44" s="142">
        <v>45888.625</v>
      </c>
      <c r="B44" s="76">
        <f t="shared" si="22"/>
        <v>94.8</v>
      </c>
      <c r="C44" s="31">
        <f t="shared" si="8"/>
        <v>239616.6134185307</v>
      </c>
      <c r="D44" s="32">
        <f t="shared" si="9"/>
        <v>-123375</v>
      </c>
      <c r="E44" s="76">
        <f t="shared" si="23"/>
        <v>100.99</v>
      </c>
      <c r="F44" s="31">
        <f t="shared" si="10"/>
        <v>-50200.000000000953</v>
      </c>
      <c r="G44" s="32">
        <f t="shared" si="11"/>
        <v>-43924.866999999998</v>
      </c>
      <c r="H44" s="76">
        <f t="shared" si="24"/>
        <v>120.27</v>
      </c>
      <c r="I44" s="31">
        <f t="shared" si="12"/>
        <v>-574979.49138638529</v>
      </c>
      <c r="J44" s="32">
        <f t="shared" si="13"/>
        <v>-212205</v>
      </c>
      <c r="K44" s="76">
        <f t="shared" si="25"/>
        <v>99.484999999999999</v>
      </c>
      <c r="L44" s="31">
        <f t="shared" si="14"/>
        <v>-112750.00000000233</v>
      </c>
      <c r="M44" s="32">
        <f t="shared" si="15"/>
        <v>-96616.062666666665</v>
      </c>
      <c r="N44" s="82">
        <f t="shared" si="16"/>
        <v>788184.90913824795</v>
      </c>
      <c r="O44" s="82"/>
      <c r="P44" s="82"/>
      <c r="Q44" s="82">
        <f>$G$5*SUM($O$14:O44)-$H$5*SUM($P$14:P44)</f>
        <v>-685953.76080000005</v>
      </c>
      <c r="R44" s="82">
        <f t="shared" si="17"/>
        <v>102231.14833824791</v>
      </c>
      <c r="S44" s="143"/>
      <c r="U44" s="75">
        <v>45817.625</v>
      </c>
      <c r="V44" s="54">
        <v>93.62</v>
      </c>
      <c r="W44" s="75">
        <v>45813.625</v>
      </c>
      <c r="X44" s="54">
        <v>101.26</v>
      </c>
      <c r="Y44" s="125">
        <v>45819.625</v>
      </c>
      <c r="Z44" s="54">
        <v>121.56</v>
      </c>
      <c r="AA44" s="75">
        <v>45903.625</v>
      </c>
      <c r="AB44" s="54">
        <v>99.596000000000004</v>
      </c>
      <c r="AF44" s="131">
        <v>45938.625</v>
      </c>
      <c r="AG44" s="45">
        <f t="shared" si="26"/>
        <v>80.650000000000006</v>
      </c>
      <c r="AH44" s="46">
        <f t="shared" si="27"/>
        <v>-98802.025441518941</v>
      </c>
      <c r="AI44" s="46">
        <f t="shared" si="57"/>
        <v>-123374.99999999999</v>
      </c>
      <c r="AJ44" s="45">
        <f t="shared" si="29"/>
        <v>99.5625</v>
      </c>
      <c r="AK44" s="46">
        <f t="shared" si="30"/>
        <v>-11969.866071428572</v>
      </c>
      <c r="AL44" s="47">
        <f t="shared" si="58"/>
        <v>-9589.5947265625073</v>
      </c>
      <c r="AM44" s="45">
        <f t="shared" si="32"/>
        <v>111.26</v>
      </c>
      <c r="AN44" s="46">
        <f t="shared" si="33"/>
        <v>287454.07096766192</v>
      </c>
      <c r="AO44" s="47">
        <f t="shared" si="59"/>
        <v>-126900.00000000001</v>
      </c>
      <c r="AP44" s="45">
        <f t="shared" si="35"/>
        <v>99.5625</v>
      </c>
      <c r="AQ44" s="46">
        <f t="shared" si="36"/>
        <v>-10435.267857142859</v>
      </c>
      <c r="AR44" s="47">
        <f t="shared" si="60"/>
        <v>-8360.1595052083358</v>
      </c>
      <c r="AS44" s="45">
        <f t="shared" si="38"/>
        <v>100.953125</v>
      </c>
      <c r="AT44" s="46">
        <f t="shared" si="39"/>
        <v>44363.83928571429</v>
      </c>
      <c r="AU44" s="47">
        <f t="shared" si="61"/>
        <v>91.953125000003638</v>
      </c>
      <c r="AV44" s="45">
        <f t="shared" si="41"/>
        <v>100.4375</v>
      </c>
      <c r="AW44" s="46">
        <f t="shared" si="42"/>
        <v>223828.125</v>
      </c>
      <c r="AX44" s="47">
        <f t="shared" si="62"/>
        <v>5492.662109375</v>
      </c>
      <c r="AY44" s="82">
        <f t="shared" si="63"/>
        <v>-106190.48345345166</v>
      </c>
      <c r="AZ44" s="82"/>
      <c r="BA44" s="82"/>
      <c r="BB44" s="82">
        <f>$AO$4*SUM($AZ$14:AZ44)-$AP$4*SUM($BA$14:BA44)</f>
        <v>51346.452082344564</v>
      </c>
      <c r="BC44" s="82">
        <f t="shared" si="18"/>
        <v>-157536.93553579622</v>
      </c>
      <c r="BE44" s="75">
        <v>45812.625</v>
      </c>
      <c r="BF44" s="54">
        <v>79.48</v>
      </c>
      <c r="BI44" s="75">
        <v>45812.625</v>
      </c>
      <c r="BJ44" s="54">
        <v>107.9</v>
      </c>
      <c r="BM44" s="75">
        <v>45932.625</v>
      </c>
      <c r="BN44" s="54">
        <v>101.3125</v>
      </c>
      <c r="BO44" s="75">
        <v>45933.625</v>
      </c>
      <c r="BP44" s="54">
        <v>100.609375</v>
      </c>
      <c r="BR44" s="131">
        <v>45938.625</v>
      </c>
      <c r="BS44" s="45">
        <f t="shared" si="19"/>
        <v>107.92919999999999</v>
      </c>
      <c r="BT44" s="46">
        <f t="shared" si="45"/>
        <v>139424.99999999924</v>
      </c>
      <c r="BU44" s="46">
        <f t="shared" si="46"/>
        <v>145833.33333333334</v>
      </c>
      <c r="BV44" s="45">
        <f t="shared" si="47"/>
        <v>47.487000000000002</v>
      </c>
      <c r="BW44" s="46">
        <f t="shared" si="48"/>
        <v>150862.49999999974</v>
      </c>
      <c r="BX44" s="47">
        <f t="shared" si="49"/>
        <v>145833.33333333334</v>
      </c>
      <c r="BY44" s="45">
        <f t="shared" si="50"/>
        <v>-11437.500000000524</v>
      </c>
      <c r="CA44" s="129">
        <v>45817.625</v>
      </c>
      <c r="CB44" s="54">
        <v>106.6589</v>
      </c>
      <c r="CC44" s="129">
        <v>45817.625</v>
      </c>
      <c r="CD44" s="54">
        <v>53.728999999999999</v>
      </c>
      <c r="CF44" s="131">
        <v>45938.625</v>
      </c>
      <c r="CG44" s="45">
        <f t="shared" si="20"/>
        <v>244.23400000000001</v>
      </c>
      <c r="CH44" s="46">
        <f t="shared" si="51"/>
        <v>330054.99999999971</v>
      </c>
      <c r="CI44" s="46">
        <f t="shared" si="52"/>
        <v>145833.33333333334</v>
      </c>
      <c r="CJ44" s="45">
        <f t="shared" si="53"/>
        <v>50.073</v>
      </c>
      <c r="CK44" s="46">
        <f t="shared" si="54"/>
        <v>243432.00000000003</v>
      </c>
      <c r="CL44" s="47">
        <f t="shared" si="55"/>
        <v>131250</v>
      </c>
      <c r="CM44" s="45">
        <f t="shared" si="56"/>
        <v>101206.33333333299</v>
      </c>
      <c r="CO44" s="129">
        <v>45817.625</v>
      </c>
      <c r="CP44" s="54">
        <v>288.13</v>
      </c>
      <c r="CQ44" s="129">
        <v>45817.625</v>
      </c>
      <c r="CR44" s="54">
        <v>55.499000000000002</v>
      </c>
      <c r="CS44" s="54"/>
      <c r="CT44" s="54"/>
      <c r="CU44" s="54"/>
      <c r="CV44" s="54"/>
      <c r="CW44" s="54"/>
      <c r="CX44" s="54"/>
      <c r="CY44" s="54"/>
      <c r="DF44" s="142">
        <f t="shared" si="1"/>
        <v>45939.625</v>
      </c>
      <c r="DG44" s="58">
        <f t="shared" si="2"/>
        <v>-170674.22798346303</v>
      </c>
      <c r="DH44" s="58">
        <f t="shared" si="3"/>
        <v>-183614.5045322704</v>
      </c>
      <c r="DI44" s="58">
        <f t="shared" si="5"/>
        <v>-30425.000000000364</v>
      </c>
      <c r="DJ44" s="58">
        <f t="shared" si="6"/>
        <v>79293.555555555358</v>
      </c>
      <c r="DK44" s="58">
        <f t="shared" si="21"/>
        <v>-22631.174017696001</v>
      </c>
      <c r="DL44" s="58">
        <f t="shared" si="21"/>
        <v>-26077.568996474176</v>
      </c>
      <c r="DM44" s="58">
        <f t="shared" si="21"/>
        <v>-18987.49999999984</v>
      </c>
      <c r="DN44" s="58">
        <f t="shared" si="21"/>
        <v>-21912.777777777635</v>
      </c>
      <c r="DO44" s="58">
        <f t="shared" si="7"/>
        <v>-22631.174017696001</v>
      </c>
      <c r="DP44" s="58">
        <f t="shared" si="7"/>
        <v>-26077.568996474176</v>
      </c>
      <c r="DQ44" s="58">
        <f t="shared" si="7"/>
        <v>-18987.49999999984</v>
      </c>
      <c r="DR44" s="58">
        <f t="shared" si="7"/>
        <v>-21912.777777777635</v>
      </c>
      <c r="DS44" s="58">
        <f>SUM(DO$15:DO44)</f>
        <v>-280185.27891204756</v>
      </c>
      <c r="DT44" s="58">
        <f>SUM(DP$15:DP44)</f>
        <v>-215912.30470920037</v>
      </c>
      <c r="DU44" s="58">
        <f>SUM(DQ$15:DQ44)</f>
        <v>-31568.749999999251</v>
      </c>
      <c r="DV44" s="58">
        <f>SUM(DR$15:DR44)</f>
        <v>-24517.166666666337</v>
      </c>
      <c r="DZ44" s="133">
        <v>45939.625</v>
      </c>
      <c r="EA44" s="54">
        <f>VLOOKUP($DZ44,$DF$12:DS$49,14)</f>
        <v>-280185.27891204756</v>
      </c>
      <c r="EB44" s="54">
        <f>VLOOKUP($DZ44,$DF$12:DT$49,15)</f>
        <v>-215912.30470920037</v>
      </c>
      <c r="EC44" s="54">
        <f>VLOOKUP($DZ44,$DF$12:DU$49,16)</f>
        <v>-31568.749999999251</v>
      </c>
      <c r="ED44" s="54">
        <f>VLOOKUP($DZ44,$DF$12:DV$49,17)</f>
        <v>-24517.166666666337</v>
      </c>
    </row>
    <row r="45" spans="1:134" x14ac:dyDescent="0.3">
      <c r="A45" s="142">
        <v>45889.625</v>
      </c>
      <c r="B45" s="76">
        <f t="shared" si="22"/>
        <v>94.64</v>
      </c>
      <c r="C45" s="31">
        <f t="shared" si="8"/>
        <v>197018.10436634769</v>
      </c>
      <c r="D45" s="32">
        <f t="shared" si="9"/>
        <v>-126312.49999999999</v>
      </c>
      <c r="E45" s="76">
        <f t="shared" si="23"/>
        <v>101.083</v>
      </c>
      <c r="F45" s="31">
        <f t="shared" si="10"/>
        <v>-31600.000000000251</v>
      </c>
      <c r="G45" s="32">
        <f t="shared" si="11"/>
        <v>-44970.697166666672</v>
      </c>
      <c r="H45" s="76">
        <f t="shared" si="24"/>
        <v>120.39</v>
      </c>
      <c r="I45" s="31">
        <f t="shared" si="12"/>
        <v>-532649.71287941281</v>
      </c>
      <c r="J45" s="32">
        <f t="shared" si="13"/>
        <v>-217257.5</v>
      </c>
      <c r="K45" s="76">
        <f t="shared" si="25"/>
        <v>99.653999999999996</v>
      </c>
      <c r="L45" s="31">
        <f t="shared" si="14"/>
        <v>-43460.000000003587</v>
      </c>
      <c r="M45" s="32">
        <f t="shared" si="15"/>
        <v>-98916.445111111141</v>
      </c>
      <c r="N45" s="82">
        <f t="shared" si="16"/>
        <v>754807.06930131267</v>
      </c>
      <c r="O45" s="82"/>
      <c r="P45" s="82"/>
      <c r="Q45" s="82">
        <f>$G$5*SUM($O$14:O45)-$H$5*SUM($P$14:P45)</f>
        <v>-685953.76080000005</v>
      </c>
      <c r="R45" s="82">
        <f t="shared" si="17"/>
        <v>68853.308501312626</v>
      </c>
      <c r="S45" s="143"/>
      <c r="U45" s="75">
        <v>45818.625</v>
      </c>
      <c r="V45" s="54">
        <v>93.67</v>
      </c>
      <c r="W45" s="75">
        <v>45814.625</v>
      </c>
      <c r="X45" s="54">
        <v>101.29900000000001</v>
      </c>
      <c r="Y45" s="125">
        <v>45820.625</v>
      </c>
      <c r="Z45" s="54">
        <v>121.7</v>
      </c>
      <c r="AA45" s="75">
        <v>45904.625</v>
      </c>
      <c r="AB45" s="54">
        <v>99.653999999999996</v>
      </c>
      <c r="AF45" s="131">
        <v>45939.625</v>
      </c>
      <c r="AG45" s="45">
        <f t="shared" si="26"/>
        <v>80.42</v>
      </c>
      <c r="AH45" s="46">
        <f t="shared" si="27"/>
        <v>-169815.98122761399</v>
      </c>
      <c r="AI45" s="46">
        <f t="shared" si="57"/>
        <v>-126312.50000000001</v>
      </c>
      <c r="AJ45" s="45">
        <f t="shared" si="29"/>
        <v>99.5078125</v>
      </c>
      <c r="AK45" s="46">
        <f t="shared" si="30"/>
        <v>-19587.053571428572</v>
      </c>
      <c r="AL45" s="47">
        <f t="shared" si="58"/>
        <v>-9817.9184105282693</v>
      </c>
      <c r="AM45" s="45">
        <f t="shared" si="32"/>
        <v>111.04</v>
      </c>
      <c r="AN45" s="46">
        <f t="shared" si="33"/>
        <v>236039.52168889175</v>
      </c>
      <c r="AO45" s="47">
        <f t="shared" si="59"/>
        <v>-129921.42857142858</v>
      </c>
      <c r="AP45" s="45">
        <f t="shared" si="35"/>
        <v>99.5078125</v>
      </c>
      <c r="AQ45" s="46">
        <f t="shared" si="36"/>
        <v>-17075.892857142859</v>
      </c>
      <c r="AR45" s="47">
        <f t="shared" si="60"/>
        <v>-8559.2109219990016</v>
      </c>
      <c r="AS45" s="45">
        <f t="shared" si="38"/>
        <v>100.875</v>
      </c>
      <c r="AT45" s="46">
        <f t="shared" si="39"/>
        <v>40178.571428571428</v>
      </c>
      <c r="AU45" s="47">
        <f t="shared" si="61"/>
        <v>94.142485119053163</v>
      </c>
      <c r="AV45" s="45">
        <f t="shared" si="41"/>
        <v>100.390625</v>
      </c>
      <c r="AW45" s="46">
        <f t="shared" si="42"/>
        <v>220312.5</v>
      </c>
      <c r="AX45" s="47">
        <f t="shared" si="62"/>
        <v>5623.4397786458358</v>
      </c>
      <c r="AY45" s="82">
        <f t="shared" si="63"/>
        <v>-132268.05244992583</v>
      </c>
      <c r="AZ45" s="82"/>
      <c r="BA45" s="82"/>
      <c r="BB45" s="82">
        <f>$AO$4*SUM($AZ$14:AZ45)-$AP$4*SUM($BA$14:BA45)</f>
        <v>51346.452082344564</v>
      </c>
      <c r="BC45" s="82">
        <f t="shared" si="18"/>
        <v>-183614.5045322704</v>
      </c>
      <c r="BE45" s="75">
        <v>45813.625</v>
      </c>
      <c r="BF45" s="54">
        <v>79.31</v>
      </c>
      <c r="BI45" s="75">
        <v>45813.625</v>
      </c>
      <c r="BJ45" s="54">
        <v>107.57</v>
      </c>
      <c r="BM45" s="75">
        <v>45933.625</v>
      </c>
      <c r="BN45" s="54">
        <v>101.046875</v>
      </c>
      <c r="BO45" s="75">
        <v>45936.625</v>
      </c>
      <c r="BP45" s="54">
        <v>99.859375</v>
      </c>
      <c r="BR45" s="131">
        <v>45939.625</v>
      </c>
      <c r="BS45" s="45">
        <f t="shared" si="19"/>
        <v>107.73399999999999</v>
      </c>
      <c r="BT45" s="46">
        <f t="shared" si="45"/>
        <v>90624.999999999287</v>
      </c>
      <c r="BU45" s="46">
        <f t="shared" si="46"/>
        <v>149305.55555555559</v>
      </c>
      <c r="BV45" s="45">
        <f t="shared" si="47"/>
        <v>48.017000000000003</v>
      </c>
      <c r="BW45" s="46">
        <f t="shared" si="48"/>
        <v>121049.99999999967</v>
      </c>
      <c r="BX45" s="47">
        <f t="shared" si="49"/>
        <v>149305.55555555556</v>
      </c>
      <c r="BY45" s="45">
        <f t="shared" si="50"/>
        <v>-30425.000000000364</v>
      </c>
      <c r="CA45" s="129">
        <v>45818.625</v>
      </c>
      <c r="CB45" s="54">
        <v>106.8021</v>
      </c>
      <c r="CC45" s="129">
        <v>45818.625</v>
      </c>
      <c r="CD45" s="54">
        <v>53.005000000000003</v>
      </c>
      <c r="CF45" s="131">
        <v>45939.625</v>
      </c>
      <c r="CG45" s="45">
        <f t="shared" si="20"/>
        <v>249.739</v>
      </c>
      <c r="CH45" s="46">
        <f t="shared" si="51"/>
        <v>269499.99999999971</v>
      </c>
      <c r="CI45" s="46">
        <f t="shared" si="52"/>
        <v>149305.55555555559</v>
      </c>
      <c r="CJ45" s="45">
        <f t="shared" si="53"/>
        <v>50.813000000000002</v>
      </c>
      <c r="CK45" s="46">
        <f t="shared" si="54"/>
        <v>205136.99999999991</v>
      </c>
      <c r="CL45" s="47">
        <f t="shared" si="55"/>
        <v>134375</v>
      </c>
      <c r="CM45" s="45">
        <f t="shared" si="56"/>
        <v>79293.555555555358</v>
      </c>
      <c r="CO45" s="129">
        <v>45818.625</v>
      </c>
      <c r="CP45" s="54">
        <v>288.601</v>
      </c>
      <c r="CQ45" s="129">
        <v>45818.625</v>
      </c>
      <c r="CR45" s="54">
        <v>55.426000000000002</v>
      </c>
      <c r="CS45" s="54"/>
      <c r="CT45" s="54"/>
      <c r="CU45" s="54"/>
      <c r="CV45" s="54"/>
      <c r="CW45" s="54"/>
      <c r="CX45" s="54"/>
      <c r="CY45" s="54"/>
      <c r="DF45" s="142">
        <f t="shared" si="1"/>
        <v>45940.625</v>
      </c>
      <c r="DG45" s="58">
        <f t="shared" si="2"/>
        <v>-166104.21175023937</v>
      </c>
      <c r="DH45" s="58">
        <f t="shared" si="3"/>
        <v>-250302.54073549545</v>
      </c>
      <c r="DI45" s="58">
        <f t="shared" si="5"/>
        <v>-41731.249999997381</v>
      </c>
      <c r="DJ45" s="58">
        <f t="shared" si="6"/>
        <v>76062.277777777927</v>
      </c>
      <c r="DK45" s="58">
        <f t="shared" si="21"/>
        <v>4570.016233223665</v>
      </c>
      <c r="DL45" s="58">
        <f t="shared" si="21"/>
        <v>-66688.036203225056</v>
      </c>
      <c r="DM45" s="58">
        <f t="shared" si="21"/>
        <v>-11306.249999997017</v>
      </c>
      <c r="DN45" s="58">
        <f t="shared" si="21"/>
        <v>-3231.2777777774318</v>
      </c>
      <c r="DO45" s="58">
        <f t="shared" si="7"/>
        <v>4570.016233223665</v>
      </c>
      <c r="DP45" s="58">
        <f t="shared" si="7"/>
        <v>-66688.036203225056</v>
      </c>
      <c r="DQ45" s="58">
        <f t="shared" si="7"/>
        <v>-11306.249999997017</v>
      </c>
      <c r="DR45" s="58">
        <f t="shared" si="7"/>
        <v>-3231.2777777774318</v>
      </c>
      <c r="DS45" s="58">
        <f>SUM(DO$15:DO45)</f>
        <v>-275615.2626788239</v>
      </c>
      <c r="DT45" s="58">
        <f>SUM(DP$15:DP45)</f>
        <v>-282600.34091242542</v>
      </c>
      <c r="DU45" s="58">
        <f>SUM(DQ$15:DQ45)</f>
        <v>-42874.999999996267</v>
      </c>
      <c r="DV45" s="58">
        <f>SUM(DR$15:DR45)</f>
        <v>-27748.444444443769</v>
      </c>
      <c r="DZ45" s="133">
        <v>45940.625</v>
      </c>
      <c r="EA45" s="54">
        <f>VLOOKUP($DZ45,$DF$12:DS$49,14)</f>
        <v>-275615.2626788239</v>
      </c>
      <c r="EB45" s="54">
        <f>VLOOKUP($DZ45,$DF$12:DT$49,15)</f>
        <v>-282600.34091242542</v>
      </c>
      <c r="EC45" s="54">
        <f>VLOOKUP($DZ45,$DF$12:DU$49,16)</f>
        <v>-42874.999999996267</v>
      </c>
      <c r="ED45" s="54">
        <f>VLOOKUP($DZ45,$DF$12:DV$49,17)</f>
        <v>-27748.444444443769</v>
      </c>
    </row>
    <row r="46" spans="1:134" x14ac:dyDescent="0.3">
      <c r="A46" s="142">
        <v>45890.625</v>
      </c>
      <c r="B46" s="76">
        <f t="shared" si="22"/>
        <v>94.47</v>
      </c>
      <c r="C46" s="31">
        <f t="shared" si="8"/>
        <v>151757.1884984026</v>
      </c>
      <c r="D46" s="32">
        <f t="shared" si="9"/>
        <v>-129249.99999999999</v>
      </c>
      <c r="E46" s="76">
        <f t="shared" si="23"/>
        <v>100.955</v>
      </c>
      <c r="F46" s="31">
        <f t="shared" si="10"/>
        <v>-57200.000000000269</v>
      </c>
      <c r="G46" s="32">
        <f t="shared" si="11"/>
        <v>-46016.527333333324</v>
      </c>
      <c r="H46" s="76">
        <f t="shared" si="24"/>
        <v>120.12</v>
      </c>
      <c r="I46" s="31">
        <f t="shared" si="12"/>
        <v>-627891.71452009853</v>
      </c>
      <c r="J46" s="32">
        <f t="shared" si="13"/>
        <v>-222309.99999999997</v>
      </c>
      <c r="K46" s="76">
        <f t="shared" si="25"/>
        <v>99.468999999999994</v>
      </c>
      <c r="L46" s="31">
        <f t="shared" si="14"/>
        <v>-119310.00000000453</v>
      </c>
      <c r="M46" s="32">
        <f t="shared" si="15"/>
        <v>-101216.82755555556</v>
      </c>
      <c r="N46" s="82">
        <f t="shared" si="16"/>
        <v>755398.6027962747</v>
      </c>
      <c r="O46" s="82"/>
      <c r="P46" s="82"/>
      <c r="Q46" s="82">
        <f>$G$5*SUM($O$14:O46)-$H$5*SUM($P$14:P46)</f>
        <v>-685953.76080000005</v>
      </c>
      <c r="R46" s="82">
        <f t="shared" si="17"/>
        <v>69444.841996274656</v>
      </c>
      <c r="S46" s="143"/>
      <c r="U46" s="75">
        <v>45819.625</v>
      </c>
      <c r="V46" s="54">
        <v>93.76</v>
      </c>
      <c r="W46" s="75">
        <v>45817.625</v>
      </c>
      <c r="X46" s="54">
        <v>101.297</v>
      </c>
      <c r="Y46" s="125">
        <v>45821.625</v>
      </c>
      <c r="Z46" s="54">
        <v>121.38</v>
      </c>
      <c r="AA46" s="75">
        <v>45905.625</v>
      </c>
      <c r="AB46" s="54">
        <v>99.900999999999996</v>
      </c>
      <c r="AF46" s="131">
        <v>45940.625</v>
      </c>
      <c r="AG46" s="45">
        <f t="shared" si="26"/>
        <v>79.984999999999999</v>
      </c>
      <c r="AH46" s="46">
        <f t="shared" si="27"/>
        <v>-304124.9845621846</v>
      </c>
      <c r="AI46" s="46">
        <f t="shared" si="57"/>
        <v>-129249.99999999999</v>
      </c>
      <c r="AJ46" s="45">
        <f t="shared" si="29"/>
        <v>99.890625</v>
      </c>
      <c r="AK46" s="46">
        <f t="shared" si="30"/>
        <v>33733.258928571428</v>
      </c>
      <c r="AL46" s="47">
        <f t="shared" si="58"/>
        <v>-10046.24209449406</v>
      </c>
      <c r="AM46" s="45">
        <f t="shared" si="32"/>
        <v>111.36</v>
      </c>
      <c r="AN46" s="46">
        <f t="shared" si="33"/>
        <v>310824.32063982554</v>
      </c>
      <c r="AO46" s="47">
        <f t="shared" si="59"/>
        <v>-132942.85714285716</v>
      </c>
      <c r="AP46" s="45">
        <f t="shared" si="35"/>
        <v>99.890625</v>
      </c>
      <c r="AQ46" s="46">
        <f t="shared" si="36"/>
        <v>29408.482142857145</v>
      </c>
      <c r="AR46" s="47">
        <f t="shared" si="60"/>
        <v>-8758.262338789682</v>
      </c>
      <c r="AS46" s="45">
        <f t="shared" si="38"/>
        <v>101.578125</v>
      </c>
      <c r="AT46" s="46">
        <f t="shared" si="39"/>
        <v>77845.982142857145</v>
      </c>
      <c r="AU46" s="47">
        <f t="shared" si="61"/>
        <v>96.331845238099049</v>
      </c>
      <c r="AV46" s="45">
        <f t="shared" si="41"/>
        <v>101.875</v>
      </c>
      <c r="AW46" s="46">
        <f t="shared" si="42"/>
        <v>331640.625</v>
      </c>
      <c r="AX46" s="47">
        <f t="shared" si="62"/>
        <v>5754.2174479166715</v>
      </c>
      <c r="AY46" s="82">
        <f t="shared" si="63"/>
        <v>-198956.08865315089</v>
      </c>
      <c r="AZ46" s="82"/>
      <c r="BA46" s="82"/>
      <c r="BB46" s="82">
        <f>$AO$4*SUM($AZ$14:AZ46)-$AP$4*SUM($BA$14:BA46)</f>
        <v>51346.452082344564</v>
      </c>
      <c r="BC46" s="82">
        <f t="shared" si="18"/>
        <v>-250302.54073549545</v>
      </c>
      <c r="BE46" s="75">
        <v>45814.625</v>
      </c>
      <c r="BF46" s="54">
        <v>79.3</v>
      </c>
      <c r="BI46" s="75">
        <v>45814.625</v>
      </c>
      <c r="BJ46" s="54">
        <v>106.92</v>
      </c>
      <c r="BM46" s="75">
        <v>45936.625</v>
      </c>
      <c r="BN46" s="54">
        <v>100.6875</v>
      </c>
      <c r="BO46" s="75">
        <v>45937.625</v>
      </c>
      <c r="BP46" s="54">
        <v>100.390625</v>
      </c>
      <c r="BR46" s="131">
        <v>45940.625</v>
      </c>
      <c r="BS46" s="45">
        <f t="shared" si="19"/>
        <v>107.01220000000001</v>
      </c>
      <c r="BT46" s="46">
        <f t="shared" si="45"/>
        <v>-89824.999999997599</v>
      </c>
      <c r="BU46" s="46">
        <f t="shared" si="46"/>
        <v>152777.77777777778</v>
      </c>
      <c r="BV46" s="45">
        <f t="shared" si="47"/>
        <v>51.024000000000001</v>
      </c>
      <c r="BW46" s="46">
        <f t="shared" si="48"/>
        <v>-48093.750000000226</v>
      </c>
      <c r="BX46" s="47">
        <f t="shared" si="49"/>
        <v>152777.77777777778</v>
      </c>
      <c r="BY46" s="45">
        <f t="shared" si="50"/>
        <v>-41731.249999997381</v>
      </c>
      <c r="CA46" s="129">
        <v>45819.625</v>
      </c>
      <c r="CB46" s="54">
        <v>106.7745</v>
      </c>
      <c r="CC46" s="129">
        <v>45819.625</v>
      </c>
      <c r="CD46" s="54">
        <v>53.15</v>
      </c>
      <c r="CF46" s="131">
        <v>45940.625</v>
      </c>
      <c r="CG46" s="45">
        <f t="shared" si="20"/>
        <v>260.29199999999997</v>
      </c>
      <c r="CH46" s="46">
        <f t="shared" si="51"/>
        <v>153417.00000000006</v>
      </c>
      <c r="CI46" s="46">
        <f t="shared" si="52"/>
        <v>152777.77777777778</v>
      </c>
      <c r="CJ46" s="45">
        <f t="shared" si="53"/>
        <v>52.987000000000002</v>
      </c>
      <c r="CK46" s="46">
        <f t="shared" si="54"/>
        <v>92632.499999999956</v>
      </c>
      <c r="CL46" s="47">
        <f t="shared" si="55"/>
        <v>137500</v>
      </c>
      <c r="CM46" s="45">
        <f t="shared" si="56"/>
        <v>76062.277777777927</v>
      </c>
      <c r="CO46" s="129">
        <v>45819.625</v>
      </c>
      <c r="CP46" s="54">
        <v>284.75799999999998</v>
      </c>
      <c r="CQ46" s="129">
        <v>45819.625</v>
      </c>
      <c r="CR46" s="54">
        <v>54.582999999999998</v>
      </c>
      <c r="CS46" s="54"/>
      <c r="CT46" s="54"/>
      <c r="CU46" s="54"/>
      <c r="CV46" s="54"/>
      <c r="CW46" s="54"/>
      <c r="CX46" s="54"/>
      <c r="CY46" s="54"/>
      <c r="DF46" s="142">
        <f t="shared" si="1"/>
        <v>45943.625</v>
      </c>
      <c r="DG46" s="58">
        <f t="shared" si="2"/>
        <v>-147845.27719028643</v>
      </c>
      <c r="DH46" s="58">
        <f t="shared" si="3"/>
        <v>-167490.16948453477</v>
      </c>
      <c r="DI46" s="58">
        <f t="shared" si="5"/>
        <v>-41731.249999997381</v>
      </c>
      <c r="DJ46" s="58">
        <f t="shared" si="6"/>
        <v>82541.694444444147</v>
      </c>
      <c r="DK46" s="58">
        <f t="shared" si="21"/>
        <v>18258.934559952933</v>
      </c>
      <c r="DL46" s="58">
        <f t="shared" si="21"/>
        <v>82812.371250960685</v>
      </c>
      <c r="DM46" s="58">
        <f t="shared" si="21"/>
        <v>0</v>
      </c>
      <c r="DN46" s="58">
        <f t="shared" si="21"/>
        <v>6479.4166666662204</v>
      </c>
      <c r="DO46" s="58">
        <f t="shared" si="7"/>
        <v>18258.934559952933</v>
      </c>
      <c r="DP46" s="58">
        <f t="shared" si="7"/>
        <v>82812.371250960685</v>
      </c>
      <c r="DQ46" s="58">
        <f t="shared" si="7"/>
        <v>0</v>
      </c>
      <c r="DR46" s="58">
        <f t="shared" si="7"/>
        <v>6479.4166666662204</v>
      </c>
      <c r="DS46" s="58">
        <f>SUM(DO$15:DO46)</f>
        <v>-257356.32811887097</v>
      </c>
      <c r="DT46" s="58">
        <f>SUM(DP$15:DP46)</f>
        <v>-199787.96966146474</v>
      </c>
      <c r="DU46" s="58">
        <f>SUM(DQ$15:DQ46)</f>
        <v>-42874.999999996267</v>
      </c>
      <c r="DV46" s="58">
        <f>SUM(DR$15:DR46)</f>
        <v>-21269.027777777548</v>
      </c>
      <c r="DZ46" s="133">
        <v>45943.625</v>
      </c>
      <c r="EA46" s="54">
        <f>VLOOKUP($DZ46,$DF$12:DS$49,14)</f>
        <v>-257356.32811887097</v>
      </c>
      <c r="EB46" s="54">
        <f>VLOOKUP($DZ46,$DF$12:DT$49,15)</f>
        <v>-199787.96966146474</v>
      </c>
      <c r="EC46" s="54">
        <f>VLOOKUP($DZ46,$DF$12:DU$49,16)</f>
        <v>-42874.999999996267</v>
      </c>
      <c r="ED46" s="54">
        <f>VLOOKUP($DZ46,$DF$12:DV$49,17)</f>
        <v>-21269.027777777548</v>
      </c>
    </row>
    <row r="47" spans="1:134" x14ac:dyDescent="0.3">
      <c r="A47" s="142">
        <v>45891.625</v>
      </c>
      <c r="B47" s="76">
        <f t="shared" si="22"/>
        <v>94.76</v>
      </c>
      <c r="C47" s="31">
        <f t="shared" si="8"/>
        <v>228966.98615548215</v>
      </c>
      <c r="D47" s="32">
        <f t="shared" si="9"/>
        <v>-132187.5</v>
      </c>
      <c r="E47" s="76">
        <f t="shared" si="23"/>
        <v>101.027</v>
      </c>
      <c r="F47" s="31">
        <f t="shared" si="10"/>
        <v>-42799.999999999731</v>
      </c>
      <c r="G47" s="32">
        <f t="shared" si="11"/>
        <v>-47062.357499999998</v>
      </c>
      <c r="H47" s="76">
        <f t="shared" si="24"/>
        <v>120.28</v>
      </c>
      <c r="I47" s="31">
        <f t="shared" si="12"/>
        <v>-571452.0098441384</v>
      </c>
      <c r="J47" s="32">
        <f t="shared" si="13"/>
        <v>-227362.5</v>
      </c>
      <c r="K47" s="76">
        <f t="shared" si="25"/>
        <v>99.596000000000004</v>
      </c>
      <c r="L47" s="31">
        <f t="shared" si="14"/>
        <v>-67240.000000000597</v>
      </c>
      <c r="M47" s="32">
        <f t="shared" si="15"/>
        <v>-103517.20999999999</v>
      </c>
      <c r="N47" s="82">
        <f t="shared" si="16"/>
        <v>814699.14349961968</v>
      </c>
      <c r="O47" s="82"/>
      <c r="P47" s="82"/>
      <c r="Q47" s="82">
        <f>$G$5*SUM($O$14:O47)-$H$5*SUM($P$14:P47)</f>
        <v>-685953.76080000005</v>
      </c>
      <c r="R47" s="82">
        <f t="shared" si="17"/>
        <v>128745.38269961963</v>
      </c>
      <c r="S47" s="143"/>
      <c r="U47" s="75">
        <v>45820.625</v>
      </c>
      <c r="V47" s="54">
        <v>93.76</v>
      </c>
      <c r="W47" s="75">
        <v>45818.625</v>
      </c>
      <c r="X47" s="54">
        <v>101.38500000000001</v>
      </c>
      <c r="Y47" s="125">
        <v>45825.625</v>
      </c>
      <c r="Z47" s="54">
        <v>121.5</v>
      </c>
      <c r="AA47" s="75">
        <v>45908.625</v>
      </c>
      <c r="AB47" s="54">
        <v>99.972999999999999</v>
      </c>
      <c r="AF47" s="131">
        <v>45943.625</v>
      </c>
      <c r="AG47" s="45">
        <f t="shared" si="26"/>
        <v>80.45</v>
      </c>
      <c r="AH47" s="46">
        <f t="shared" si="27"/>
        <v>-160553.29134247176</v>
      </c>
      <c r="AI47" s="46">
        <f t="shared" si="57"/>
        <v>-138062.5</v>
      </c>
      <c r="AJ47" s="45">
        <f t="shared" si="29"/>
        <v>99.9921875</v>
      </c>
      <c r="AK47" s="46">
        <f t="shared" si="30"/>
        <v>47879.46428571429</v>
      </c>
      <c r="AL47" s="47">
        <f t="shared" si="58"/>
        <v>-10731.213146391368</v>
      </c>
      <c r="AM47" s="45">
        <f t="shared" si="32"/>
        <v>111.73</v>
      </c>
      <c r="AN47" s="46">
        <f t="shared" si="33"/>
        <v>397294.244426844</v>
      </c>
      <c r="AO47" s="47">
        <f t="shared" si="59"/>
        <v>-142007.14285714287</v>
      </c>
      <c r="AP47" s="45">
        <f t="shared" si="35"/>
        <v>99.9921875</v>
      </c>
      <c r="AQ47" s="46">
        <f t="shared" si="36"/>
        <v>41741.071428571435</v>
      </c>
      <c r="AR47" s="47">
        <f t="shared" si="60"/>
        <v>-9355.4165891617158</v>
      </c>
      <c r="AS47" s="45">
        <f t="shared" si="38"/>
        <v>101.75</v>
      </c>
      <c r="AT47" s="46">
        <f t="shared" si="39"/>
        <v>87053.571428571435</v>
      </c>
      <c r="AU47" s="47">
        <f t="shared" si="61"/>
        <v>102.89992559524399</v>
      </c>
      <c r="AV47" s="45">
        <f t="shared" si="41"/>
        <v>102.109375</v>
      </c>
      <c r="AW47" s="46">
        <f t="shared" si="42"/>
        <v>349218.75</v>
      </c>
      <c r="AX47" s="47">
        <f t="shared" si="62"/>
        <v>6146.5504557291715</v>
      </c>
      <c r="AY47" s="82">
        <f t="shared" si="63"/>
        <v>-116143.71740219022</v>
      </c>
      <c r="AZ47" s="82"/>
      <c r="BA47" s="82"/>
      <c r="BB47" s="82">
        <f>$AO$4*SUM($AZ$14:AZ47)-$AP$4*SUM($BA$14:BA47)</f>
        <v>51346.452082344564</v>
      </c>
      <c r="BC47" s="82">
        <f t="shared" si="18"/>
        <v>-167490.16948453477</v>
      </c>
      <c r="BE47" s="75">
        <v>45817.625</v>
      </c>
      <c r="BF47" s="54">
        <v>79.34</v>
      </c>
      <c r="BI47" s="75">
        <v>45817.625</v>
      </c>
      <c r="BJ47" s="54">
        <v>107.24</v>
      </c>
      <c r="BM47" s="75">
        <v>45937.625</v>
      </c>
      <c r="BN47" s="54">
        <v>100.96875</v>
      </c>
      <c r="BO47" s="75">
        <v>45938.625</v>
      </c>
      <c r="BP47" s="54">
        <v>100.4375</v>
      </c>
      <c r="BR47" s="131">
        <v>45943.625</v>
      </c>
      <c r="BS47" s="45">
        <f t="shared" si="19"/>
        <v>107.01220000000001</v>
      </c>
      <c r="BT47" s="46">
        <f t="shared" si="45"/>
        <v>-89824.999999997599</v>
      </c>
      <c r="BU47" s="46">
        <f t="shared" si="46"/>
        <v>163194.44444444447</v>
      </c>
      <c r="BV47" s="45">
        <f t="shared" si="47"/>
        <v>51.024000000000001</v>
      </c>
      <c r="BW47" s="46">
        <f t="shared" si="48"/>
        <v>-48093.750000000226</v>
      </c>
      <c r="BX47" s="47">
        <f t="shared" si="49"/>
        <v>163194.44444444447</v>
      </c>
      <c r="BY47" s="45">
        <f t="shared" si="50"/>
        <v>-41731.249999997381</v>
      </c>
      <c r="CA47" s="129">
        <v>45820.625</v>
      </c>
      <c r="CB47" s="54">
        <v>106.71720000000001</v>
      </c>
      <c r="CC47" s="129">
        <v>45820.625</v>
      </c>
      <c r="CD47" s="54">
        <v>53.576999999999998</v>
      </c>
      <c r="CF47" s="131">
        <v>45943.625</v>
      </c>
      <c r="CG47" s="45">
        <f t="shared" si="20"/>
        <v>260.25400000000002</v>
      </c>
      <c r="CH47" s="46">
        <f t="shared" si="51"/>
        <v>153834.99999999953</v>
      </c>
      <c r="CI47" s="46">
        <f t="shared" si="52"/>
        <v>163194.44444444447</v>
      </c>
      <c r="CJ47" s="45">
        <f t="shared" si="53"/>
        <v>53.084000000000003</v>
      </c>
      <c r="CK47" s="46">
        <f t="shared" si="54"/>
        <v>87612.749999999884</v>
      </c>
      <c r="CL47" s="47">
        <f t="shared" si="55"/>
        <v>146875</v>
      </c>
      <c r="CM47" s="45">
        <f t="shared" si="56"/>
        <v>82541.694444444147</v>
      </c>
      <c r="CO47" s="129">
        <v>45820.625</v>
      </c>
      <c r="CP47" s="54">
        <v>289.94499999999999</v>
      </c>
      <c r="CQ47" s="129">
        <v>45820.625</v>
      </c>
      <c r="CR47" s="54">
        <v>55.628</v>
      </c>
      <c r="CS47" s="54"/>
      <c r="CT47" s="54"/>
      <c r="CU47" s="54"/>
      <c r="CV47" s="54"/>
      <c r="CW47" s="54"/>
      <c r="CX47" s="54"/>
      <c r="CY47" s="54"/>
      <c r="DF47" s="142">
        <f t="shared" si="1"/>
        <v>45944.625</v>
      </c>
      <c r="DG47" s="58">
        <f t="shared" si="2"/>
        <v>-146935.20399598725</v>
      </c>
      <c r="DH47" s="58">
        <f t="shared" si="3"/>
        <v>-220233.89146241581</v>
      </c>
      <c r="DI47" s="58">
        <f t="shared" si="5"/>
        <v>-48574.999999999694</v>
      </c>
      <c r="DJ47" s="58">
        <f t="shared" si="6"/>
        <v>66493.166666666541</v>
      </c>
      <c r="DK47" s="58">
        <f t="shared" si="21"/>
        <v>910.07319429918425</v>
      </c>
      <c r="DL47" s="58">
        <f t="shared" si="21"/>
        <v>-52743.721977881039</v>
      </c>
      <c r="DM47" s="58">
        <f t="shared" si="21"/>
        <v>-6843.7500000023138</v>
      </c>
      <c r="DN47" s="58">
        <f t="shared" si="21"/>
        <v>-16048.527777777606</v>
      </c>
      <c r="DO47" s="58">
        <f t="shared" si="7"/>
        <v>910.07319429918425</v>
      </c>
      <c r="DP47" s="58">
        <f t="shared" si="7"/>
        <v>-52743.721977881039</v>
      </c>
      <c r="DQ47" s="58">
        <f t="shared" si="7"/>
        <v>-6843.7500000023138</v>
      </c>
      <c r="DR47" s="58">
        <f t="shared" si="7"/>
        <v>-16048.527777777606</v>
      </c>
      <c r="DS47" s="58">
        <f>SUM(DO$15:DO47)</f>
        <v>-256446.25492457178</v>
      </c>
      <c r="DT47" s="58">
        <f>SUM(DP$15:DP47)</f>
        <v>-252531.69163934578</v>
      </c>
      <c r="DU47" s="58">
        <f>SUM(DQ$15:DQ47)</f>
        <v>-49718.749999998581</v>
      </c>
      <c r="DV47" s="58">
        <f>SUM(DR$15:DR47)</f>
        <v>-37317.555555555155</v>
      </c>
      <c r="DZ47" s="133">
        <v>45944.625</v>
      </c>
      <c r="EA47" s="54">
        <f>VLOOKUP($DZ47,$DF$12:DS$49,14)</f>
        <v>-256446.25492457178</v>
      </c>
      <c r="EB47" s="54">
        <f>VLOOKUP($DZ47,$DF$12:DT$49,15)</f>
        <v>-252531.69163934578</v>
      </c>
      <c r="EC47" s="54">
        <f>VLOOKUP($DZ47,$DF$12:DU$49,16)</f>
        <v>-49718.749999998581</v>
      </c>
      <c r="ED47" s="54">
        <f>VLOOKUP($DZ47,$DF$12:DV$49,17)</f>
        <v>-37317.555555555155</v>
      </c>
    </row>
    <row r="48" spans="1:134" x14ac:dyDescent="0.3">
      <c r="A48" s="142">
        <v>45894.625</v>
      </c>
      <c r="B48" s="76">
        <f t="shared" si="22"/>
        <v>94.76</v>
      </c>
      <c r="C48" s="31">
        <f t="shared" si="8"/>
        <v>228966.98615548215</v>
      </c>
      <c r="D48" s="32">
        <f t="shared" si="9"/>
        <v>-140999.99999999997</v>
      </c>
      <c r="E48" s="76">
        <f t="shared" si="23"/>
        <v>100.916</v>
      </c>
      <c r="F48" s="31">
        <f t="shared" si="10"/>
        <v>-65000.000000000568</v>
      </c>
      <c r="G48" s="32">
        <f t="shared" si="11"/>
        <v>-50199.847999999984</v>
      </c>
      <c r="H48" s="76">
        <f t="shared" si="24"/>
        <v>120.28</v>
      </c>
      <c r="I48" s="31">
        <f t="shared" si="12"/>
        <v>-571452.0098441384</v>
      </c>
      <c r="J48" s="32">
        <f t="shared" si="13"/>
        <v>-242519.99999999997</v>
      </c>
      <c r="K48" s="76">
        <f t="shared" si="25"/>
        <v>99.394999999999996</v>
      </c>
      <c r="L48" s="31">
        <f t="shared" si="14"/>
        <v>-149650.00000000373</v>
      </c>
      <c r="M48" s="32">
        <f t="shared" si="15"/>
        <v>-110418.35733333332</v>
      </c>
      <c r="N48" s="82">
        <f t="shared" si="16"/>
        <v>757070.48666628415</v>
      </c>
      <c r="O48" s="82"/>
      <c r="P48" s="82"/>
      <c r="Q48" s="82">
        <f>$G$5*SUM($O$14:O48)-$H$5*SUM($P$14:P48)</f>
        <v>-685953.76080000005</v>
      </c>
      <c r="R48" s="82">
        <f t="shared" si="17"/>
        <v>71116.725866284105</v>
      </c>
      <c r="S48" s="143"/>
      <c r="U48" s="75">
        <v>45821.625</v>
      </c>
      <c r="V48" s="54">
        <v>93.42</v>
      </c>
      <c r="W48" s="75">
        <v>45819.625</v>
      </c>
      <c r="X48" s="54">
        <v>101.398</v>
      </c>
      <c r="Y48" s="125">
        <v>45826.625</v>
      </c>
      <c r="Z48" s="54">
        <v>121.52</v>
      </c>
      <c r="AA48" s="75">
        <v>45909.625</v>
      </c>
      <c r="AB48" s="54">
        <v>99.885999999999996</v>
      </c>
      <c r="AF48" s="131">
        <v>45944.625</v>
      </c>
      <c r="AG48" s="45">
        <f t="shared" si="26"/>
        <v>80.540000000000006</v>
      </c>
      <c r="AH48" s="46">
        <f t="shared" si="27"/>
        <v>-132765.2216870423</v>
      </c>
      <c r="AI48" s="46">
        <f t="shared" si="57"/>
        <v>-141000</v>
      </c>
      <c r="AJ48" s="45">
        <f t="shared" si="29"/>
        <v>100.1328125</v>
      </c>
      <c r="AK48" s="46">
        <f t="shared" si="30"/>
        <v>67466.517857142855</v>
      </c>
      <c r="AL48" s="47">
        <f t="shared" si="58"/>
        <v>-10959.536830357145</v>
      </c>
      <c r="AM48" s="45">
        <f t="shared" si="32"/>
        <v>112.1</v>
      </c>
      <c r="AN48" s="46">
        <f t="shared" si="33"/>
        <v>483764.1682138624</v>
      </c>
      <c r="AO48" s="47">
        <f t="shared" si="59"/>
        <v>-145028.57142857142</v>
      </c>
      <c r="AP48" s="45">
        <f t="shared" si="35"/>
        <v>100.1328125</v>
      </c>
      <c r="AQ48" s="46">
        <f t="shared" si="36"/>
        <v>58816.96428571429</v>
      </c>
      <c r="AR48" s="47">
        <f t="shared" si="60"/>
        <v>-9554.4680059523889</v>
      </c>
      <c r="AS48" s="45">
        <f t="shared" si="38"/>
        <v>101.859375</v>
      </c>
      <c r="AT48" s="46">
        <f t="shared" si="39"/>
        <v>92912.946428571435</v>
      </c>
      <c r="AU48" s="47">
        <f t="shared" si="61"/>
        <v>105.08928571428987</v>
      </c>
      <c r="AV48" s="45">
        <f t="shared" si="41"/>
        <v>102.140625</v>
      </c>
      <c r="AW48" s="46">
        <f t="shared" si="42"/>
        <v>351562.5</v>
      </c>
      <c r="AX48" s="47">
        <f t="shared" si="62"/>
        <v>6277.328125</v>
      </c>
      <c r="AY48" s="82">
        <f t="shared" si="63"/>
        <v>-168887.43938007124</v>
      </c>
      <c r="AZ48" s="82"/>
      <c r="BA48" s="82"/>
      <c r="BB48" s="82">
        <f>$AO$4*SUM($AZ$14:AZ48)-$AP$4*SUM($BA$14:BA48)</f>
        <v>51346.452082344564</v>
      </c>
      <c r="BC48" s="82">
        <f t="shared" si="18"/>
        <v>-220233.89146241581</v>
      </c>
      <c r="BE48" s="75">
        <v>45818.625</v>
      </c>
      <c r="BF48" s="54">
        <v>79.53</v>
      </c>
      <c r="BI48" s="75">
        <v>45818.625</v>
      </c>
      <c r="BJ48" s="54">
        <v>107.5</v>
      </c>
      <c r="BM48" s="75">
        <v>45938.625</v>
      </c>
      <c r="BN48" s="54">
        <v>100.953125</v>
      </c>
      <c r="BO48" s="75">
        <v>45939.625</v>
      </c>
      <c r="BP48" s="54">
        <v>100.390625</v>
      </c>
      <c r="BR48" s="131">
        <v>45944.625</v>
      </c>
      <c r="BS48" s="45">
        <f t="shared" si="19"/>
        <v>107.4841</v>
      </c>
      <c r="BT48" s="46">
        <f t="shared" si="45"/>
        <v>28150.00000000012</v>
      </c>
      <c r="BU48" s="46">
        <f t="shared" si="46"/>
        <v>166666.66666666669</v>
      </c>
      <c r="BV48" s="45">
        <f t="shared" si="47"/>
        <v>48.805</v>
      </c>
      <c r="BW48" s="46">
        <f t="shared" si="48"/>
        <v>76724.99999999984</v>
      </c>
      <c r="BX48" s="47">
        <f t="shared" si="49"/>
        <v>166666.66666666666</v>
      </c>
      <c r="BY48" s="45">
        <f t="shared" si="50"/>
        <v>-48574.999999999694</v>
      </c>
      <c r="CA48" s="129">
        <v>45821.625</v>
      </c>
      <c r="CB48" s="54">
        <v>106.2491</v>
      </c>
      <c r="CC48" s="129">
        <v>45821.625</v>
      </c>
      <c r="CD48" s="54">
        <v>56.162999999999997</v>
      </c>
      <c r="CF48" s="131">
        <v>45944.625</v>
      </c>
      <c r="CG48" s="45">
        <f t="shared" si="20"/>
        <v>257.16699999999997</v>
      </c>
      <c r="CH48" s="46">
        <f t="shared" si="51"/>
        <v>187792.00000000003</v>
      </c>
      <c r="CI48" s="46">
        <f t="shared" si="52"/>
        <v>166666.66666666669</v>
      </c>
      <c r="CJ48" s="45">
        <f t="shared" si="53"/>
        <v>52.110999999999997</v>
      </c>
      <c r="CK48" s="46">
        <f t="shared" si="54"/>
        <v>137965.5000000002</v>
      </c>
      <c r="CL48" s="47">
        <f t="shared" si="55"/>
        <v>150000</v>
      </c>
      <c r="CM48" s="45">
        <f t="shared" si="56"/>
        <v>66493.166666666541</v>
      </c>
      <c r="CO48" s="129">
        <v>45821.625</v>
      </c>
      <c r="CP48" s="54">
        <v>299.64600000000002</v>
      </c>
      <c r="CQ48" s="129">
        <v>45821.625</v>
      </c>
      <c r="CR48" s="54">
        <v>57.968000000000004</v>
      </c>
      <c r="CS48" s="54"/>
      <c r="CT48" s="54"/>
      <c r="CU48" s="54"/>
      <c r="CV48" s="54"/>
      <c r="CW48" s="54"/>
      <c r="CX48" s="54"/>
      <c r="CY48" s="54"/>
      <c r="DF48" s="142">
        <f t="shared" si="1"/>
        <v>45945.625</v>
      </c>
      <c r="DG48" s="58">
        <f t="shared" si="2"/>
        <v>-86411.419812810724</v>
      </c>
      <c r="DH48" s="58">
        <f t="shared" si="3"/>
        <v>-160860.63149461636</v>
      </c>
      <c r="DI48" s="58">
        <f t="shared" si="5"/>
        <v>-29487.499999997497</v>
      </c>
      <c r="DJ48" s="58">
        <f t="shared" si="6"/>
        <v>80159.638888888847</v>
      </c>
      <c r="DK48" s="58">
        <f t="shared" si="21"/>
        <v>60523.784183176525</v>
      </c>
      <c r="DL48" s="58">
        <f t="shared" si="21"/>
        <v>59373.259967799444</v>
      </c>
      <c r="DM48" s="58">
        <f t="shared" si="21"/>
        <v>19087.500000002197</v>
      </c>
      <c r="DN48" s="58">
        <f t="shared" si="21"/>
        <v>13666.472222222306</v>
      </c>
      <c r="DO48" s="58">
        <f t="shared" si="7"/>
        <v>60523.784183176525</v>
      </c>
      <c r="DP48" s="58">
        <f t="shared" si="7"/>
        <v>59373.259967799444</v>
      </c>
      <c r="DQ48" s="58">
        <f t="shared" si="7"/>
        <v>19087.500000002197</v>
      </c>
      <c r="DR48" s="58">
        <f t="shared" si="7"/>
        <v>13666.472222222306</v>
      </c>
      <c r="DS48" s="58">
        <f>SUM(DO$15:DO48)</f>
        <v>-195922.47074139526</v>
      </c>
      <c r="DT48" s="58">
        <f>SUM(DP$15:DP48)</f>
        <v>-193158.43167154634</v>
      </c>
      <c r="DU48" s="58">
        <f>SUM(DQ$15:DQ48)</f>
        <v>-30631.249999996384</v>
      </c>
      <c r="DV48" s="58">
        <f>SUM(DR$15:DR48)</f>
        <v>-23651.083333332848</v>
      </c>
      <c r="DZ48" s="133">
        <v>45945.625</v>
      </c>
      <c r="EA48" s="54">
        <f>VLOOKUP($DZ48,$DF$12:DS$49,14)</f>
        <v>-195922.47074139526</v>
      </c>
      <c r="EB48" s="54">
        <f>VLOOKUP($DZ48,$DF$12:DT$49,15)</f>
        <v>-193158.43167154634</v>
      </c>
      <c r="EC48" s="54">
        <f>VLOOKUP($DZ48,$DF$12:DU$49,16)</f>
        <v>-30631.249999996384</v>
      </c>
      <c r="ED48" s="54">
        <f>VLOOKUP($DZ48,$DF$12:DV$49,17)</f>
        <v>-23651.083333332848</v>
      </c>
    </row>
    <row r="49" spans="1:134" x14ac:dyDescent="0.3">
      <c r="A49" s="142">
        <v>45895.625</v>
      </c>
      <c r="B49" s="76">
        <f t="shared" si="22"/>
        <v>94.59</v>
      </c>
      <c r="C49" s="31">
        <f t="shared" si="8"/>
        <v>183706.07028753706</v>
      </c>
      <c r="D49" s="32">
        <f t="shared" si="9"/>
        <v>-143937.49999999997</v>
      </c>
      <c r="E49" s="76">
        <f t="shared" si="23"/>
        <v>101.051</v>
      </c>
      <c r="F49" s="31">
        <f t="shared" si="10"/>
        <v>-37999.999999999542</v>
      </c>
      <c r="G49" s="32">
        <f t="shared" si="11"/>
        <v>-51245.678166666636</v>
      </c>
      <c r="H49" s="76">
        <f t="shared" si="24"/>
        <v>120.28</v>
      </c>
      <c r="I49" s="31">
        <f t="shared" si="12"/>
        <v>-571452.0098441384</v>
      </c>
      <c r="J49" s="32">
        <f t="shared" si="13"/>
        <v>-247572.49999999994</v>
      </c>
      <c r="K49" s="76">
        <f t="shared" si="25"/>
        <v>99.643000000000001</v>
      </c>
      <c r="L49" s="31">
        <f t="shared" si="14"/>
        <v>-47970.000000001812</v>
      </c>
      <c r="M49" s="32">
        <f t="shared" si="15"/>
        <v>-112718.73977777774</v>
      </c>
      <c r="N49" s="82">
        <f t="shared" si="16"/>
        <v>787350.01852056209</v>
      </c>
      <c r="O49" s="82"/>
      <c r="P49" s="82"/>
      <c r="Q49" s="82">
        <f>$G$5*SUM($O$14:O49)-$H$5*SUM($P$14:P49)</f>
        <v>-685953.76080000005</v>
      </c>
      <c r="R49" s="82">
        <f t="shared" si="17"/>
        <v>101396.25772056205</v>
      </c>
      <c r="S49" s="143"/>
      <c r="U49" s="75">
        <v>45824.625</v>
      </c>
      <c r="V49" s="54">
        <v>93.76</v>
      </c>
      <c r="W49" s="75">
        <v>45820.625</v>
      </c>
      <c r="X49" s="54">
        <v>101.509</v>
      </c>
      <c r="Y49" s="125">
        <v>45827.625</v>
      </c>
      <c r="Z49" s="54">
        <v>121.37</v>
      </c>
      <c r="AA49" s="75">
        <v>45910.625</v>
      </c>
      <c r="AB49" s="54">
        <v>99.86</v>
      </c>
      <c r="AF49" s="131">
        <v>45945.625</v>
      </c>
      <c r="AG49" s="45">
        <f t="shared" si="26"/>
        <v>80.8</v>
      </c>
      <c r="AH49" s="46">
        <f t="shared" si="27"/>
        <v>-52488.576015807812</v>
      </c>
      <c r="AI49" s="46">
        <f t="shared" si="57"/>
        <v>-143937.49999999997</v>
      </c>
      <c r="AJ49" s="45">
        <f t="shared" si="29"/>
        <v>100.0234375</v>
      </c>
      <c r="AK49" s="46">
        <f t="shared" si="30"/>
        <v>52232.142857142855</v>
      </c>
      <c r="AL49" s="47">
        <f t="shared" si="58"/>
        <v>-11187.860514322907</v>
      </c>
      <c r="AM49" s="45">
        <f t="shared" si="32"/>
        <v>112.1</v>
      </c>
      <c r="AN49" s="46">
        <f t="shared" si="33"/>
        <v>483764.1682138624</v>
      </c>
      <c r="AO49" s="47">
        <f t="shared" si="59"/>
        <v>-148050</v>
      </c>
      <c r="AP49" s="45">
        <f t="shared" si="35"/>
        <v>100.0234375</v>
      </c>
      <c r="AQ49" s="46">
        <f t="shared" si="36"/>
        <v>45535.71428571429</v>
      </c>
      <c r="AR49" s="47">
        <f t="shared" si="60"/>
        <v>-9753.519422743062</v>
      </c>
      <c r="AS49" s="45">
        <f t="shared" si="38"/>
        <v>101.734375</v>
      </c>
      <c r="AT49" s="46">
        <f t="shared" si="39"/>
        <v>86216.517857142855</v>
      </c>
      <c r="AU49" s="47">
        <f t="shared" si="61"/>
        <v>107.27864583333576</v>
      </c>
      <c r="AV49" s="45">
        <f t="shared" si="41"/>
        <v>101.921875</v>
      </c>
      <c r="AW49" s="46">
        <f t="shared" si="42"/>
        <v>335156.25</v>
      </c>
      <c r="AX49" s="47">
        <f t="shared" si="62"/>
        <v>6408.1057942708358</v>
      </c>
      <c r="AY49" s="82">
        <f t="shared" si="63"/>
        <v>-109514.1794122718</v>
      </c>
      <c r="AZ49" s="82"/>
      <c r="BA49" s="82"/>
      <c r="BB49" s="82">
        <f>$AO$4*SUM($AZ$14:AZ49)-$AP$4*SUM($BA$14:BA49)</f>
        <v>51346.452082344564</v>
      </c>
      <c r="BC49" s="82">
        <f t="shared" si="18"/>
        <v>-160860.63149461636</v>
      </c>
      <c r="BE49" s="75">
        <v>45819.625</v>
      </c>
      <c r="BF49" s="54">
        <v>79.510000000000005</v>
      </c>
      <c r="BI49" s="75">
        <v>45819.625</v>
      </c>
      <c r="BJ49" s="54">
        <v>107.84</v>
      </c>
      <c r="BM49" s="75">
        <v>45939.625</v>
      </c>
      <c r="BN49" s="54">
        <v>100.875</v>
      </c>
      <c r="BO49" s="75">
        <v>45940.625</v>
      </c>
      <c r="BP49" s="54">
        <v>101.875</v>
      </c>
      <c r="BR49" s="131">
        <v>45945.625</v>
      </c>
      <c r="BS49" s="45">
        <f t="shared" si="19"/>
        <v>107.62390000000001</v>
      </c>
      <c r="BT49" s="46">
        <f t="shared" si="45"/>
        <v>63100.000000002154</v>
      </c>
      <c r="BU49" s="46">
        <f t="shared" si="46"/>
        <v>170138.88888888888</v>
      </c>
      <c r="BV49" s="45">
        <f t="shared" si="47"/>
        <v>48.523000000000003</v>
      </c>
      <c r="BW49" s="46">
        <f t="shared" si="48"/>
        <v>92587.499999999636</v>
      </c>
      <c r="BX49" s="47">
        <f t="shared" si="49"/>
        <v>170138.88888888888</v>
      </c>
      <c r="BY49" s="45">
        <f t="shared" si="50"/>
        <v>-29487.499999997497</v>
      </c>
      <c r="CA49" s="129">
        <v>45824.625</v>
      </c>
      <c r="CB49" s="54">
        <v>106.6006</v>
      </c>
      <c r="CC49" s="129">
        <v>45824.625</v>
      </c>
      <c r="CD49" s="54">
        <v>54.46</v>
      </c>
      <c r="CF49" s="131">
        <v>45945.625</v>
      </c>
      <c r="CG49" s="45">
        <f t="shared" si="20"/>
        <v>245.131</v>
      </c>
      <c r="CH49" s="46">
        <f t="shared" si="51"/>
        <v>320187.99999999983</v>
      </c>
      <c r="CI49" s="46">
        <f t="shared" si="52"/>
        <v>170138.88888888888</v>
      </c>
      <c r="CJ49" s="45">
        <f t="shared" si="53"/>
        <v>49.81</v>
      </c>
      <c r="CK49" s="46">
        <f t="shared" si="54"/>
        <v>257042.24999999988</v>
      </c>
      <c r="CL49" s="47">
        <f t="shared" si="55"/>
        <v>153124.99999999997</v>
      </c>
      <c r="CM49" s="45">
        <f t="shared" si="56"/>
        <v>80159.638888888847</v>
      </c>
      <c r="CO49" s="129">
        <v>45824.625</v>
      </c>
      <c r="CP49" s="54">
        <v>290.31200000000001</v>
      </c>
      <c r="CQ49" s="129">
        <v>45824.625</v>
      </c>
      <c r="CR49" s="54">
        <v>55.962000000000003</v>
      </c>
      <c r="CS49" s="54"/>
      <c r="CT49" s="54"/>
      <c r="CU49" s="54"/>
      <c r="CV49" s="54"/>
      <c r="CW49" s="54"/>
      <c r="CX49" s="54"/>
      <c r="CY49" s="54"/>
      <c r="DF49" s="142">
        <f t="shared" si="1"/>
        <v>45946.625</v>
      </c>
      <c r="DG49" s="58">
        <f t="shared" si="2"/>
        <v>-132452.11124250438</v>
      </c>
      <c r="DH49" s="58">
        <f t="shared" si="3"/>
        <v>-247901.76777679619</v>
      </c>
      <c r="DI49" s="58">
        <f t="shared" si="5"/>
        <v>-42881.249999999374</v>
      </c>
      <c r="DJ49" s="58">
        <f t="shared" si="6"/>
        <v>58700.11111111092</v>
      </c>
      <c r="DK49" s="58">
        <f t="shared" si="21"/>
        <v>-46040.691429693659</v>
      </c>
      <c r="DL49" s="58">
        <f t="shared" si="21"/>
        <v>-87041.136282179825</v>
      </c>
      <c r="DM49" s="58">
        <f t="shared" si="21"/>
        <v>-13393.750000001877</v>
      </c>
      <c r="DN49" s="58">
        <f t="shared" si="21"/>
        <v>-21459.527777777927</v>
      </c>
      <c r="DO49" s="58">
        <f t="shared" si="7"/>
        <v>-46040.691429693659</v>
      </c>
      <c r="DP49" s="58">
        <f t="shared" si="7"/>
        <v>-87041.136282179825</v>
      </c>
      <c r="DQ49" s="58">
        <f t="shared" si="7"/>
        <v>-13393.750000001877</v>
      </c>
      <c r="DR49" s="58">
        <f t="shared" si="7"/>
        <v>-21459.527777777927</v>
      </c>
      <c r="DS49" s="58">
        <f>SUM(DO$15:DO49)</f>
        <v>-241963.16217108892</v>
      </c>
      <c r="DT49" s="58">
        <f>SUM(DP$15:DP49)</f>
        <v>-280199.56795372616</v>
      </c>
      <c r="DU49" s="58">
        <f>SUM(DQ$15:DQ49)</f>
        <v>-44024.999999998261</v>
      </c>
      <c r="DV49" s="58">
        <f>SUM(DR$15:DR49)</f>
        <v>-45110.611111110775</v>
      </c>
      <c r="DZ49" s="133">
        <v>45946.625</v>
      </c>
      <c r="EA49" s="54">
        <f>VLOOKUP($DZ49,$DF$12:DS$49,14)</f>
        <v>-241963.16217108892</v>
      </c>
      <c r="EB49" s="54">
        <f>VLOOKUP($DZ49,$DF$12:DT$49,15)</f>
        <v>-280199.56795372616</v>
      </c>
      <c r="EC49" s="54">
        <f>VLOOKUP($DZ49,$DF$12:DU$49,16)</f>
        <v>-44024.999999998261</v>
      </c>
      <c r="ED49" s="54">
        <f>VLOOKUP($DZ49,$DF$12:DV$49,17)</f>
        <v>-45110.611111110775</v>
      </c>
    </row>
    <row r="50" spans="1:134" x14ac:dyDescent="0.3">
      <c r="A50" s="142">
        <v>45896.625</v>
      </c>
      <c r="B50" s="76">
        <f t="shared" si="22"/>
        <v>94.56</v>
      </c>
      <c r="C50" s="31">
        <f t="shared" si="8"/>
        <v>175718.84984025621</v>
      </c>
      <c r="D50" s="32">
        <f t="shared" si="9"/>
        <v>-146875</v>
      </c>
      <c r="E50" s="76">
        <f t="shared" si="23"/>
        <v>101.142</v>
      </c>
      <c r="F50" s="31">
        <f t="shared" si="10"/>
        <v>-19800.000000000749</v>
      </c>
      <c r="G50" s="32">
        <f t="shared" si="11"/>
        <v>-52291.508333333331</v>
      </c>
      <c r="H50" s="76">
        <f t="shared" si="24"/>
        <v>120.28</v>
      </c>
      <c r="I50" s="31">
        <f t="shared" si="12"/>
        <v>-571452.0098441384</v>
      </c>
      <c r="J50" s="32">
        <f t="shared" si="13"/>
        <v>-252625</v>
      </c>
      <c r="K50" s="76">
        <f t="shared" si="25"/>
        <v>99.801000000000002</v>
      </c>
      <c r="L50" s="31">
        <f t="shared" si="14"/>
        <v>16809.999999998694</v>
      </c>
      <c r="M50" s="32">
        <f t="shared" si="15"/>
        <v>-115019.12222222221</v>
      </c>
      <c r="N50" s="82">
        <f t="shared" si="16"/>
        <v>826803.24579550512</v>
      </c>
      <c r="O50" s="82"/>
      <c r="P50" s="82"/>
      <c r="Q50" s="82">
        <f>$G$5*SUM($O$14:O50)-$H$5*SUM($P$14:P50)</f>
        <v>-685953.76080000005</v>
      </c>
      <c r="R50" s="82">
        <f t="shared" si="17"/>
        <v>140849.48499550507</v>
      </c>
      <c r="S50" s="143"/>
      <c r="U50" s="75">
        <v>45825.625</v>
      </c>
      <c r="V50" s="54">
        <v>93.56</v>
      </c>
      <c r="W50" s="75">
        <v>45821.625</v>
      </c>
      <c r="X50" s="54">
        <v>101.375</v>
      </c>
      <c r="Y50" s="125">
        <v>45828.625</v>
      </c>
      <c r="Z50" s="54">
        <v>121.48</v>
      </c>
      <c r="AA50" s="75">
        <v>45911.625</v>
      </c>
      <c r="AB50" s="54">
        <v>99.715000000000003</v>
      </c>
      <c r="AF50" s="131">
        <v>45946.625</v>
      </c>
      <c r="AG50" s="45">
        <f t="shared" si="26"/>
        <v>80.510000000000005</v>
      </c>
      <c r="AH50" s="46">
        <f t="shared" si="27"/>
        <v>-142027.91157218453</v>
      </c>
      <c r="AI50" s="46">
        <f t="shared" si="57"/>
        <v>-146875</v>
      </c>
      <c r="AJ50" s="45">
        <f t="shared" si="29"/>
        <v>100.359375</v>
      </c>
      <c r="AK50" s="46">
        <f t="shared" si="30"/>
        <v>99023.4375</v>
      </c>
      <c r="AL50" s="47">
        <f t="shared" si="58"/>
        <v>-11416.184198288698</v>
      </c>
      <c r="AM50" s="45">
        <f t="shared" si="32"/>
        <v>112.42</v>
      </c>
      <c r="AN50" s="46">
        <f t="shared" si="33"/>
        <v>558548.9671648019</v>
      </c>
      <c r="AO50" s="47">
        <f t="shared" si="59"/>
        <v>-151071.42857142858</v>
      </c>
      <c r="AP50" s="45">
        <f t="shared" si="35"/>
        <v>100.359375</v>
      </c>
      <c r="AQ50" s="46">
        <f t="shared" si="36"/>
        <v>86328.125000000015</v>
      </c>
      <c r="AR50" s="47">
        <f t="shared" si="60"/>
        <v>-9952.5708395337278</v>
      </c>
      <c r="AS50" s="45">
        <f t="shared" si="38"/>
        <v>102.234375</v>
      </c>
      <c r="AT50" s="46">
        <f t="shared" si="39"/>
        <v>113002.23214285716</v>
      </c>
      <c r="AU50" s="47">
        <f t="shared" si="61"/>
        <v>109.46800595238528</v>
      </c>
      <c r="AV50" s="45">
        <f t="shared" si="41"/>
        <v>102.671875</v>
      </c>
      <c r="AW50" s="46">
        <f t="shared" si="42"/>
        <v>391406.25</v>
      </c>
      <c r="AX50" s="47">
        <f t="shared" si="62"/>
        <v>6538.8834635416715</v>
      </c>
      <c r="AY50" s="82">
        <f t="shared" si="63"/>
        <v>-196555.31569445162</v>
      </c>
      <c r="AZ50" s="82"/>
      <c r="BA50" s="82"/>
      <c r="BB50" s="82">
        <f>$AO$4*SUM($AZ$14:AZ50)-$AP$4*SUM($BA$14:BA50)</f>
        <v>51346.452082344564</v>
      </c>
      <c r="BC50" s="82">
        <f t="shared" si="18"/>
        <v>-247901.76777679619</v>
      </c>
      <c r="BE50" s="75">
        <v>45820.625</v>
      </c>
      <c r="BF50" s="54">
        <v>79.599999999999994</v>
      </c>
      <c r="BI50" s="75">
        <v>45820.625</v>
      </c>
      <c r="BJ50" s="54">
        <v>108.44</v>
      </c>
      <c r="BM50" s="75">
        <v>45940.625</v>
      </c>
      <c r="BN50" s="54">
        <v>101.578125</v>
      </c>
      <c r="BO50" s="75">
        <v>45943.625</v>
      </c>
      <c r="BP50" s="54">
        <v>102.109375</v>
      </c>
      <c r="BR50" s="131">
        <v>45946.625</v>
      </c>
      <c r="BS50" s="45">
        <f t="shared" si="19"/>
        <v>107.2029</v>
      </c>
      <c r="BT50" s="46">
        <f t="shared" si="45"/>
        <v>-42149.999999999462</v>
      </c>
      <c r="BU50" s="46">
        <f t="shared" si="46"/>
        <v>173611.11111111112</v>
      </c>
      <c r="BV50" s="45">
        <f t="shared" si="47"/>
        <v>50.155999999999999</v>
      </c>
      <c r="BW50" s="46">
        <f t="shared" si="48"/>
        <v>731.2499999998945</v>
      </c>
      <c r="BX50" s="47">
        <f t="shared" si="49"/>
        <v>173611.11111111112</v>
      </c>
      <c r="BY50" s="45">
        <f t="shared" si="50"/>
        <v>-42881.249999999374</v>
      </c>
      <c r="CA50" s="129">
        <v>45825.625</v>
      </c>
      <c r="CB50" s="54">
        <v>106.1914</v>
      </c>
      <c r="CC50" s="129">
        <v>45825.625</v>
      </c>
      <c r="CD50" s="54">
        <v>56.384</v>
      </c>
      <c r="CF50" s="131">
        <v>45946.625</v>
      </c>
      <c r="CG50" s="45">
        <f t="shared" si="20"/>
        <v>250.49600000000001</v>
      </c>
      <c r="CH50" s="46">
        <f t="shared" si="51"/>
        <v>261172.99999999965</v>
      </c>
      <c r="CI50" s="46">
        <f t="shared" si="52"/>
        <v>173611.11111111112</v>
      </c>
      <c r="CJ50" s="45">
        <f t="shared" si="53"/>
        <v>50.529000000000003</v>
      </c>
      <c r="CK50" s="46">
        <f t="shared" si="54"/>
        <v>219833.99999999985</v>
      </c>
      <c r="CL50" s="47">
        <f t="shared" si="55"/>
        <v>156250</v>
      </c>
      <c r="CM50" s="45">
        <f t="shared" si="56"/>
        <v>58700.11111111092</v>
      </c>
      <c r="CO50" s="129">
        <v>45825.625</v>
      </c>
      <c r="CP50" s="54">
        <v>296.12900000000002</v>
      </c>
      <c r="CQ50" s="129">
        <v>45825.625</v>
      </c>
      <c r="CR50" s="54">
        <v>57.487000000000002</v>
      </c>
      <c r="CS50" s="54"/>
      <c r="CT50" s="54"/>
      <c r="CU50" s="54"/>
      <c r="CV50" s="54"/>
      <c r="CW50" s="54"/>
      <c r="CX50" s="54"/>
      <c r="CY50" s="54"/>
      <c r="DF50" s="142"/>
      <c r="DG50" s="58"/>
      <c r="DH50" s="58"/>
      <c r="DI50" s="58"/>
      <c r="DJ50" s="58"/>
      <c r="DK50" s="58"/>
      <c r="DL50" s="58"/>
      <c r="DM50" s="58"/>
      <c r="DN50" s="58"/>
      <c r="DO50" s="58"/>
      <c r="DP50" s="58"/>
      <c r="DZ50" s="133"/>
    </row>
    <row r="51" spans="1:134" x14ac:dyDescent="0.3">
      <c r="A51" s="142">
        <v>45897.625</v>
      </c>
      <c r="B51" s="76">
        <f t="shared" si="22"/>
        <v>94.44</v>
      </c>
      <c r="C51" s="31">
        <f t="shared" si="8"/>
        <v>143769.96805111619</v>
      </c>
      <c r="D51" s="32">
        <f t="shared" si="9"/>
        <v>-149812.5</v>
      </c>
      <c r="E51" s="76">
        <f t="shared" si="23"/>
        <v>101.092</v>
      </c>
      <c r="F51" s="31">
        <f t="shared" si="10"/>
        <v>-29800.000000000182</v>
      </c>
      <c r="G51" s="32">
        <f t="shared" si="11"/>
        <v>-53337.338499999983</v>
      </c>
      <c r="H51" s="76">
        <f t="shared" si="24"/>
        <v>120.28</v>
      </c>
      <c r="I51" s="31">
        <f t="shared" si="12"/>
        <v>-571452.0098441384</v>
      </c>
      <c r="J51" s="32">
        <f t="shared" si="13"/>
        <v>-257677.49999999997</v>
      </c>
      <c r="K51" s="76">
        <f t="shared" si="25"/>
        <v>99.775999999999996</v>
      </c>
      <c r="L51" s="31">
        <f t="shared" si="14"/>
        <v>6559.9999999963647</v>
      </c>
      <c r="M51" s="32">
        <f t="shared" si="15"/>
        <v>-117319.50466666663</v>
      </c>
      <c r="N51" s="82">
        <f t="shared" si="16"/>
        <v>795464.81172858458</v>
      </c>
      <c r="O51" s="82"/>
      <c r="P51" s="82"/>
      <c r="Q51" s="82">
        <f>$G$5*SUM($O$14:O51)-$H$5*SUM($P$14:P51)</f>
        <v>-685953.76080000005</v>
      </c>
      <c r="R51" s="82">
        <f t="shared" si="17"/>
        <v>109511.05092858453</v>
      </c>
      <c r="S51" s="143"/>
      <c r="U51" s="75">
        <v>45826.625</v>
      </c>
      <c r="V51" s="54">
        <v>93.37</v>
      </c>
      <c r="W51" s="75">
        <v>45824.625</v>
      </c>
      <c r="X51" s="54">
        <v>101.402</v>
      </c>
      <c r="Y51" s="125">
        <v>45831.625</v>
      </c>
      <c r="Z51" s="54">
        <v>121.56</v>
      </c>
      <c r="AA51" s="75">
        <v>45912.625</v>
      </c>
      <c r="AB51" s="54">
        <v>99.519000000000005</v>
      </c>
      <c r="AF51" s="131"/>
      <c r="AG51" s="45"/>
      <c r="AH51" s="31"/>
      <c r="AI51" s="31"/>
      <c r="AJ51" s="4"/>
      <c r="AK51" s="31"/>
      <c r="AL51" s="32"/>
      <c r="AM51" s="4"/>
      <c r="AN51" s="31"/>
      <c r="AO51" s="32"/>
      <c r="AP51" s="4"/>
      <c r="AQ51" s="31"/>
      <c r="AR51" s="32"/>
      <c r="AS51" s="4"/>
      <c r="AT51" s="31"/>
      <c r="AU51" s="32"/>
      <c r="AV51" s="4"/>
      <c r="AW51" s="31"/>
      <c r="AX51" s="32"/>
      <c r="AY51" s="38"/>
      <c r="AZ51" s="38"/>
      <c r="BA51" s="38"/>
      <c r="BB51" s="38"/>
      <c r="BC51" s="38"/>
      <c r="BE51" s="75">
        <v>45821.625</v>
      </c>
      <c r="BF51" s="54">
        <v>79.36</v>
      </c>
      <c r="BI51" s="75">
        <v>45821.625</v>
      </c>
      <c r="BJ51" s="54">
        <v>107.79</v>
      </c>
      <c r="BM51" s="75">
        <v>45943.625</v>
      </c>
      <c r="BN51" s="54">
        <v>101.75</v>
      </c>
      <c r="BO51" s="75">
        <v>45944.625</v>
      </c>
      <c r="BP51" s="54">
        <v>102.140625</v>
      </c>
      <c r="BR51" s="131"/>
      <c r="BS51" s="45"/>
      <c r="BT51" s="31"/>
      <c r="BU51" s="31"/>
      <c r="BV51" s="4"/>
      <c r="BW51" s="31"/>
      <c r="BX51" s="32"/>
      <c r="BY51" s="4"/>
      <c r="CA51" s="129">
        <v>45826.625</v>
      </c>
      <c r="CB51" s="54">
        <v>106.2077</v>
      </c>
      <c r="CC51" s="129">
        <v>45826.625</v>
      </c>
      <c r="CD51" s="54">
        <v>56.225000000000001</v>
      </c>
      <c r="CO51" s="129">
        <v>45826.625</v>
      </c>
      <c r="CP51" s="54">
        <v>299.76400000000001</v>
      </c>
      <c r="CQ51" s="129">
        <v>45826.625</v>
      </c>
      <c r="CR51" s="54">
        <v>58.424999999999997</v>
      </c>
    </row>
    <row r="52" spans="1:134" x14ac:dyDescent="0.3">
      <c r="A52" s="142">
        <v>45898.625</v>
      </c>
      <c r="B52" s="76">
        <f t="shared" si="22"/>
        <v>94.44</v>
      </c>
      <c r="C52" s="31">
        <f t="shared" si="8"/>
        <v>143769.96805111619</v>
      </c>
      <c r="D52" s="32">
        <f t="shared" si="9"/>
        <v>-152749.99999999997</v>
      </c>
      <c r="E52" s="76">
        <f t="shared" si="23"/>
        <v>101.096</v>
      </c>
      <c r="F52" s="31">
        <f t="shared" si="10"/>
        <v>-28999.999999999203</v>
      </c>
      <c r="G52" s="32">
        <f t="shared" si="11"/>
        <v>-54383.168666666665</v>
      </c>
      <c r="H52" s="76">
        <f t="shared" si="24"/>
        <v>120.25</v>
      </c>
      <c r="I52" s="31">
        <f t="shared" si="12"/>
        <v>-582034.45447087905</v>
      </c>
      <c r="J52" s="32">
        <f t="shared" si="13"/>
        <v>-262729.99999999994</v>
      </c>
      <c r="K52" s="76">
        <f t="shared" si="25"/>
        <v>99.783000000000001</v>
      </c>
      <c r="L52" s="31">
        <f t="shared" si="14"/>
        <v>9429.9999999984157</v>
      </c>
      <c r="M52" s="32">
        <f t="shared" si="15"/>
        <v>-119619.88711111112</v>
      </c>
      <c r="N52" s="82">
        <f t="shared" si="16"/>
        <v>808977.70407754835</v>
      </c>
      <c r="O52" s="82"/>
      <c r="P52" s="82"/>
      <c r="Q52" s="82">
        <f>$G$5*SUM($O$14:O52)-$H$5*SUM($P$14:P52)</f>
        <v>-685953.76080000005</v>
      </c>
      <c r="R52" s="82">
        <f t="shared" si="17"/>
        <v>123023.9432775483</v>
      </c>
      <c r="S52" s="143"/>
      <c r="U52" s="75">
        <v>45827.625</v>
      </c>
      <c r="V52" s="54">
        <v>93.19</v>
      </c>
      <c r="W52" s="75">
        <v>45825.625</v>
      </c>
      <c r="X52" s="54">
        <v>101.369</v>
      </c>
      <c r="Y52" s="125">
        <v>45832.625</v>
      </c>
      <c r="Z52" s="54">
        <v>121.66</v>
      </c>
      <c r="AA52" s="75">
        <v>45915.625</v>
      </c>
      <c r="AB52" s="54">
        <v>99.558000000000007</v>
      </c>
      <c r="AF52" s="131"/>
      <c r="AG52" s="45"/>
      <c r="AH52" s="31"/>
      <c r="AI52" s="31"/>
      <c r="AJ52" s="4"/>
      <c r="AK52" s="31"/>
      <c r="AL52" s="32"/>
      <c r="AM52" s="4"/>
      <c r="AN52" s="31"/>
      <c r="AO52" s="32"/>
      <c r="AP52" s="4"/>
      <c r="AQ52" s="31"/>
      <c r="AR52" s="32"/>
      <c r="AS52" s="4"/>
      <c r="AT52" s="31"/>
      <c r="AU52" s="32"/>
      <c r="AV52" s="4"/>
      <c r="AW52" s="31"/>
      <c r="AX52" s="32"/>
      <c r="AY52" s="38"/>
      <c r="AZ52" s="38"/>
      <c r="BA52" s="38"/>
      <c r="BB52" s="38"/>
      <c r="BC52" s="38"/>
      <c r="BE52" s="75">
        <v>45824.625</v>
      </c>
      <c r="BF52" s="54">
        <v>79.52</v>
      </c>
      <c r="BI52" s="75">
        <v>45824.625</v>
      </c>
      <c r="BJ52" s="54">
        <v>107.6</v>
      </c>
      <c r="BM52" s="75">
        <v>45944.625</v>
      </c>
      <c r="BN52" s="54">
        <v>101.859375</v>
      </c>
      <c r="BO52" s="75">
        <v>45945.625</v>
      </c>
      <c r="BP52" s="54">
        <v>101.921875</v>
      </c>
      <c r="BR52" s="131"/>
      <c r="BS52" s="45"/>
      <c r="BT52" s="31"/>
      <c r="BU52" s="31"/>
      <c r="BV52" s="4"/>
      <c r="BW52" s="31"/>
      <c r="BX52" s="32"/>
      <c r="BY52" s="4"/>
      <c r="CA52" s="129">
        <v>45828.625</v>
      </c>
      <c r="CB52" s="54">
        <v>106.2469</v>
      </c>
      <c r="CC52" s="129">
        <v>45828.625</v>
      </c>
      <c r="CD52" s="54">
        <v>56.116999999999997</v>
      </c>
      <c r="CO52" s="129">
        <v>45827.625</v>
      </c>
      <c r="CP52" s="54">
        <v>309.26900000000001</v>
      </c>
      <c r="CQ52" s="129">
        <v>45827.625</v>
      </c>
      <c r="CR52" s="54">
        <v>60.579000000000001</v>
      </c>
    </row>
    <row r="53" spans="1:134" x14ac:dyDescent="0.3">
      <c r="A53" s="142">
        <v>45901.625</v>
      </c>
      <c r="B53" s="76">
        <f t="shared" si="22"/>
        <v>94.4</v>
      </c>
      <c r="C53" s="31">
        <f t="shared" si="8"/>
        <v>133120.34078807323</v>
      </c>
      <c r="D53" s="32">
        <f t="shared" si="9"/>
        <v>-161562.5</v>
      </c>
      <c r="E53" s="76">
        <f t="shared" si="23"/>
        <v>101.01900000000001</v>
      </c>
      <c r="F53" s="31">
        <f t="shared" si="10"/>
        <v>-44399.999999998843</v>
      </c>
      <c r="G53" s="32">
        <f t="shared" si="11"/>
        <v>-57520.65916666665</v>
      </c>
      <c r="H53" s="76">
        <f t="shared" si="24"/>
        <v>120.1</v>
      </c>
      <c r="I53" s="31">
        <f t="shared" si="12"/>
        <v>-634946.67760459706</v>
      </c>
      <c r="J53" s="32">
        <f t="shared" si="13"/>
        <v>-277887.5</v>
      </c>
      <c r="K53" s="76">
        <f t="shared" si="25"/>
        <v>99.632000000000005</v>
      </c>
      <c r="L53" s="31">
        <f t="shared" si="14"/>
        <v>-52480.000000000051</v>
      </c>
      <c r="M53" s="32">
        <f t="shared" si="15"/>
        <v>-126521.03444444446</v>
      </c>
      <c r="N53" s="82">
        <f t="shared" si="16"/>
        <v>807311.64311489125</v>
      </c>
      <c r="O53" s="82"/>
      <c r="P53" s="82"/>
      <c r="Q53" s="82">
        <f>$G$5*SUM($O$14:O53)-$H$5*SUM($P$14:P53)</f>
        <v>-685953.76080000005</v>
      </c>
      <c r="R53" s="82">
        <f t="shared" si="17"/>
        <v>121357.88231489121</v>
      </c>
      <c r="S53" s="143"/>
      <c r="U53" s="75">
        <v>45828.625</v>
      </c>
      <c r="V53" s="54">
        <v>93.4</v>
      </c>
      <c r="W53" s="75">
        <v>45826.625</v>
      </c>
      <c r="X53" s="54">
        <v>101.449</v>
      </c>
      <c r="Y53" s="125">
        <v>45833.625</v>
      </c>
      <c r="Z53" s="54">
        <v>121.62</v>
      </c>
      <c r="AA53" s="75">
        <v>45916.625</v>
      </c>
      <c r="AB53" s="54">
        <v>99.569000000000003</v>
      </c>
      <c r="AF53" s="131"/>
      <c r="AG53" s="45"/>
      <c r="AH53" s="31"/>
      <c r="AI53" s="31"/>
      <c r="AJ53" s="4"/>
      <c r="AK53" s="31"/>
      <c r="AL53" s="32"/>
      <c r="AM53" s="4"/>
      <c r="AN53" s="31"/>
      <c r="AO53" s="32"/>
      <c r="AP53" s="4"/>
      <c r="AQ53" s="31"/>
      <c r="AR53" s="32"/>
      <c r="AS53" s="4"/>
      <c r="AT53" s="31"/>
      <c r="AU53" s="32"/>
      <c r="AV53" s="4"/>
      <c r="AW53" s="31"/>
      <c r="AX53" s="32"/>
      <c r="AY53" s="38"/>
      <c r="AZ53" s="38"/>
      <c r="BA53" s="38"/>
      <c r="BB53" s="38"/>
      <c r="BC53" s="38"/>
      <c r="BE53" s="75">
        <v>45825.625</v>
      </c>
      <c r="BF53" s="54">
        <v>79.430000000000007</v>
      </c>
      <c r="BI53" s="75">
        <v>45825.625</v>
      </c>
      <c r="BJ53" s="54">
        <v>107.97</v>
      </c>
      <c r="BM53" s="75">
        <v>45945.625</v>
      </c>
      <c r="BN53" s="54">
        <v>101.734375</v>
      </c>
      <c r="BO53" s="75">
        <v>45946.625</v>
      </c>
      <c r="BP53" s="54">
        <v>102.671875</v>
      </c>
      <c r="BR53" s="131"/>
      <c r="BS53" s="45"/>
      <c r="BT53" s="31"/>
      <c r="BU53" s="31"/>
      <c r="BV53" s="4"/>
      <c r="BW53" s="31"/>
      <c r="BX53" s="32"/>
      <c r="BY53" s="4"/>
      <c r="CA53" s="129">
        <v>45831.625</v>
      </c>
      <c r="CB53" s="54">
        <v>106.4867</v>
      </c>
      <c r="CC53" s="129">
        <v>45831.625</v>
      </c>
      <c r="CD53" s="54">
        <v>54.783000000000001</v>
      </c>
      <c r="CO53" s="129">
        <v>45828.625</v>
      </c>
      <c r="CP53" s="54">
        <v>304.85700000000003</v>
      </c>
      <c r="CQ53" s="129">
        <v>45828.625</v>
      </c>
      <c r="CR53" s="54">
        <v>59.311</v>
      </c>
    </row>
    <row r="54" spans="1:134" x14ac:dyDescent="0.3">
      <c r="A54" s="142">
        <v>45902.625</v>
      </c>
      <c r="B54" s="76">
        <f t="shared" si="22"/>
        <v>94.24</v>
      </c>
      <c r="C54" s="31">
        <f t="shared" si="8"/>
        <v>90521.831735884683</v>
      </c>
      <c r="D54" s="32">
        <f t="shared" si="9"/>
        <v>-164500</v>
      </c>
      <c r="E54" s="76">
        <f t="shared" si="23"/>
        <v>100.976</v>
      </c>
      <c r="F54" s="31">
        <f t="shared" si="10"/>
        <v>-53000.000000000116</v>
      </c>
      <c r="G54" s="32">
        <f t="shared" si="11"/>
        <v>-58566.489333333317</v>
      </c>
      <c r="H54" s="76">
        <f t="shared" si="24"/>
        <v>119.81</v>
      </c>
      <c r="I54" s="31">
        <f t="shared" si="12"/>
        <v>-737243.64232978143</v>
      </c>
      <c r="J54" s="32">
        <f t="shared" si="13"/>
        <v>-282940</v>
      </c>
      <c r="K54" s="76">
        <f t="shared" si="25"/>
        <v>99.481999999999999</v>
      </c>
      <c r="L54" s="31">
        <f t="shared" si="14"/>
        <v>-113980.00000000239</v>
      </c>
      <c r="M54" s="32">
        <f t="shared" si="15"/>
        <v>-128821.4168888889</v>
      </c>
      <c r="N54" s="82">
        <f t="shared" si="16"/>
        <v>814970.54651010828</v>
      </c>
      <c r="O54" s="82"/>
      <c r="P54" s="82"/>
      <c r="Q54" s="82">
        <f>$G$5*SUM($O$14:O54)-$H$5*SUM($P$14:P54)</f>
        <v>-685953.76080000005</v>
      </c>
      <c r="R54" s="82">
        <f t="shared" si="17"/>
        <v>129016.78571010823</v>
      </c>
      <c r="S54" s="143"/>
      <c r="U54" s="75">
        <v>45831.625</v>
      </c>
      <c r="V54" s="54">
        <v>93.3</v>
      </c>
      <c r="W54" s="75">
        <v>45827.625</v>
      </c>
      <c r="X54" s="54">
        <v>101.432</v>
      </c>
      <c r="Y54" s="125">
        <v>45834.625</v>
      </c>
      <c r="Z54" s="54">
        <v>121.66</v>
      </c>
      <c r="AA54" s="75">
        <v>45917.625</v>
      </c>
      <c r="AB54" s="54">
        <v>99.600999999999999</v>
      </c>
      <c r="AF54" s="131"/>
      <c r="AG54" s="45"/>
      <c r="AH54" s="31"/>
      <c r="AI54" s="31"/>
      <c r="AJ54" s="4"/>
      <c r="AK54" s="31"/>
      <c r="AL54" s="32"/>
      <c r="AM54" s="4"/>
      <c r="AN54" s="31"/>
      <c r="AO54" s="32"/>
      <c r="AP54" s="4"/>
      <c r="AQ54" s="31"/>
      <c r="AR54" s="32"/>
      <c r="AS54" s="4"/>
      <c r="AT54" s="31"/>
      <c r="AU54" s="32"/>
      <c r="AV54" s="4"/>
      <c r="AW54" s="31"/>
      <c r="AX54" s="32"/>
      <c r="AY54" s="38"/>
      <c r="AZ54" s="38"/>
      <c r="BA54" s="38"/>
      <c r="BB54" s="38"/>
      <c r="BC54" s="38"/>
      <c r="BE54" s="75">
        <v>45826.625</v>
      </c>
      <c r="BF54" s="54">
        <v>79.55</v>
      </c>
      <c r="BI54" s="75">
        <v>45826.625</v>
      </c>
      <c r="BJ54" s="54">
        <v>108.05</v>
      </c>
      <c r="BM54" s="75">
        <v>45946.625</v>
      </c>
      <c r="BN54" s="54">
        <v>102.234375</v>
      </c>
      <c r="BR54" s="131"/>
      <c r="BS54" s="45"/>
      <c r="BT54" s="31"/>
      <c r="BU54" s="31"/>
      <c r="BV54" s="4"/>
      <c r="BW54" s="31"/>
      <c r="BX54" s="32"/>
      <c r="BY54" s="4"/>
      <c r="CA54" s="129">
        <v>45832.625</v>
      </c>
      <c r="CB54" s="54">
        <v>106.926</v>
      </c>
      <c r="CC54" s="129">
        <v>45832.625</v>
      </c>
      <c r="CD54" s="54">
        <v>52.908999999999999</v>
      </c>
      <c r="CO54" s="129">
        <v>45831.625</v>
      </c>
      <c r="CP54" s="54">
        <v>305.47399999999999</v>
      </c>
      <c r="CQ54" s="129">
        <v>45831.625</v>
      </c>
      <c r="CR54" s="54">
        <v>59.47</v>
      </c>
    </row>
    <row r="55" spans="1:134" x14ac:dyDescent="0.3">
      <c r="A55" s="142">
        <v>45903.625</v>
      </c>
      <c r="B55" s="76">
        <f t="shared" si="22"/>
        <v>94.38</v>
      </c>
      <c r="C55" s="31">
        <f t="shared" si="8"/>
        <v>127795.52715654897</v>
      </c>
      <c r="D55" s="32">
        <f t="shared" si="9"/>
        <v>-167437.5</v>
      </c>
      <c r="E55" s="76">
        <f t="shared" si="23"/>
        <v>101.038</v>
      </c>
      <c r="F55" s="31">
        <f t="shared" si="10"/>
        <v>-40600.000000000589</v>
      </c>
      <c r="G55" s="32">
        <f t="shared" si="11"/>
        <v>-59612.319499999983</v>
      </c>
      <c r="H55" s="76">
        <f t="shared" si="24"/>
        <v>120.08</v>
      </c>
      <c r="I55" s="31">
        <f t="shared" si="12"/>
        <v>-642001.64068909094</v>
      </c>
      <c r="J55" s="32">
        <f t="shared" si="13"/>
        <v>-287992.5</v>
      </c>
      <c r="K55" s="76">
        <f t="shared" si="25"/>
        <v>99.596000000000004</v>
      </c>
      <c r="L55" s="31">
        <f t="shared" si="14"/>
        <v>-67240.000000000597</v>
      </c>
      <c r="M55" s="32">
        <f t="shared" si="15"/>
        <v>-131121.79933333336</v>
      </c>
      <c r="N55" s="82">
        <f t="shared" si="16"/>
        <v>792202.68801230646</v>
      </c>
      <c r="O55" s="82"/>
      <c r="P55" s="82"/>
      <c r="Q55" s="82">
        <f>$G$5*SUM($O$14:O55)-$H$5*SUM($P$14:P55)</f>
        <v>-685953.76080000005</v>
      </c>
      <c r="R55" s="82">
        <f t="shared" si="17"/>
        <v>106248.92721230641</v>
      </c>
      <c r="S55" s="143"/>
      <c r="U55" s="75">
        <v>45832.625</v>
      </c>
      <c r="V55" s="54">
        <v>93.63</v>
      </c>
      <c r="W55" s="75">
        <v>45828.625</v>
      </c>
      <c r="X55" s="54">
        <v>101.38200000000001</v>
      </c>
      <c r="Y55" s="125">
        <v>45835.625</v>
      </c>
      <c r="Z55" s="54">
        <v>121.55</v>
      </c>
      <c r="AA55" s="75">
        <v>45918.625</v>
      </c>
      <c r="AB55" s="54">
        <v>99.516000000000005</v>
      </c>
      <c r="AF55" s="131"/>
      <c r="AG55" s="45"/>
      <c r="AH55" s="31"/>
      <c r="AI55" s="31"/>
      <c r="AJ55" s="4"/>
      <c r="AK55" s="31"/>
      <c r="AL55" s="32"/>
      <c r="AM55" s="4"/>
      <c r="AN55" s="31"/>
      <c r="AO55" s="32"/>
      <c r="AP55" s="4"/>
      <c r="AQ55" s="31"/>
      <c r="AR55" s="32"/>
      <c r="AS55" s="4"/>
      <c r="AT55" s="31"/>
      <c r="AU55" s="32"/>
      <c r="AV55" s="4"/>
      <c r="AW55" s="31"/>
      <c r="AX55" s="32"/>
      <c r="AY55" s="38"/>
      <c r="AZ55" s="38"/>
      <c r="BA55" s="38"/>
      <c r="BB55" s="38"/>
      <c r="BC55" s="38"/>
      <c r="BE55" s="75">
        <v>45828.625</v>
      </c>
      <c r="BF55" s="54">
        <v>79.790000000000006</v>
      </c>
      <c r="BI55" s="75">
        <v>45828.625</v>
      </c>
      <c r="BJ55" s="54">
        <v>108.15</v>
      </c>
      <c r="BR55" s="131"/>
      <c r="BS55" s="45"/>
      <c r="BT55" s="31"/>
      <c r="BU55" s="31"/>
      <c r="BV55" s="4"/>
      <c r="BW55" s="31"/>
      <c r="BX55" s="32"/>
      <c r="BY55" s="4"/>
      <c r="CA55" s="129">
        <v>45833.625</v>
      </c>
      <c r="CB55" s="54">
        <v>106.8379</v>
      </c>
      <c r="CC55" s="129">
        <v>45833.625</v>
      </c>
      <c r="CD55" s="54">
        <v>53.393000000000001</v>
      </c>
      <c r="CO55" s="129">
        <v>45832.625</v>
      </c>
      <c r="CP55" s="54">
        <v>292.42599999999999</v>
      </c>
      <c r="CQ55" s="129">
        <v>45832.625</v>
      </c>
      <c r="CR55" s="54">
        <v>56.341999999999999</v>
      </c>
    </row>
    <row r="56" spans="1:134" x14ac:dyDescent="0.3">
      <c r="A56" s="142">
        <v>45904.625</v>
      </c>
      <c r="B56" s="76">
        <f t="shared" si="22"/>
        <v>94.54</v>
      </c>
      <c r="C56" s="31">
        <f t="shared" si="8"/>
        <v>170394.03620873194</v>
      </c>
      <c r="D56" s="32">
        <f t="shared" si="9"/>
        <v>-170375</v>
      </c>
      <c r="E56" s="76">
        <f t="shared" si="23"/>
        <v>101.06399999999999</v>
      </c>
      <c r="F56" s="31">
        <f t="shared" si="10"/>
        <v>-35400.000000001339</v>
      </c>
      <c r="G56" s="32">
        <f t="shared" si="11"/>
        <v>-60658.149666666664</v>
      </c>
      <c r="H56" s="76">
        <f t="shared" si="24"/>
        <v>120.3</v>
      </c>
      <c r="I56" s="31">
        <f t="shared" si="12"/>
        <v>-564397.04675963975</v>
      </c>
      <c r="J56" s="32">
        <f t="shared" si="13"/>
        <v>-293045</v>
      </c>
      <c r="K56" s="76">
        <f t="shared" si="25"/>
        <v>99.653999999999996</v>
      </c>
      <c r="L56" s="31">
        <f t="shared" si="14"/>
        <v>-43460.000000003587</v>
      </c>
      <c r="M56" s="32">
        <f t="shared" si="15"/>
        <v>-133422.18177777782</v>
      </c>
      <c r="N56" s="82">
        <f t="shared" si="16"/>
        <v>776637.05085725826</v>
      </c>
      <c r="O56" s="82"/>
      <c r="P56" s="82"/>
      <c r="Q56" s="82">
        <f>$G$5*SUM($O$14:O56)-$H$5*SUM($P$14:P56)</f>
        <v>-685953.76080000005</v>
      </c>
      <c r="R56" s="82">
        <f t="shared" si="17"/>
        <v>90683.290057258215</v>
      </c>
      <c r="S56" s="143"/>
      <c r="U56" s="75">
        <v>45833.625</v>
      </c>
      <c r="V56" s="54">
        <v>93.47</v>
      </c>
      <c r="W56" s="75">
        <v>45831.625</v>
      </c>
      <c r="X56" s="54">
        <v>101.441</v>
      </c>
      <c r="Y56" s="125">
        <v>45838.625</v>
      </c>
      <c r="Z56" s="54">
        <v>121.69</v>
      </c>
      <c r="AA56" s="75">
        <v>45919.625</v>
      </c>
      <c r="AB56" s="54">
        <v>99.414000000000001</v>
      </c>
      <c r="AF56" s="131"/>
      <c r="AG56" s="45"/>
      <c r="AH56" s="31"/>
      <c r="AI56" s="31"/>
      <c r="AJ56" s="4"/>
      <c r="AK56" s="31"/>
      <c r="AL56" s="32"/>
      <c r="AM56" s="4"/>
      <c r="AN56" s="31"/>
      <c r="AO56" s="32"/>
      <c r="AP56" s="4"/>
      <c r="AQ56" s="31"/>
      <c r="AR56" s="32"/>
      <c r="AS56" s="4"/>
      <c r="AT56" s="31"/>
      <c r="AU56" s="32"/>
      <c r="AV56" s="4"/>
      <c r="AW56" s="31"/>
      <c r="AX56" s="32"/>
      <c r="AY56" s="38"/>
      <c r="AZ56" s="38"/>
      <c r="BA56" s="38"/>
      <c r="BB56" s="38"/>
      <c r="BC56" s="38"/>
      <c r="BE56" s="75">
        <v>45831.625</v>
      </c>
      <c r="BF56" s="54">
        <v>79.95</v>
      </c>
      <c r="BI56" s="75">
        <v>45831.625</v>
      </c>
      <c r="BJ56" s="54">
        <v>108.41</v>
      </c>
      <c r="BR56" s="131"/>
      <c r="BS56" s="45"/>
      <c r="BT56" s="31"/>
      <c r="BU56" s="31"/>
      <c r="BV56" s="4"/>
      <c r="BW56" s="31"/>
      <c r="BX56" s="32"/>
      <c r="BY56" s="4"/>
      <c r="CA56" s="129">
        <v>45834.625</v>
      </c>
      <c r="CB56" s="54">
        <v>107.0552</v>
      </c>
      <c r="CC56" s="129">
        <v>45834.625</v>
      </c>
      <c r="CD56" s="54">
        <v>52.463000000000001</v>
      </c>
      <c r="CO56" s="129">
        <v>45833.625</v>
      </c>
      <c r="CP56" s="54">
        <v>292.70999999999998</v>
      </c>
      <c r="CQ56" s="129">
        <v>45833.625</v>
      </c>
      <c r="CR56" s="54">
        <v>56.53</v>
      </c>
    </row>
    <row r="57" spans="1:134" x14ac:dyDescent="0.3">
      <c r="A57" s="142">
        <v>45905.625</v>
      </c>
      <c r="B57" s="76">
        <f t="shared" si="22"/>
        <v>94.64</v>
      </c>
      <c r="C57" s="31">
        <f t="shared" si="8"/>
        <v>197018.10436634769</v>
      </c>
      <c r="D57" s="32">
        <f t="shared" si="9"/>
        <v>-173312.5</v>
      </c>
      <c r="E57" s="76">
        <f t="shared" si="23"/>
        <v>101.19</v>
      </c>
      <c r="F57" s="31">
        <f t="shared" si="10"/>
        <v>-10200.000000000387</v>
      </c>
      <c r="G57" s="32">
        <f t="shared" si="11"/>
        <v>-61703.979833333331</v>
      </c>
      <c r="H57" s="76">
        <f t="shared" si="24"/>
        <v>120.64</v>
      </c>
      <c r="I57" s="31">
        <f t="shared" si="12"/>
        <v>-444462.67432321608</v>
      </c>
      <c r="J57" s="32">
        <f t="shared" si="13"/>
        <v>-298097.5</v>
      </c>
      <c r="K57" s="76">
        <f t="shared" si="25"/>
        <v>99.900999999999996</v>
      </c>
      <c r="L57" s="31">
        <f t="shared" si="14"/>
        <v>57809.999999996362</v>
      </c>
      <c r="M57" s="32">
        <f t="shared" si="15"/>
        <v>-135722.56422222222</v>
      </c>
      <c r="N57" s="82">
        <f t="shared" si="16"/>
        <v>760257.19430067169</v>
      </c>
      <c r="O57" s="82"/>
      <c r="P57" s="82"/>
      <c r="Q57" s="82">
        <f>$G$5*SUM($O$14:O57)-$H$5*SUM($P$14:P57)</f>
        <v>-685953.76080000005</v>
      </c>
      <c r="R57" s="82">
        <f t="shared" si="17"/>
        <v>74303.433500671643</v>
      </c>
      <c r="S57" s="143"/>
      <c r="U57" s="75">
        <v>45834.625</v>
      </c>
      <c r="V57" s="54">
        <v>93.5</v>
      </c>
      <c r="W57" s="75">
        <v>45832.625</v>
      </c>
      <c r="X57" s="54">
        <v>101.40600000000001</v>
      </c>
      <c r="Y57" s="125">
        <v>45839.625</v>
      </c>
      <c r="Z57" s="54">
        <v>121.84</v>
      </c>
      <c r="AA57" s="75">
        <v>45922.625</v>
      </c>
      <c r="AB57" s="54">
        <v>99.441000000000003</v>
      </c>
      <c r="AF57" s="131"/>
      <c r="AG57" s="45"/>
      <c r="AH57" s="31"/>
      <c r="AI57" s="31"/>
      <c r="AJ57" s="4"/>
      <c r="AK57" s="31"/>
      <c r="AL57" s="32"/>
      <c r="AM57" s="4"/>
      <c r="AN57" s="31"/>
      <c r="AO57" s="32"/>
      <c r="AP57" s="4"/>
      <c r="AQ57" s="31"/>
      <c r="AR57" s="32"/>
      <c r="AS57" s="4"/>
      <c r="AT57" s="31"/>
      <c r="AU57" s="32"/>
      <c r="AV57" s="4"/>
      <c r="AW57" s="31"/>
      <c r="AX57" s="32"/>
      <c r="AY57" s="38"/>
      <c r="AZ57" s="38"/>
      <c r="BA57" s="38"/>
      <c r="BB57" s="38"/>
      <c r="BC57" s="38"/>
      <c r="BE57" s="75">
        <v>45832.625</v>
      </c>
      <c r="BF57" s="54">
        <v>80.17</v>
      </c>
      <c r="BI57" s="75">
        <v>45832.625</v>
      </c>
      <c r="BJ57" s="54">
        <v>108.92</v>
      </c>
      <c r="BR57" s="131"/>
      <c r="BS57" s="45"/>
      <c r="BT57" s="31"/>
      <c r="BU57" s="31"/>
      <c r="BV57" s="4"/>
      <c r="BW57" s="31"/>
      <c r="BX57" s="32"/>
      <c r="BY57" s="4"/>
      <c r="CA57" s="129">
        <v>45835.625</v>
      </c>
      <c r="CB57" s="54">
        <v>107.2032</v>
      </c>
      <c r="CC57" s="129">
        <v>45835.625</v>
      </c>
      <c r="CD57" s="54">
        <v>52.195</v>
      </c>
      <c r="CO57" s="129">
        <v>45834.625</v>
      </c>
      <c r="CP57" s="54">
        <v>290.971</v>
      </c>
      <c r="CQ57" s="129">
        <v>45834.625</v>
      </c>
      <c r="CR57" s="54">
        <v>56.253999999999998</v>
      </c>
    </row>
    <row r="58" spans="1:134" x14ac:dyDescent="0.3">
      <c r="A58" s="142">
        <v>45908.625</v>
      </c>
      <c r="B58" s="76">
        <f t="shared" si="22"/>
        <v>94.65</v>
      </c>
      <c r="C58" s="31">
        <f t="shared" si="8"/>
        <v>199680.51118210983</v>
      </c>
      <c r="D58" s="32">
        <f t="shared" si="9"/>
        <v>-182125</v>
      </c>
      <c r="E58" s="76">
        <f t="shared" si="23"/>
        <v>101.23099999999999</v>
      </c>
      <c r="F58" s="31">
        <f t="shared" si="10"/>
        <v>-2000.0000000010234</v>
      </c>
      <c r="G58" s="32">
        <f t="shared" si="11"/>
        <v>-64841.470333333316</v>
      </c>
      <c r="H58" s="76">
        <f t="shared" si="24"/>
        <v>120.74</v>
      </c>
      <c r="I58" s="31">
        <f t="shared" si="12"/>
        <v>-409187.85890074214</v>
      </c>
      <c r="J58" s="32">
        <f t="shared" si="13"/>
        <v>-313255</v>
      </c>
      <c r="K58" s="76">
        <f t="shared" si="25"/>
        <v>99.972999999999999</v>
      </c>
      <c r="L58" s="31">
        <f t="shared" si="14"/>
        <v>87329.999999997497</v>
      </c>
      <c r="M58" s="32">
        <f t="shared" si="15"/>
        <v>-142623.71155555558</v>
      </c>
      <c r="N58" s="82">
        <f t="shared" si="16"/>
        <v>751546.12886062812</v>
      </c>
      <c r="O58" s="82"/>
      <c r="P58" s="82"/>
      <c r="Q58" s="82">
        <f>$G$5*SUM($O$14:O58)-$H$5*SUM($P$14:P58)</f>
        <v>-685953.76080000005</v>
      </c>
      <c r="R58" s="82">
        <f t="shared" si="17"/>
        <v>65592.368060628069</v>
      </c>
      <c r="S58" s="143"/>
      <c r="U58" s="75">
        <v>45835.625</v>
      </c>
      <c r="V58" s="54">
        <v>93.63</v>
      </c>
      <c r="W58" s="75">
        <v>45833.625</v>
      </c>
      <c r="X58" s="54">
        <v>101.367</v>
      </c>
      <c r="Y58" s="125">
        <v>45840.625</v>
      </c>
      <c r="Z58" s="54">
        <v>121.82</v>
      </c>
      <c r="AA58" s="75">
        <v>45923.625</v>
      </c>
      <c r="AB58" s="54">
        <v>99.381</v>
      </c>
      <c r="AF58" s="131"/>
      <c r="AG58" s="45"/>
      <c r="AH58" s="31"/>
      <c r="AI58" s="31"/>
      <c r="AJ58" s="4"/>
      <c r="AK58" s="31"/>
      <c r="AL58" s="32"/>
      <c r="AM58" s="4"/>
      <c r="AN58" s="31"/>
      <c r="AO58" s="32"/>
      <c r="AP58" s="4"/>
      <c r="AQ58" s="31"/>
      <c r="AR58" s="32"/>
      <c r="AS58" s="4"/>
      <c r="AT58" s="31"/>
      <c r="AU58" s="32"/>
      <c r="AV58" s="4"/>
      <c r="AW58" s="31"/>
      <c r="AX58" s="32"/>
      <c r="AY58" s="38"/>
      <c r="AZ58" s="38"/>
      <c r="BA58" s="38"/>
      <c r="BB58" s="38"/>
      <c r="BC58" s="38"/>
      <c r="BE58" s="75">
        <v>45833.625</v>
      </c>
      <c r="BF58" s="54">
        <v>80.150000000000006</v>
      </c>
      <c r="BI58" s="75">
        <v>45833.625</v>
      </c>
      <c r="BJ58" s="54">
        <v>108.79</v>
      </c>
      <c r="BR58" s="131"/>
      <c r="BS58" s="45"/>
      <c r="BT58" s="31"/>
      <c r="BU58" s="31"/>
      <c r="BV58" s="4"/>
      <c r="BW58" s="31"/>
      <c r="BX58" s="32"/>
      <c r="BY58" s="4"/>
      <c r="CA58" s="129">
        <v>45838.625</v>
      </c>
      <c r="CB58" s="54">
        <v>107.5166</v>
      </c>
      <c r="CC58" s="129">
        <v>45838.625</v>
      </c>
      <c r="CD58" s="54">
        <v>50.99</v>
      </c>
      <c r="CO58" s="129">
        <v>45835.625</v>
      </c>
      <c r="CP58" s="54">
        <v>285.11700000000002</v>
      </c>
      <c r="CQ58" s="129">
        <v>45835.625</v>
      </c>
      <c r="CR58" s="54">
        <v>54.988</v>
      </c>
    </row>
    <row r="59" spans="1:134" x14ac:dyDescent="0.3">
      <c r="A59" s="142">
        <v>45909.625</v>
      </c>
      <c r="B59" s="76">
        <f t="shared" si="22"/>
        <v>94.54</v>
      </c>
      <c r="C59" s="31">
        <f t="shared" si="8"/>
        <v>170394.03620873194</v>
      </c>
      <c r="D59" s="32">
        <f t="shared" si="9"/>
        <v>-185062.49999999997</v>
      </c>
      <c r="E59" s="76">
        <f t="shared" si="23"/>
        <v>101.163</v>
      </c>
      <c r="F59" s="31">
        <f t="shared" si="10"/>
        <v>-15600.000000000591</v>
      </c>
      <c r="G59" s="32">
        <f t="shared" si="11"/>
        <v>-65887.300500000012</v>
      </c>
      <c r="H59" s="76">
        <f t="shared" si="24"/>
        <v>120.66</v>
      </c>
      <c r="I59" s="31">
        <f t="shared" si="12"/>
        <v>-437407.71123872226</v>
      </c>
      <c r="J59" s="32">
        <f t="shared" si="13"/>
        <v>-318307.5</v>
      </c>
      <c r="K59" s="76">
        <f t="shared" si="25"/>
        <v>99.885999999999996</v>
      </c>
      <c r="L59" s="31">
        <f t="shared" si="14"/>
        <v>51659.999999996136</v>
      </c>
      <c r="M59" s="32">
        <f t="shared" si="15"/>
        <v>-144924.09400000004</v>
      </c>
      <c r="N59" s="82">
        <f t="shared" si="16"/>
        <v>729269.95394745097</v>
      </c>
      <c r="O59" s="82"/>
      <c r="P59" s="82"/>
      <c r="Q59" s="82">
        <f>$G$5*SUM($O$14:O59)-$H$5*SUM($P$14:P59)</f>
        <v>-685953.76080000005</v>
      </c>
      <c r="R59" s="82">
        <f t="shared" si="17"/>
        <v>43316.193147450918</v>
      </c>
      <c r="S59" s="143"/>
      <c r="U59" s="75">
        <v>45838.625</v>
      </c>
      <c r="V59" s="54">
        <v>93.64</v>
      </c>
      <c r="W59" s="75">
        <v>45834.625</v>
      </c>
      <c r="X59" s="54">
        <v>101.43</v>
      </c>
      <c r="Y59" s="125">
        <v>45841.625</v>
      </c>
      <c r="Z59" s="54">
        <v>122.16</v>
      </c>
      <c r="AA59" s="75">
        <v>45924.625</v>
      </c>
      <c r="AB59" s="54">
        <v>99.414000000000001</v>
      </c>
      <c r="AF59" s="131"/>
      <c r="AG59" s="45"/>
      <c r="AH59" s="31"/>
      <c r="AI59" s="31"/>
      <c r="AJ59" s="4"/>
      <c r="AK59" s="31"/>
      <c r="AL59" s="32"/>
      <c r="AM59" s="4"/>
      <c r="AN59" s="31"/>
      <c r="AO59" s="32"/>
      <c r="AP59" s="4"/>
      <c r="AQ59" s="31"/>
      <c r="AR59" s="32"/>
      <c r="AS59" s="4"/>
      <c r="AT59" s="31"/>
      <c r="AU59" s="32"/>
      <c r="AV59" s="4"/>
      <c r="AW59" s="31"/>
      <c r="AX59" s="32"/>
      <c r="AY59" s="38"/>
      <c r="AZ59" s="38"/>
      <c r="BA59" s="38"/>
      <c r="BB59" s="38"/>
      <c r="BC59" s="38"/>
      <c r="BE59" s="75">
        <v>45834.625</v>
      </c>
      <c r="BF59" s="54">
        <v>80.38</v>
      </c>
      <c r="BI59" s="75">
        <v>45834.625</v>
      </c>
      <c r="BJ59" s="54">
        <v>109.19</v>
      </c>
      <c r="BR59" s="131"/>
      <c r="BS59" s="45"/>
      <c r="BT59" s="31"/>
      <c r="BU59" s="31"/>
      <c r="BV59" s="4"/>
      <c r="BW59" s="31"/>
      <c r="BX59" s="32"/>
      <c r="BY59" s="4"/>
      <c r="CA59" s="129">
        <v>45839.625</v>
      </c>
      <c r="CB59" s="54">
        <v>107.5767</v>
      </c>
      <c r="CC59" s="129">
        <v>45839.625</v>
      </c>
      <c r="CD59" s="54">
        <v>50.72</v>
      </c>
      <c r="CO59" s="129">
        <v>45838.625</v>
      </c>
      <c r="CP59" s="54">
        <v>282.50799999999998</v>
      </c>
      <c r="CQ59" s="129">
        <v>45838.625</v>
      </c>
      <c r="CR59" s="54">
        <v>54.523000000000003</v>
      </c>
    </row>
    <row r="60" spans="1:134" x14ac:dyDescent="0.3">
      <c r="A60" s="142">
        <v>45910.625</v>
      </c>
      <c r="B60" s="76">
        <f t="shared" si="22"/>
        <v>94.53</v>
      </c>
      <c r="C60" s="31">
        <f t="shared" si="8"/>
        <v>167731.62939296983</v>
      </c>
      <c r="D60" s="32">
        <f t="shared" si="9"/>
        <v>-188000</v>
      </c>
      <c r="E60" s="76">
        <f t="shared" si="23"/>
        <v>101.126</v>
      </c>
      <c r="F60" s="31">
        <f t="shared" si="10"/>
        <v>-22999.999999998978</v>
      </c>
      <c r="G60" s="32">
        <f t="shared" si="11"/>
        <v>-66933.130666666664</v>
      </c>
      <c r="H60" s="76">
        <f t="shared" si="24"/>
        <v>120.75</v>
      </c>
      <c r="I60" s="31">
        <f t="shared" si="12"/>
        <v>-405660.37735849048</v>
      </c>
      <c r="J60" s="32">
        <f t="shared" si="13"/>
        <v>-323360</v>
      </c>
      <c r="K60" s="76">
        <f t="shared" si="25"/>
        <v>99.86</v>
      </c>
      <c r="L60" s="31">
        <f t="shared" si="14"/>
        <v>40999.999999997672</v>
      </c>
      <c r="M60" s="32">
        <f t="shared" si="15"/>
        <v>-147224.47644444447</v>
      </c>
      <c r="N60" s="82">
        <f t="shared" si="16"/>
        <v>692460.66097367916</v>
      </c>
      <c r="O60" s="82"/>
      <c r="P60" s="82"/>
      <c r="Q60" s="82">
        <f>$G$5*SUM($O$14:O60)-$H$5*SUM($P$14:P60)</f>
        <v>-685953.76080000005</v>
      </c>
      <c r="R60" s="82">
        <f t="shared" si="17"/>
        <v>6506.9001736791106</v>
      </c>
      <c r="S60" s="143"/>
      <c r="U60" s="75">
        <v>45839.625</v>
      </c>
      <c r="V60" s="54">
        <v>93.68</v>
      </c>
      <c r="W60" s="75">
        <v>45835.625</v>
      </c>
      <c r="X60" s="54">
        <v>101.3</v>
      </c>
      <c r="Y60" s="125">
        <v>45842.625</v>
      </c>
      <c r="Z60" s="54">
        <v>122.27</v>
      </c>
      <c r="AA60" s="75">
        <v>45925.625</v>
      </c>
      <c r="AB60" s="54">
        <v>99.263000000000005</v>
      </c>
      <c r="AF60" s="131"/>
      <c r="AG60" s="45"/>
      <c r="AH60" s="31"/>
      <c r="AI60" s="31"/>
      <c r="AJ60" s="4"/>
      <c r="AK60" s="31"/>
      <c r="AL60" s="32"/>
      <c r="AM60" s="4"/>
      <c r="AN60" s="31"/>
      <c r="AO60" s="32"/>
      <c r="AP60" s="4"/>
      <c r="AQ60" s="31"/>
      <c r="AR60" s="32"/>
      <c r="AS60" s="4"/>
      <c r="AT60" s="31"/>
      <c r="AU60" s="32"/>
      <c r="AV60" s="4"/>
      <c r="AW60" s="31"/>
      <c r="AX60" s="32"/>
      <c r="AY60" s="38"/>
      <c r="AZ60" s="38"/>
      <c r="BA60" s="38"/>
      <c r="BB60" s="38"/>
      <c r="BC60" s="38"/>
      <c r="BE60" s="75">
        <v>45835.625</v>
      </c>
      <c r="BF60" s="54">
        <v>80.34</v>
      </c>
      <c r="BI60" s="75">
        <v>45835.625</v>
      </c>
      <c r="BJ60" s="54">
        <v>109.01</v>
      </c>
      <c r="BR60" s="131"/>
      <c r="BS60" s="45"/>
      <c r="BT60" s="31"/>
      <c r="BU60" s="31"/>
      <c r="BV60" s="4"/>
      <c r="BW60" s="31"/>
      <c r="BX60" s="32"/>
      <c r="BY60" s="4"/>
      <c r="CA60" s="129">
        <v>45840.625</v>
      </c>
      <c r="CB60" s="54">
        <v>107.69840000000001</v>
      </c>
      <c r="CC60" s="129">
        <v>45840.625</v>
      </c>
      <c r="CD60" s="54">
        <v>50.170999999999999</v>
      </c>
      <c r="CO60" s="129">
        <v>45839.625</v>
      </c>
      <c r="CP60" s="54">
        <v>283.149</v>
      </c>
      <c r="CQ60" s="129">
        <v>45839.625</v>
      </c>
      <c r="CR60" s="54">
        <v>54.335999999999999</v>
      </c>
    </row>
    <row r="61" spans="1:134" x14ac:dyDescent="0.3">
      <c r="A61" s="142">
        <v>45911.625</v>
      </c>
      <c r="B61" s="76">
        <f t="shared" si="22"/>
        <v>92.29</v>
      </c>
      <c r="C61" s="31">
        <f t="shared" si="8"/>
        <v>-428647.49733759201</v>
      </c>
      <c r="D61" s="32">
        <f t="shared" si="9"/>
        <v>-190937.49999999997</v>
      </c>
      <c r="E61" s="76">
        <f t="shared" si="23"/>
        <v>101.012</v>
      </c>
      <c r="F61" s="31">
        <f t="shared" si="10"/>
        <v>-45799.99999999984</v>
      </c>
      <c r="G61" s="32">
        <f t="shared" si="11"/>
        <v>-67978.960833333345</v>
      </c>
      <c r="H61" s="76">
        <f t="shared" si="24"/>
        <v>120.76</v>
      </c>
      <c r="I61" s="31">
        <f t="shared" si="12"/>
        <v>-402132.89581624354</v>
      </c>
      <c r="J61" s="32">
        <f t="shared" si="13"/>
        <v>-328412.5</v>
      </c>
      <c r="K61" s="76">
        <f t="shared" si="25"/>
        <v>99.715000000000003</v>
      </c>
      <c r="L61" s="31">
        <f t="shared" si="14"/>
        <v>-18450.000000000698</v>
      </c>
      <c r="M61" s="32">
        <f t="shared" si="15"/>
        <v>-149524.85888888888</v>
      </c>
      <c r="N61" s="82">
        <f t="shared" si="16"/>
        <v>56764.500423095218</v>
      </c>
      <c r="O61" s="82">
        <v>2.4173</v>
      </c>
      <c r="P61" s="82"/>
      <c r="Q61" s="82">
        <f>$G$5*SUM($O$14:O61)-$H$5*SUM($P$14:P61)</f>
        <v>-42369.391500000027</v>
      </c>
      <c r="R61" s="82">
        <f t="shared" si="17"/>
        <v>14395.108923095191</v>
      </c>
      <c r="S61" s="143"/>
      <c r="U61" s="75">
        <v>45840.625</v>
      </c>
      <c r="V61" s="54">
        <v>93.74</v>
      </c>
      <c r="W61" s="75">
        <v>45838.625</v>
      </c>
      <c r="X61" s="54">
        <v>101.331</v>
      </c>
      <c r="Y61" s="125">
        <v>45845.625</v>
      </c>
      <c r="Z61" s="54">
        <v>122.05</v>
      </c>
      <c r="AA61" s="75">
        <v>45926.625</v>
      </c>
      <c r="AB61" s="54">
        <v>99.38</v>
      </c>
      <c r="AF61" s="131"/>
      <c r="AG61" s="45"/>
      <c r="AH61" s="31"/>
      <c r="AI61" s="31"/>
      <c r="AJ61" s="4"/>
      <c r="AK61" s="31"/>
      <c r="AL61" s="32"/>
      <c r="AM61" s="4"/>
      <c r="AN61" s="31"/>
      <c r="AO61" s="32"/>
      <c r="AP61" s="4"/>
      <c r="AQ61" s="31"/>
      <c r="AR61" s="32"/>
      <c r="AS61" s="4"/>
      <c r="AT61" s="31"/>
      <c r="AU61" s="32"/>
      <c r="AV61" s="4"/>
      <c r="AW61" s="31"/>
      <c r="AX61" s="32"/>
      <c r="AY61" s="38"/>
      <c r="AZ61" s="38"/>
      <c r="BA61" s="38"/>
      <c r="BB61" s="38"/>
      <c r="BC61" s="38"/>
      <c r="BE61" s="75">
        <v>45838.625</v>
      </c>
      <c r="BF61" s="54">
        <v>80.650000000000006</v>
      </c>
      <c r="BI61" s="75">
        <v>45838.625</v>
      </c>
      <c r="BJ61" s="54">
        <v>109.61</v>
      </c>
      <c r="BR61" s="131"/>
      <c r="BS61" s="45"/>
      <c r="BT61" s="31"/>
      <c r="BU61" s="31"/>
      <c r="BV61" s="4"/>
      <c r="BW61" s="31"/>
      <c r="BX61" s="32"/>
      <c r="BY61" s="4"/>
      <c r="CA61" s="129">
        <v>45845.625</v>
      </c>
      <c r="CB61" s="54">
        <v>107.60639999999999</v>
      </c>
      <c r="CC61" s="129">
        <v>45845.625</v>
      </c>
      <c r="CD61" s="54">
        <v>50.64</v>
      </c>
      <c r="CO61" s="129">
        <v>45840.625</v>
      </c>
      <c r="CP61" s="54">
        <v>283.74200000000002</v>
      </c>
      <c r="CQ61" s="129">
        <v>45840.625</v>
      </c>
      <c r="CR61" s="54">
        <v>54.325000000000003</v>
      </c>
    </row>
    <row r="62" spans="1:134" ht="15" thickBot="1" x14ac:dyDescent="0.35">
      <c r="A62" s="142">
        <v>45912.625</v>
      </c>
      <c r="B62" s="76">
        <f t="shared" si="22"/>
        <v>92.46</v>
      </c>
      <c r="C62" s="31">
        <f t="shared" si="8"/>
        <v>-383386.58146965242</v>
      </c>
      <c r="D62" s="32">
        <f t="shared" si="9"/>
        <v>-193874.99999999997</v>
      </c>
      <c r="E62" s="76">
        <f t="shared" si="23"/>
        <v>100.934</v>
      </c>
      <c r="F62" s="31">
        <f t="shared" si="10"/>
        <v>-61400.000000000429</v>
      </c>
      <c r="G62" s="32">
        <f t="shared" si="11"/>
        <v>-69024.790999999983</v>
      </c>
      <c r="H62" s="76">
        <f t="shared" si="24"/>
        <v>120.63</v>
      </c>
      <c r="I62" s="31">
        <f t="shared" si="12"/>
        <v>-447990.15586546774</v>
      </c>
      <c r="J62" s="32">
        <f t="shared" si="13"/>
        <v>-333464.99999999994</v>
      </c>
      <c r="K62" s="76">
        <f t="shared" si="25"/>
        <v>99.519000000000005</v>
      </c>
      <c r="L62" s="31">
        <f t="shared" si="14"/>
        <v>-98809.999999999869</v>
      </c>
      <c r="M62" s="32">
        <f t="shared" si="15"/>
        <v>-151825.24133333334</v>
      </c>
      <c r="N62" s="82">
        <f t="shared" si="16"/>
        <v>83983.124062482471</v>
      </c>
      <c r="O62" s="82"/>
      <c r="P62" s="82"/>
      <c r="Q62" s="82">
        <f>$G$5*SUM($O$14:O62)-$H$5*SUM($P$14:P62)</f>
        <v>-42369.391500000027</v>
      </c>
      <c r="R62" s="82">
        <f t="shared" si="17"/>
        <v>41613.732562482444</v>
      </c>
      <c r="S62" s="143"/>
      <c r="U62" s="75">
        <v>45841.625</v>
      </c>
      <c r="V62" s="54">
        <v>93.9</v>
      </c>
      <c r="W62" s="75">
        <v>45839.625</v>
      </c>
      <c r="X62" s="54">
        <v>101.357</v>
      </c>
      <c r="Y62" s="125">
        <v>45846.625</v>
      </c>
      <c r="Z62" s="54">
        <v>121.9</v>
      </c>
      <c r="AA62" s="75">
        <v>45929.625</v>
      </c>
      <c r="AB62" s="54">
        <v>99.456000000000003</v>
      </c>
      <c r="AF62" s="132"/>
      <c r="AG62" s="48"/>
      <c r="AH62" s="49"/>
      <c r="AI62" s="49"/>
      <c r="AJ62" s="11"/>
      <c r="AK62" s="49"/>
      <c r="AL62" s="50"/>
      <c r="AM62" s="11"/>
      <c r="AN62" s="49"/>
      <c r="AO62" s="50"/>
      <c r="AP62" s="11"/>
      <c r="AQ62" s="49"/>
      <c r="AR62" s="50"/>
      <c r="AS62" s="11"/>
      <c r="AT62" s="49"/>
      <c r="AU62" s="50"/>
      <c r="AV62" s="11"/>
      <c r="AW62" s="49"/>
      <c r="AX62" s="50"/>
      <c r="AY62" s="51"/>
      <c r="AZ62" s="51"/>
      <c r="BA62" s="51"/>
      <c r="BB62" s="51"/>
      <c r="BC62" s="51"/>
      <c r="BE62" s="75">
        <v>45839.625</v>
      </c>
      <c r="BF62" s="54">
        <v>80.17</v>
      </c>
      <c r="BI62" s="75">
        <v>45839.625</v>
      </c>
      <c r="BJ62" s="54">
        <v>109.34</v>
      </c>
      <c r="BR62" s="132"/>
      <c r="BS62" s="48"/>
      <c r="BT62" s="49"/>
      <c r="BU62" s="49"/>
      <c r="BV62" s="11"/>
      <c r="BW62" s="49"/>
      <c r="BX62" s="50"/>
      <c r="BY62" s="11"/>
      <c r="CA62" s="129">
        <v>45846.625</v>
      </c>
      <c r="CB62" s="54">
        <v>107.4332</v>
      </c>
      <c r="CC62" s="129">
        <v>45846.625</v>
      </c>
      <c r="CD62" s="54">
        <v>51.264000000000003</v>
      </c>
      <c r="CO62" s="129">
        <v>45841.625</v>
      </c>
      <c r="CP62" s="54">
        <v>278.61099999999999</v>
      </c>
      <c r="CQ62" s="129">
        <v>45841.625</v>
      </c>
      <c r="CR62" s="54">
        <v>53.073</v>
      </c>
    </row>
    <row r="63" spans="1:134" x14ac:dyDescent="0.3">
      <c r="A63" s="142">
        <v>45915.625</v>
      </c>
      <c r="B63" s="76">
        <f t="shared" si="22"/>
        <v>92.46</v>
      </c>
      <c r="C63" s="31">
        <f t="shared" si="8"/>
        <v>-383386.58146965242</v>
      </c>
      <c r="D63" s="32">
        <f t="shared" si="9"/>
        <v>-202687.5</v>
      </c>
      <c r="E63" s="76">
        <f t="shared" si="23"/>
        <v>100.944</v>
      </c>
      <c r="F63" s="31">
        <f t="shared" si="10"/>
        <v>-59399.999999999411</v>
      </c>
      <c r="G63" s="32">
        <f t="shared" si="11"/>
        <v>-72162.281499999997</v>
      </c>
      <c r="H63" s="76">
        <f t="shared" si="24"/>
        <v>120.7</v>
      </c>
      <c r="I63" s="31">
        <f t="shared" si="12"/>
        <v>-423297.78506972984</v>
      </c>
      <c r="J63" s="32">
        <f t="shared" si="13"/>
        <v>-348622.5</v>
      </c>
      <c r="K63" s="76">
        <f t="shared" si="25"/>
        <v>99.558000000000007</v>
      </c>
      <c r="L63" s="31">
        <f t="shared" si="14"/>
        <v>-82819.999999999258</v>
      </c>
      <c r="M63" s="32">
        <f t="shared" si="15"/>
        <v>-158726.38866666669</v>
      </c>
      <c r="N63" s="82">
        <f t="shared" si="16"/>
        <v>75862.096433410828</v>
      </c>
      <c r="O63" s="82"/>
      <c r="P63" s="82"/>
      <c r="Q63" s="82">
        <f>$G$5*SUM($O$14:O63)-$H$5*SUM($P$14:P63)</f>
        <v>-42369.391500000027</v>
      </c>
      <c r="R63" s="82">
        <f t="shared" si="17"/>
        <v>33492.704933410801</v>
      </c>
      <c r="S63" s="143"/>
      <c r="U63" s="75">
        <v>45842.625</v>
      </c>
      <c r="V63" s="54">
        <v>93.86</v>
      </c>
      <c r="W63" s="75">
        <v>45840.625</v>
      </c>
      <c r="X63" s="54">
        <v>101.286</v>
      </c>
      <c r="Y63" s="125">
        <v>45847.625</v>
      </c>
      <c r="Z63" s="54">
        <v>122</v>
      </c>
      <c r="AA63" s="75">
        <v>45930.625</v>
      </c>
      <c r="AB63" s="54">
        <v>99.484999999999999</v>
      </c>
      <c r="AG63" s="58"/>
      <c r="AH63" s="58"/>
      <c r="AI63" s="58"/>
      <c r="AJ63" s="58"/>
      <c r="AK63" s="58"/>
      <c r="AM63" s="57"/>
      <c r="AN63" s="57"/>
      <c r="AP63" s="58"/>
      <c r="AQ63" s="58"/>
      <c r="AS63" s="57"/>
      <c r="AT63" s="57"/>
      <c r="AW63" s="57"/>
      <c r="AX63" s="57"/>
      <c r="AY63" s="57"/>
      <c r="AZ63" s="57"/>
      <c r="BA63" s="57"/>
      <c r="BB63" s="57"/>
      <c r="BC63" s="57"/>
      <c r="BE63" s="75">
        <v>45840.625</v>
      </c>
      <c r="BF63" s="54">
        <v>80.319999999999993</v>
      </c>
      <c r="BI63" s="75">
        <v>45840.625</v>
      </c>
      <c r="BJ63" s="54">
        <v>109.32</v>
      </c>
      <c r="BS63" s="58"/>
      <c r="BT63" s="58"/>
      <c r="BU63" s="58"/>
      <c r="BV63" s="58"/>
      <c r="BW63" s="58"/>
      <c r="BY63" s="57"/>
      <c r="CA63" s="129">
        <v>45847.625</v>
      </c>
      <c r="CB63" s="54">
        <v>107.717</v>
      </c>
      <c r="CC63" s="129">
        <v>45847.625</v>
      </c>
      <c r="CD63" s="54">
        <v>50.171999999999997</v>
      </c>
      <c r="CO63" s="129">
        <v>45842.625</v>
      </c>
      <c r="CP63" s="54">
        <v>284.7</v>
      </c>
      <c r="CQ63" s="129">
        <v>45842.625</v>
      </c>
      <c r="CR63" s="54">
        <v>54.459000000000003</v>
      </c>
    </row>
    <row r="64" spans="1:134" x14ac:dyDescent="0.3">
      <c r="A64" s="142">
        <v>45916.625</v>
      </c>
      <c r="B64" s="76">
        <f t="shared" si="22"/>
        <v>92.35</v>
      </c>
      <c r="C64" s="31">
        <f t="shared" si="8"/>
        <v>-412673.05644302757</v>
      </c>
      <c r="D64" s="32">
        <f t="shared" si="9"/>
        <v>-205625</v>
      </c>
      <c r="E64" s="76">
        <f t="shared" si="23"/>
        <v>100.953</v>
      </c>
      <c r="F64" s="31">
        <f t="shared" si="10"/>
        <v>-57599.999999999345</v>
      </c>
      <c r="G64" s="32">
        <f t="shared" si="11"/>
        <v>-73208.111666666664</v>
      </c>
      <c r="H64" s="76">
        <f t="shared" si="24"/>
        <v>120.66</v>
      </c>
      <c r="I64" s="31">
        <f t="shared" si="12"/>
        <v>-437407.71123872226</v>
      </c>
      <c r="J64" s="32">
        <f t="shared" si="13"/>
        <v>-353675</v>
      </c>
      <c r="K64" s="76">
        <f t="shared" si="25"/>
        <v>99.569000000000003</v>
      </c>
      <c r="L64" s="31">
        <f t="shared" si="14"/>
        <v>-78310.000000001019</v>
      </c>
      <c r="M64" s="32">
        <f t="shared" si="15"/>
        <v>-161026.77111111107</v>
      </c>
      <c r="N64" s="82">
        <f t="shared" si="16"/>
        <v>64255.995351248595</v>
      </c>
      <c r="O64" s="82"/>
      <c r="P64" s="82"/>
      <c r="Q64" s="82">
        <f>$G$5*SUM($O$14:O64)-$H$5*SUM($P$14:P64)</f>
        <v>-42369.391500000027</v>
      </c>
      <c r="R64" s="82">
        <f t="shared" si="17"/>
        <v>21886.603851248568</v>
      </c>
      <c r="S64" s="143"/>
      <c r="U64" s="75">
        <v>45845.625</v>
      </c>
      <c r="V64" s="54">
        <v>93.91</v>
      </c>
      <c r="W64" s="75">
        <v>45841.625</v>
      </c>
      <c r="X64" s="54">
        <v>101.379</v>
      </c>
      <c r="Y64" s="125">
        <v>45848.625</v>
      </c>
      <c r="Z64" s="54">
        <v>121.86</v>
      </c>
      <c r="AA64" s="75">
        <v>45931.625</v>
      </c>
      <c r="AB64" s="54">
        <v>99.536000000000001</v>
      </c>
      <c r="AG64" s="75"/>
      <c r="AH64" s="58"/>
      <c r="AI64" s="75"/>
      <c r="AJ64" s="58"/>
      <c r="AK64" s="75"/>
      <c r="AM64" s="75"/>
      <c r="AO64" s="75"/>
      <c r="AP64" s="58"/>
      <c r="AQ64" s="75"/>
      <c r="AW64" s="57"/>
      <c r="AX64" s="57"/>
      <c r="AY64" s="57"/>
      <c r="AZ64" s="57"/>
      <c r="BA64" s="57"/>
      <c r="BB64" s="57"/>
      <c r="BC64" s="57"/>
      <c r="BE64" s="75">
        <v>45841.625</v>
      </c>
      <c r="BF64" s="54">
        <v>80.37</v>
      </c>
      <c r="BI64" s="75">
        <v>45841.625</v>
      </c>
      <c r="BJ64" s="54">
        <v>109.06</v>
      </c>
      <c r="BS64" s="75"/>
      <c r="BT64" s="58"/>
      <c r="BU64" s="75"/>
      <c r="BV64" s="58"/>
      <c r="BW64" s="75"/>
      <c r="BY64" s="75"/>
      <c r="CA64" s="129">
        <v>45848.625</v>
      </c>
      <c r="CB64" s="54">
        <v>107.7636</v>
      </c>
      <c r="CC64" s="129">
        <v>45848.625</v>
      </c>
      <c r="CD64" s="54">
        <v>49.853999999999999</v>
      </c>
      <c r="CO64" s="129">
        <v>45845.625</v>
      </c>
      <c r="CP64" s="54">
        <v>281.32</v>
      </c>
      <c r="CQ64" s="129">
        <v>45845.625</v>
      </c>
      <c r="CR64" s="54">
        <v>53.741999999999997</v>
      </c>
    </row>
    <row r="65" spans="1:96" x14ac:dyDescent="0.3">
      <c r="A65" s="142">
        <v>45917.625</v>
      </c>
      <c r="B65" s="76">
        <f t="shared" si="22"/>
        <v>92.39</v>
      </c>
      <c r="C65" s="31">
        <f t="shared" si="8"/>
        <v>-402023.42917997902</v>
      </c>
      <c r="D65" s="32">
        <f t="shared" si="9"/>
        <v>-208562.49999999997</v>
      </c>
      <c r="E65" s="76">
        <f t="shared" si="23"/>
        <v>100.971</v>
      </c>
      <c r="F65" s="31">
        <f t="shared" si="10"/>
        <v>-53999.999999999207</v>
      </c>
      <c r="G65" s="32">
        <f t="shared" si="11"/>
        <v>-74253.941833333301</v>
      </c>
      <c r="H65" s="76">
        <f t="shared" si="24"/>
        <v>120.67</v>
      </c>
      <c r="I65" s="31">
        <f t="shared" si="12"/>
        <v>-433880.22969647532</v>
      </c>
      <c r="J65" s="32">
        <f t="shared" si="13"/>
        <v>-358727.49999999994</v>
      </c>
      <c r="K65" s="76">
        <f t="shared" si="25"/>
        <v>99.600999999999999</v>
      </c>
      <c r="L65" s="31">
        <f t="shared" si="14"/>
        <v>-65190.000000002474</v>
      </c>
      <c r="M65" s="32">
        <f t="shared" si="15"/>
        <v>-163327.15355555556</v>
      </c>
      <c r="N65" s="82">
        <f t="shared" si="16"/>
        <v>81758.588794270676</v>
      </c>
      <c r="O65" s="82"/>
      <c r="P65" s="82"/>
      <c r="Q65" s="82">
        <f>$G$5*SUM($O$14:O65)-$H$5*SUM($P$14:P65)</f>
        <v>-42369.391500000027</v>
      </c>
      <c r="R65" s="82">
        <f t="shared" si="17"/>
        <v>39389.197294270649</v>
      </c>
      <c r="S65" s="143"/>
      <c r="U65" s="75">
        <v>45846.625</v>
      </c>
      <c r="V65" s="54">
        <v>93.9</v>
      </c>
      <c r="W65" s="75">
        <v>45842.625</v>
      </c>
      <c r="X65" s="54">
        <v>101.465</v>
      </c>
      <c r="Y65" s="125">
        <v>45849.625</v>
      </c>
      <c r="Z65" s="54">
        <v>121.72</v>
      </c>
      <c r="AA65" s="75">
        <v>45932.625</v>
      </c>
      <c r="AB65" s="54">
        <v>99.51</v>
      </c>
      <c r="AG65" s="75"/>
      <c r="AH65" s="58"/>
      <c r="AI65" s="75"/>
      <c r="AJ65" s="58"/>
      <c r="AK65" s="75"/>
      <c r="AM65" s="75"/>
      <c r="AO65" s="75"/>
      <c r="AP65" s="58"/>
      <c r="AQ65" s="75"/>
      <c r="AW65" s="57"/>
      <c r="AX65" s="57"/>
      <c r="AY65" s="57"/>
      <c r="AZ65" s="57"/>
      <c r="BA65" s="57"/>
      <c r="BB65" s="57"/>
      <c r="BC65" s="57"/>
      <c r="BE65" s="75">
        <v>45845.625</v>
      </c>
      <c r="BF65" s="54">
        <v>80.099999999999994</v>
      </c>
      <c r="BI65" s="75">
        <v>45845.625</v>
      </c>
      <c r="BJ65" s="54">
        <v>108.41</v>
      </c>
      <c r="BS65" s="75"/>
      <c r="BT65" s="58"/>
      <c r="BU65" s="75"/>
      <c r="BV65" s="58"/>
      <c r="BW65" s="75"/>
      <c r="BY65" s="75"/>
      <c r="CA65" s="129">
        <v>45849.625</v>
      </c>
      <c r="CB65" s="54">
        <v>107.52670000000001</v>
      </c>
      <c r="CC65" s="129">
        <v>45849.625</v>
      </c>
      <c r="CD65" s="54">
        <v>50.515999999999998</v>
      </c>
      <c r="CO65" s="129">
        <v>45846.625</v>
      </c>
      <c r="CP65" s="54">
        <v>282.44299999999998</v>
      </c>
      <c r="CQ65" s="129">
        <v>45846.625</v>
      </c>
      <c r="CR65" s="54">
        <v>54.017000000000003</v>
      </c>
    </row>
    <row r="66" spans="1:96" x14ac:dyDescent="0.3">
      <c r="A66" s="142">
        <v>45918.625</v>
      </c>
      <c r="B66" s="76">
        <f t="shared" si="22"/>
        <v>92.67</v>
      </c>
      <c r="C66" s="31">
        <f t="shared" si="8"/>
        <v>-327476.03833865881</v>
      </c>
      <c r="D66" s="32">
        <f t="shared" si="9"/>
        <v>-211500</v>
      </c>
      <c r="E66" s="76">
        <f t="shared" si="23"/>
        <v>100.956</v>
      </c>
      <c r="F66" s="31">
        <f t="shared" si="10"/>
        <v>-56999.999999999316</v>
      </c>
      <c r="G66" s="32">
        <f t="shared" si="11"/>
        <v>-75299.771999999983</v>
      </c>
      <c r="H66" s="76">
        <f t="shared" si="24"/>
        <v>120.7</v>
      </c>
      <c r="I66" s="31">
        <f t="shared" si="12"/>
        <v>-423297.78506972984</v>
      </c>
      <c r="J66" s="32">
        <f t="shared" si="13"/>
        <v>-363780</v>
      </c>
      <c r="K66" s="76">
        <f t="shared" si="25"/>
        <v>99.516000000000005</v>
      </c>
      <c r="L66" s="31">
        <f t="shared" si="14"/>
        <v>-100039.99999999991</v>
      </c>
      <c r="M66" s="32">
        <f t="shared" si="15"/>
        <v>-165627.53600000002</v>
      </c>
      <c r="N66" s="82">
        <f t="shared" si="16"/>
        <v>114733.98273107031</v>
      </c>
      <c r="O66" s="82"/>
      <c r="P66" s="82"/>
      <c r="Q66" s="82">
        <f>$G$5*SUM($O$14:O66)-$H$5*SUM($P$14:P66)</f>
        <v>-42369.391500000027</v>
      </c>
      <c r="R66" s="82">
        <f t="shared" si="17"/>
        <v>72364.591231070284</v>
      </c>
      <c r="S66" s="143"/>
      <c r="U66" s="75">
        <v>45847.625</v>
      </c>
      <c r="V66" s="54">
        <v>94.17</v>
      </c>
      <c r="W66" s="75">
        <v>45845.625</v>
      </c>
      <c r="X66" s="54">
        <v>101.348</v>
      </c>
      <c r="Y66" s="125">
        <v>45852.625</v>
      </c>
      <c r="Z66" s="54">
        <v>121.74</v>
      </c>
      <c r="AA66" s="75">
        <v>45933.625</v>
      </c>
      <c r="AB66" s="54">
        <v>99.492999999999995</v>
      </c>
      <c r="AG66" s="75"/>
      <c r="AH66" s="58"/>
      <c r="AI66" s="75"/>
      <c r="AJ66" s="58"/>
      <c r="AK66" s="75"/>
      <c r="AM66" s="75"/>
      <c r="AO66" s="75"/>
      <c r="AP66" s="58"/>
      <c r="AQ66" s="75"/>
      <c r="AW66" s="57"/>
      <c r="AX66" s="57"/>
      <c r="AY66" s="57"/>
      <c r="AZ66" s="57"/>
      <c r="BA66" s="57"/>
      <c r="BB66" s="57"/>
      <c r="BC66" s="57"/>
      <c r="BE66" s="75">
        <v>45846.625</v>
      </c>
      <c r="BF66" s="54">
        <v>79.989999999999995</v>
      </c>
      <c r="BI66" s="75">
        <v>45846.625</v>
      </c>
      <c r="BJ66" s="54">
        <v>108.1</v>
      </c>
      <c r="BS66" s="75"/>
      <c r="BT66" s="58"/>
      <c r="BU66" s="75"/>
      <c r="BV66" s="58"/>
      <c r="BW66" s="75"/>
      <c r="BY66" s="75"/>
      <c r="CA66" s="129">
        <v>45852.625</v>
      </c>
      <c r="CB66" s="54">
        <v>107.4284</v>
      </c>
      <c r="CC66" s="129">
        <v>45852.625</v>
      </c>
      <c r="CD66" s="54">
        <v>50.954000000000001</v>
      </c>
      <c r="CO66" s="129">
        <v>45847.625</v>
      </c>
      <c r="CP66" s="54">
        <v>278.82100000000003</v>
      </c>
      <c r="CQ66" s="129">
        <v>45847.625</v>
      </c>
      <c r="CR66" s="54">
        <v>53.445999999999998</v>
      </c>
    </row>
    <row r="67" spans="1:96" x14ac:dyDescent="0.3">
      <c r="A67" s="142">
        <v>45919.625</v>
      </c>
      <c r="B67" s="76">
        <f t="shared" si="22"/>
        <v>92.67</v>
      </c>
      <c r="C67" s="31">
        <f t="shared" si="8"/>
        <v>-327476.03833865881</v>
      </c>
      <c r="D67" s="32">
        <f t="shared" si="9"/>
        <v>-214437.5</v>
      </c>
      <c r="E67" s="76">
        <f t="shared" si="23"/>
        <v>100.904</v>
      </c>
      <c r="F67" s="31">
        <f t="shared" si="10"/>
        <v>-67400.000000000669</v>
      </c>
      <c r="G67" s="32">
        <f t="shared" si="11"/>
        <v>-76345.602166666693</v>
      </c>
      <c r="H67" s="76">
        <f t="shared" si="24"/>
        <v>120.71</v>
      </c>
      <c r="I67" s="31">
        <f t="shared" si="12"/>
        <v>-419770.30352748767</v>
      </c>
      <c r="J67" s="32">
        <f t="shared" si="13"/>
        <v>-368832.5</v>
      </c>
      <c r="K67" s="76">
        <f t="shared" si="25"/>
        <v>99.414000000000001</v>
      </c>
      <c r="L67" s="31">
        <f t="shared" si="14"/>
        <v>-141860.00000000148</v>
      </c>
      <c r="M67" s="32">
        <f t="shared" si="15"/>
        <v>-167927.91844444443</v>
      </c>
      <c r="N67" s="82">
        <f t="shared" si="16"/>
        <v>80646.948911050305</v>
      </c>
      <c r="O67" s="82"/>
      <c r="P67" s="82"/>
      <c r="Q67" s="82">
        <f>$G$5*SUM($O$14:O67)-$H$5*SUM($P$14:P67)</f>
        <v>-42369.391500000027</v>
      </c>
      <c r="R67" s="82">
        <f t="shared" si="17"/>
        <v>38277.557411050278</v>
      </c>
      <c r="S67" s="143"/>
      <c r="U67" s="75">
        <v>45848.625</v>
      </c>
      <c r="V67" s="54">
        <v>94.22</v>
      </c>
      <c r="W67" s="75">
        <v>45846.625</v>
      </c>
      <c r="X67" s="54">
        <v>101.241</v>
      </c>
      <c r="Y67" s="125">
        <v>45853.625</v>
      </c>
      <c r="Z67" s="54">
        <v>121.85</v>
      </c>
      <c r="AA67" s="75">
        <v>45936.625</v>
      </c>
      <c r="AB67" s="54">
        <v>99.536000000000001</v>
      </c>
      <c r="AG67" s="75"/>
      <c r="AH67" s="58"/>
      <c r="AI67" s="75"/>
      <c r="AJ67" s="58"/>
      <c r="AK67" s="75"/>
      <c r="AM67" s="75"/>
      <c r="AO67" s="75"/>
      <c r="AP67" s="58"/>
      <c r="AQ67" s="75"/>
      <c r="BE67" s="75">
        <v>45847.625</v>
      </c>
      <c r="BF67" s="54">
        <v>80.209999999999994</v>
      </c>
      <c r="BI67" s="75">
        <v>45847.625</v>
      </c>
      <c r="BJ67" s="54">
        <v>108.71</v>
      </c>
      <c r="BS67" s="75"/>
      <c r="BT67" s="58"/>
      <c r="BU67" s="75"/>
      <c r="BV67" s="58"/>
      <c r="BW67" s="75"/>
      <c r="BY67" s="75"/>
      <c r="CA67" s="129">
        <v>45853.625</v>
      </c>
      <c r="CB67" s="54">
        <v>107.2017</v>
      </c>
      <c r="CC67" s="129">
        <v>45853.625</v>
      </c>
      <c r="CD67" s="54">
        <v>51.889000000000003</v>
      </c>
      <c r="CO67" s="129">
        <v>45848.625</v>
      </c>
      <c r="CP67" s="54">
        <v>278.61399999999998</v>
      </c>
      <c r="CQ67" s="129">
        <v>45848.625</v>
      </c>
      <c r="CR67" s="54">
        <v>53.453000000000003</v>
      </c>
    </row>
    <row r="68" spans="1:96" x14ac:dyDescent="0.3">
      <c r="A68" s="142">
        <v>45922.625</v>
      </c>
      <c r="B68" s="76">
        <f t="shared" si="22"/>
        <v>92.52</v>
      </c>
      <c r="C68" s="31">
        <f t="shared" si="8"/>
        <v>-367412.14057508245</v>
      </c>
      <c r="D68" s="32">
        <f t="shared" si="9"/>
        <v>-223249.99999999997</v>
      </c>
      <c r="E68" s="76">
        <f t="shared" si="23"/>
        <v>100.913</v>
      </c>
      <c r="F68" s="31">
        <f t="shared" si="10"/>
        <v>-65600.000000000582</v>
      </c>
      <c r="G68" s="32">
        <f t="shared" si="11"/>
        <v>-79483.092666666649</v>
      </c>
      <c r="H68" s="76">
        <f t="shared" si="24"/>
        <v>120.61</v>
      </c>
      <c r="I68" s="31">
        <f t="shared" si="12"/>
        <v>-455045.11894996156</v>
      </c>
      <c r="J68" s="32">
        <f t="shared" si="13"/>
        <v>-383989.99999999994</v>
      </c>
      <c r="K68" s="76">
        <f t="shared" si="25"/>
        <v>99.441000000000003</v>
      </c>
      <c r="L68" s="31">
        <f t="shared" si="14"/>
        <v>-130790.00000000108</v>
      </c>
      <c r="M68" s="32">
        <f t="shared" si="15"/>
        <v>-174829.06577777772</v>
      </c>
      <c r="N68" s="82">
        <f t="shared" si="16"/>
        <v>87837.005263767525</v>
      </c>
      <c r="O68" s="82"/>
      <c r="P68" s="82"/>
      <c r="Q68" s="82">
        <f>$G$5*SUM($O$14:O68)-$H$5*SUM($P$14:P68)</f>
        <v>-42369.391500000027</v>
      </c>
      <c r="R68" s="82">
        <f t="shared" si="17"/>
        <v>45467.613763767498</v>
      </c>
      <c r="S68" s="143"/>
      <c r="U68" s="75">
        <v>45849.625</v>
      </c>
      <c r="V68" s="54">
        <v>94.12</v>
      </c>
      <c r="W68" s="75">
        <v>45847.625</v>
      </c>
      <c r="X68" s="54">
        <v>101.289</v>
      </c>
      <c r="Y68" s="125">
        <v>45854.625</v>
      </c>
      <c r="Z68" s="54">
        <v>121.87</v>
      </c>
      <c r="AA68" s="75">
        <v>45937.625</v>
      </c>
      <c r="AB68" s="54">
        <v>99.483000000000004</v>
      </c>
      <c r="AG68" s="75"/>
      <c r="AH68" s="58"/>
      <c r="AI68" s="75"/>
      <c r="AJ68" s="58"/>
      <c r="AK68" s="75"/>
      <c r="AM68" s="75"/>
      <c r="AO68" s="75"/>
      <c r="AP68" s="58"/>
      <c r="AQ68" s="75"/>
      <c r="BE68" s="75">
        <v>45848.625</v>
      </c>
      <c r="BF68" s="54">
        <v>80.13</v>
      </c>
      <c r="BI68" s="75">
        <v>45848.625</v>
      </c>
      <c r="BJ68" s="54">
        <v>108.74</v>
      </c>
      <c r="BS68" s="75"/>
      <c r="BT68" s="58"/>
      <c r="BU68" s="75"/>
      <c r="BV68" s="58"/>
      <c r="BW68" s="75"/>
      <c r="BY68" s="75"/>
      <c r="CA68" s="129">
        <v>45854.625</v>
      </c>
      <c r="CB68" s="54">
        <v>107.2169</v>
      </c>
      <c r="CC68" s="129">
        <v>45854.625</v>
      </c>
      <c r="CD68" s="54">
        <v>51.680999999999997</v>
      </c>
      <c r="CO68" s="129">
        <v>45849.625</v>
      </c>
      <c r="CP68" s="54">
        <v>281.92899999999997</v>
      </c>
      <c r="CQ68" s="129">
        <v>45849.625</v>
      </c>
      <c r="CR68" s="54">
        <v>54.234999999999999</v>
      </c>
    </row>
    <row r="69" spans="1:96" x14ac:dyDescent="0.3">
      <c r="A69" s="142">
        <v>45923.625</v>
      </c>
      <c r="B69" s="76">
        <f t="shared" si="22"/>
        <v>92.67</v>
      </c>
      <c r="C69" s="31">
        <f t="shared" si="8"/>
        <v>-327476.03833865881</v>
      </c>
      <c r="D69" s="32">
        <f t="shared" si="9"/>
        <v>-226187.49999999994</v>
      </c>
      <c r="E69" s="76">
        <f t="shared" si="23"/>
        <v>100.883</v>
      </c>
      <c r="F69" s="31">
        <f t="shared" si="10"/>
        <v>-71600.000000000815</v>
      </c>
      <c r="G69" s="32">
        <f t="shared" si="11"/>
        <v>-80528.922833333272</v>
      </c>
      <c r="H69" s="76">
        <f t="shared" si="24"/>
        <v>120.6</v>
      </c>
      <c r="I69" s="31">
        <f t="shared" si="12"/>
        <v>-458572.6004922085</v>
      </c>
      <c r="J69" s="32">
        <f t="shared" si="13"/>
        <v>-389042.49999999994</v>
      </c>
      <c r="K69" s="76">
        <f t="shared" si="25"/>
        <v>99.381</v>
      </c>
      <c r="L69" s="31">
        <f t="shared" si="14"/>
        <v>-155390.00000000201</v>
      </c>
      <c r="M69" s="32">
        <f t="shared" si="15"/>
        <v>-177129.44822222221</v>
      </c>
      <c r="N69" s="82">
        <f t="shared" si="16"/>
        <v>113561.03676465951</v>
      </c>
      <c r="O69" s="82"/>
      <c r="P69" s="82"/>
      <c r="Q69" s="82">
        <f>$G$5*SUM($O$14:O69)-$H$5*SUM($P$14:P69)</f>
        <v>-42369.391500000027</v>
      </c>
      <c r="R69" s="82">
        <f t="shared" si="17"/>
        <v>71191.645264659484</v>
      </c>
      <c r="S69" s="143"/>
      <c r="U69" s="75">
        <v>45852.625</v>
      </c>
      <c r="V69" s="54">
        <v>94.05</v>
      </c>
      <c r="W69" s="75">
        <v>45848.625</v>
      </c>
      <c r="X69" s="54">
        <v>101.181</v>
      </c>
      <c r="Y69" s="125">
        <v>45855.625</v>
      </c>
      <c r="Z69" s="54">
        <v>120.13</v>
      </c>
      <c r="AA69" s="75">
        <v>45938.625</v>
      </c>
      <c r="AB69" s="54">
        <v>99.673000000000002</v>
      </c>
      <c r="AG69" s="75"/>
      <c r="AH69" s="58"/>
      <c r="AI69" s="75"/>
      <c r="AJ69" s="58"/>
      <c r="AK69" s="75"/>
      <c r="AM69" s="75"/>
      <c r="AO69" s="75"/>
      <c r="AP69" s="58"/>
      <c r="AQ69" s="75"/>
      <c r="BE69" s="75">
        <v>45849.625</v>
      </c>
      <c r="BF69" s="54">
        <v>80.03</v>
      </c>
      <c r="BI69" s="75">
        <v>45849.625</v>
      </c>
      <c r="BJ69" s="54">
        <v>108.08</v>
      </c>
      <c r="BS69" s="75"/>
      <c r="BT69" s="58"/>
      <c r="BU69" s="75"/>
      <c r="BV69" s="58"/>
      <c r="BW69" s="75"/>
      <c r="BY69" s="75"/>
      <c r="CA69" s="129">
        <v>45855.625</v>
      </c>
      <c r="CB69" s="54">
        <v>107.4862</v>
      </c>
      <c r="CC69" s="129">
        <v>45855.625</v>
      </c>
      <c r="CD69" s="54">
        <v>50.808</v>
      </c>
      <c r="CO69" s="129">
        <v>45852.625</v>
      </c>
      <c r="CP69" s="54">
        <v>283.81700000000001</v>
      </c>
      <c r="CQ69" s="129">
        <v>45852.625</v>
      </c>
      <c r="CR69" s="54">
        <v>54.883000000000003</v>
      </c>
    </row>
    <row r="70" spans="1:96" x14ac:dyDescent="0.3">
      <c r="A70" s="142">
        <v>45924.625</v>
      </c>
      <c r="B70" s="76">
        <f t="shared" si="22"/>
        <v>92.59</v>
      </c>
      <c r="C70" s="31">
        <f t="shared" si="8"/>
        <v>-348775.29286475031</v>
      </c>
      <c r="D70" s="32">
        <f t="shared" si="9"/>
        <v>-229125</v>
      </c>
      <c r="E70" s="76">
        <f t="shared" si="23"/>
        <v>100.893</v>
      </c>
      <c r="F70" s="31">
        <f t="shared" si="10"/>
        <v>-69599.999999999796</v>
      </c>
      <c r="G70" s="32">
        <f t="shared" si="11"/>
        <v>-81574.752999999982</v>
      </c>
      <c r="H70" s="76">
        <f t="shared" si="24"/>
        <v>120.67</v>
      </c>
      <c r="I70" s="31">
        <f t="shared" si="12"/>
        <v>-433880.22969647532</v>
      </c>
      <c r="J70" s="32">
        <f t="shared" si="13"/>
        <v>-394095</v>
      </c>
      <c r="K70" s="76">
        <f t="shared" si="25"/>
        <v>99.414000000000001</v>
      </c>
      <c r="L70" s="31">
        <f t="shared" si="14"/>
        <v>-141860.00000000148</v>
      </c>
      <c r="M70" s="32">
        <f t="shared" si="15"/>
        <v>-179429.83066666668</v>
      </c>
      <c r="N70" s="82">
        <f t="shared" si="16"/>
        <v>79959.859165056521</v>
      </c>
      <c r="O70" s="82"/>
      <c r="P70" s="82"/>
      <c r="Q70" s="82">
        <f>$G$5*SUM($O$14:O70)-$H$5*SUM($P$14:P70)</f>
        <v>-42369.391500000027</v>
      </c>
      <c r="R70" s="82">
        <f t="shared" si="17"/>
        <v>37590.467665056494</v>
      </c>
      <c r="S70" s="143"/>
      <c r="U70" s="75">
        <v>45853.625</v>
      </c>
      <c r="V70" s="54">
        <v>94.05</v>
      </c>
      <c r="W70" s="75">
        <v>45849.625</v>
      </c>
      <c r="X70" s="54">
        <v>101.123</v>
      </c>
      <c r="Y70" s="125">
        <v>45856.625</v>
      </c>
      <c r="Z70" s="54">
        <v>120.01</v>
      </c>
      <c r="AA70" s="75">
        <v>45939.625</v>
      </c>
      <c r="AB70" s="54">
        <v>99.552999999999997</v>
      </c>
      <c r="AG70" s="75"/>
      <c r="AH70" s="58"/>
      <c r="AI70" s="75"/>
      <c r="AJ70" s="58"/>
      <c r="AK70" s="75"/>
      <c r="AM70" s="75"/>
      <c r="AO70" s="75"/>
      <c r="AP70" s="58"/>
      <c r="AQ70" s="75"/>
      <c r="BE70" s="75">
        <v>45852.625</v>
      </c>
      <c r="BF70" s="54">
        <v>80.09</v>
      </c>
      <c r="BI70" s="75">
        <v>45852.625</v>
      </c>
      <c r="BJ70" s="54">
        <v>108.05</v>
      </c>
      <c r="BS70" s="75"/>
      <c r="BT70" s="58"/>
      <c r="BU70" s="75"/>
      <c r="BV70" s="58"/>
      <c r="BW70" s="75"/>
      <c r="BY70" s="75"/>
      <c r="CA70" s="129">
        <v>45856.625</v>
      </c>
      <c r="CB70" s="54">
        <v>107.51779999999999</v>
      </c>
      <c r="CC70" s="129">
        <v>45856.625</v>
      </c>
      <c r="CD70" s="54">
        <v>50.996000000000002</v>
      </c>
      <c r="CO70" s="129">
        <v>45853.625</v>
      </c>
      <c r="CP70" s="54">
        <v>284.40899999999999</v>
      </c>
      <c r="CQ70" s="129">
        <v>45853.625</v>
      </c>
      <c r="CR70" s="54">
        <v>55.322000000000003</v>
      </c>
    </row>
    <row r="71" spans="1:96" x14ac:dyDescent="0.3">
      <c r="A71" s="142">
        <v>45925.625</v>
      </c>
      <c r="B71" s="76">
        <f t="shared" si="22"/>
        <v>92.45</v>
      </c>
      <c r="C71" s="31">
        <f t="shared" si="8"/>
        <v>-386048.98828541179</v>
      </c>
      <c r="D71" s="32">
        <f t="shared" si="9"/>
        <v>-232062.49999999997</v>
      </c>
      <c r="E71" s="76">
        <f t="shared" si="23"/>
        <v>100.822</v>
      </c>
      <c r="F71" s="31">
        <f t="shared" si="10"/>
        <v>-83799.999999999374</v>
      </c>
      <c r="G71" s="32">
        <f t="shared" si="11"/>
        <v>-82620.583166666649</v>
      </c>
      <c r="H71" s="76">
        <f t="shared" si="24"/>
        <v>120.43</v>
      </c>
      <c r="I71" s="31">
        <f t="shared" si="12"/>
        <v>-518539.78671042033</v>
      </c>
      <c r="J71" s="32">
        <f t="shared" si="13"/>
        <v>-399147.49999999994</v>
      </c>
      <c r="K71" s="76">
        <f t="shared" si="25"/>
        <v>99.263000000000005</v>
      </c>
      <c r="L71" s="31">
        <f t="shared" si="14"/>
        <v>-203769.99999999994</v>
      </c>
      <c r="M71" s="32">
        <f t="shared" si="15"/>
        <v>-181730.21311111108</v>
      </c>
      <c r="N71" s="82">
        <f t="shared" si="16"/>
        <v>80496.168480563618</v>
      </c>
      <c r="O71" s="82"/>
      <c r="P71" s="82"/>
      <c r="Q71" s="82">
        <f>$G$5*SUM($O$14:O71)-$H$5*SUM($P$14:P71)</f>
        <v>-42369.391500000027</v>
      </c>
      <c r="R71" s="82">
        <f t="shared" si="17"/>
        <v>38126.776980563591</v>
      </c>
      <c r="S71" s="143"/>
      <c r="U71" s="75">
        <v>45854.625</v>
      </c>
      <c r="V71" s="54">
        <v>93.96</v>
      </c>
      <c r="W71" s="75">
        <v>45852.625</v>
      </c>
      <c r="X71" s="54">
        <v>101.181</v>
      </c>
      <c r="Y71" s="125">
        <v>45859.625</v>
      </c>
      <c r="Z71" s="54">
        <v>120.31</v>
      </c>
      <c r="AA71" s="75">
        <v>45940.625</v>
      </c>
      <c r="AB71" s="54">
        <v>99.754000000000005</v>
      </c>
      <c r="AG71" s="75"/>
      <c r="AH71" s="58"/>
      <c r="AI71" s="75"/>
      <c r="AJ71" s="58"/>
      <c r="AK71" s="75"/>
      <c r="AM71" s="75"/>
      <c r="AO71" s="75"/>
      <c r="AP71" s="58"/>
      <c r="AQ71" s="75"/>
      <c r="BE71" s="75">
        <v>45853.625</v>
      </c>
      <c r="BF71" s="54">
        <v>79.849999999999994</v>
      </c>
      <c r="BI71" s="75">
        <v>45853.625</v>
      </c>
      <c r="BJ71" s="54">
        <v>107.66</v>
      </c>
      <c r="BS71" s="75"/>
      <c r="BT71" s="58"/>
      <c r="BU71" s="75"/>
      <c r="BV71" s="58"/>
      <c r="BW71" s="75"/>
      <c r="BY71" s="75"/>
      <c r="CA71" s="129">
        <v>45859.625</v>
      </c>
      <c r="CB71" s="54">
        <v>107.4918</v>
      </c>
      <c r="CC71" s="129">
        <v>45859.625</v>
      </c>
      <c r="CD71" s="54">
        <v>51.058999999999997</v>
      </c>
      <c r="CO71" s="129">
        <v>45854.625</v>
      </c>
      <c r="CP71" s="54">
        <v>285.31700000000001</v>
      </c>
      <c r="CQ71" s="129">
        <v>45854.625</v>
      </c>
      <c r="CR71" s="54">
        <v>55.634</v>
      </c>
    </row>
    <row r="72" spans="1:96" x14ac:dyDescent="0.3">
      <c r="A72" s="142">
        <v>45926.625</v>
      </c>
      <c r="B72" s="76">
        <f t="shared" si="22"/>
        <v>92.46</v>
      </c>
      <c r="C72" s="31">
        <f t="shared" si="8"/>
        <v>-383386.58146965242</v>
      </c>
      <c r="D72" s="32">
        <f t="shared" si="9"/>
        <v>-234999.99999999997</v>
      </c>
      <c r="E72" s="76">
        <f t="shared" si="23"/>
        <v>100.866</v>
      </c>
      <c r="F72" s="31">
        <f t="shared" si="10"/>
        <v>-75000</v>
      </c>
      <c r="G72" s="32">
        <f t="shared" si="11"/>
        <v>-83666.413333333301</v>
      </c>
      <c r="H72" s="76">
        <f t="shared" si="24"/>
        <v>120.43</v>
      </c>
      <c r="I72" s="31">
        <f t="shared" si="12"/>
        <v>-518539.78671042033</v>
      </c>
      <c r="J72" s="32">
        <f t="shared" si="13"/>
        <v>-404199.99999999994</v>
      </c>
      <c r="K72" s="76">
        <f t="shared" si="25"/>
        <v>99.38</v>
      </c>
      <c r="L72" s="31">
        <f t="shared" si="14"/>
        <v>-155800.00000000396</v>
      </c>
      <c r="M72" s="32">
        <f t="shared" si="15"/>
        <v>-184030.59555555551</v>
      </c>
      <c r="N72" s="82">
        <f t="shared" si="16"/>
        <v>123189.02301854177</v>
      </c>
      <c r="O72" s="82"/>
      <c r="P72" s="82"/>
      <c r="Q72" s="82">
        <f>$G$5*SUM($O$14:O72)-$H$5*SUM($P$14:P72)</f>
        <v>-42369.391500000027</v>
      </c>
      <c r="R72" s="82">
        <f t="shared" si="17"/>
        <v>80819.631518541748</v>
      </c>
      <c r="S72" s="143"/>
      <c r="U72" s="75">
        <v>45855.625</v>
      </c>
      <c r="V72" s="54">
        <v>94.08</v>
      </c>
      <c r="W72" s="75">
        <v>45853.625</v>
      </c>
      <c r="X72" s="54">
        <v>101.23699999999999</v>
      </c>
      <c r="Y72" s="125">
        <v>45860.625</v>
      </c>
      <c r="Z72" s="54">
        <v>120.48</v>
      </c>
      <c r="AA72" s="75">
        <v>45943.625</v>
      </c>
      <c r="AB72" s="54">
        <v>99.923000000000002</v>
      </c>
      <c r="AG72" s="75"/>
      <c r="AH72" s="58"/>
      <c r="AI72" s="75"/>
      <c r="AJ72" s="58"/>
      <c r="AK72" s="75"/>
      <c r="AM72" s="75"/>
      <c r="AO72" s="75"/>
      <c r="AP72" s="58"/>
      <c r="AQ72" s="75"/>
      <c r="BE72" s="75">
        <v>45854.625</v>
      </c>
      <c r="BF72" s="54">
        <v>80.06</v>
      </c>
      <c r="BI72" s="75">
        <v>45854.625</v>
      </c>
      <c r="BJ72" s="54">
        <v>107.83</v>
      </c>
      <c r="BS72" s="75"/>
      <c r="BT72" s="58"/>
      <c r="BU72" s="75"/>
      <c r="BV72" s="58"/>
      <c r="BW72" s="75"/>
      <c r="BY72" s="75"/>
      <c r="CA72" s="129">
        <v>45860.625</v>
      </c>
      <c r="CB72" s="54">
        <v>107.44840000000001</v>
      </c>
      <c r="CC72" s="129">
        <v>45860.625</v>
      </c>
      <c r="CD72" s="54">
        <v>51.103000000000002</v>
      </c>
      <c r="CO72" s="129">
        <v>45855.625</v>
      </c>
      <c r="CP72" s="54">
        <v>279.93299999999999</v>
      </c>
      <c r="CQ72" s="129">
        <v>45855.625</v>
      </c>
      <c r="CR72" s="54">
        <v>54.454000000000001</v>
      </c>
    </row>
    <row r="73" spans="1:96" x14ac:dyDescent="0.3">
      <c r="A73" s="142">
        <v>45929.625</v>
      </c>
      <c r="B73" s="76">
        <f t="shared" si="22"/>
        <v>92.5</v>
      </c>
      <c r="C73" s="31">
        <f t="shared" si="8"/>
        <v>-372736.95420660393</v>
      </c>
      <c r="D73" s="32">
        <f t="shared" si="9"/>
        <v>-243812.50000000003</v>
      </c>
      <c r="E73" s="76">
        <f t="shared" si="23"/>
        <v>100.89</v>
      </c>
      <c r="F73" s="31">
        <f t="shared" si="10"/>
        <v>-70199.999999999825</v>
      </c>
      <c r="G73" s="32">
        <f t="shared" si="11"/>
        <v>-86803.903833333359</v>
      </c>
      <c r="H73" s="76">
        <f t="shared" si="24"/>
        <v>120.76</v>
      </c>
      <c r="I73" s="31">
        <f t="shared" si="12"/>
        <v>-402132.89581624354</v>
      </c>
      <c r="J73" s="32">
        <f t="shared" si="13"/>
        <v>-419357.50000000006</v>
      </c>
      <c r="K73" s="76">
        <f t="shared" si="25"/>
        <v>99.456000000000003</v>
      </c>
      <c r="L73" s="31">
        <f t="shared" si="14"/>
        <v>-124640.00000000084</v>
      </c>
      <c r="M73" s="32">
        <f t="shared" si="15"/>
        <v>-190931.74288888896</v>
      </c>
      <c r="N73" s="82">
        <f t="shared" si="16"/>
        <v>46373.102554083103</v>
      </c>
      <c r="O73" s="82"/>
      <c r="P73" s="82"/>
      <c r="Q73" s="82">
        <f>$G$5*SUM($O$14:O73)-$H$5*SUM($P$14:P73)</f>
        <v>-42369.391500000027</v>
      </c>
      <c r="R73" s="82">
        <f t="shared" si="17"/>
        <v>4003.7110540830763</v>
      </c>
      <c r="S73" s="143"/>
      <c r="U73" s="75">
        <v>45856.625</v>
      </c>
      <c r="V73" s="54">
        <v>94.09</v>
      </c>
      <c r="W73" s="75">
        <v>45854.625</v>
      </c>
      <c r="X73" s="54">
        <v>101.31</v>
      </c>
      <c r="Y73" s="125">
        <v>45861.625</v>
      </c>
      <c r="Z73" s="54">
        <v>120.5</v>
      </c>
      <c r="AA73" s="75">
        <v>45944.625</v>
      </c>
      <c r="AB73" s="54">
        <v>99.977999999999994</v>
      </c>
      <c r="AG73" s="75"/>
      <c r="AH73" s="58"/>
      <c r="AI73" s="75"/>
      <c r="AJ73" s="58"/>
      <c r="AK73" s="75"/>
      <c r="AM73" s="75"/>
      <c r="AO73" s="75"/>
      <c r="AP73" s="58"/>
      <c r="AQ73" s="75"/>
      <c r="BE73" s="75">
        <v>45855.625</v>
      </c>
      <c r="BF73" s="54">
        <v>80.14</v>
      </c>
      <c r="BI73" s="75">
        <v>45855.625</v>
      </c>
      <c r="BJ73" s="54">
        <v>108.09</v>
      </c>
      <c r="BS73" s="75"/>
      <c r="BT73" s="58"/>
      <c r="BU73" s="75"/>
      <c r="BV73" s="58"/>
      <c r="BW73" s="75"/>
      <c r="BY73" s="75"/>
      <c r="CA73" s="129">
        <v>45861.625</v>
      </c>
      <c r="CB73" s="54">
        <v>107.6756</v>
      </c>
      <c r="CC73" s="129">
        <v>45861.625</v>
      </c>
      <c r="CD73" s="54">
        <v>50.188000000000002</v>
      </c>
      <c r="CO73" s="129">
        <v>45856.625</v>
      </c>
      <c r="CP73" s="54">
        <v>277.86799999999999</v>
      </c>
      <c r="CQ73" s="129">
        <v>45856.625</v>
      </c>
      <c r="CR73" s="54">
        <v>53.975999999999999</v>
      </c>
    </row>
    <row r="74" spans="1:96" x14ac:dyDescent="0.3">
      <c r="A74" s="142">
        <v>45930.625</v>
      </c>
      <c r="B74" s="76">
        <f t="shared" si="22"/>
        <v>92.47</v>
      </c>
      <c r="C74" s="31">
        <f t="shared" si="8"/>
        <v>-380724.17465388752</v>
      </c>
      <c r="D74" s="32">
        <f t="shared" si="9"/>
        <v>-246750</v>
      </c>
      <c r="E74" s="76">
        <f t="shared" si="23"/>
        <v>100.89400000000001</v>
      </c>
      <c r="F74" s="31">
        <f t="shared" si="10"/>
        <v>-69399.999999998836</v>
      </c>
      <c r="G74" s="32">
        <f t="shared" si="11"/>
        <v>-87849.733999999997</v>
      </c>
      <c r="H74" s="76">
        <f t="shared" si="24"/>
        <v>120.78</v>
      </c>
      <c r="I74" s="31">
        <f t="shared" si="12"/>
        <v>-395077.93273174972</v>
      </c>
      <c r="J74" s="32">
        <f t="shared" si="13"/>
        <v>-424410</v>
      </c>
      <c r="K74" s="76">
        <f t="shared" si="25"/>
        <v>99.484999999999999</v>
      </c>
      <c r="L74" s="31">
        <f t="shared" si="14"/>
        <v>-112750.00000000233</v>
      </c>
      <c r="M74" s="32">
        <f t="shared" si="15"/>
        <v>-193232.12533333333</v>
      </c>
      <c r="N74" s="82">
        <f t="shared" si="16"/>
        <v>43281.366744525381</v>
      </c>
      <c r="O74" s="82"/>
      <c r="P74" s="82"/>
      <c r="Q74" s="82">
        <f>$G$5*SUM($O$14:O74)-$H$5*SUM($P$14:P74)</f>
        <v>-42369.391500000027</v>
      </c>
      <c r="R74" s="82">
        <f t="shared" si="17"/>
        <v>911.97524452535436</v>
      </c>
      <c r="S74" s="143"/>
      <c r="U74" s="75">
        <v>45859.625</v>
      </c>
      <c r="V74" s="54">
        <v>94.13</v>
      </c>
      <c r="W74" s="75">
        <v>45855.625</v>
      </c>
      <c r="X74" s="54">
        <v>101.328</v>
      </c>
      <c r="Y74" s="125">
        <v>45862.625</v>
      </c>
      <c r="Z74" s="54">
        <v>120.16</v>
      </c>
      <c r="AA74" s="75">
        <v>45945.625</v>
      </c>
      <c r="AB74" s="54">
        <v>100.18899999999999</v>
      </c>
      <c r="AG74" s="75"/>
      <c r="AH74" s="58"/>
      <c r="AI74" s="75"/>
      <c r="AJ74" s="58"/>
      <c r="AK74" s="75"/>
      <c r="AM74" s="75"/>
      <c r="AO74" s="75"/>
      <c r="AP74" s="58"/>
      <c r="AQ74" s="75"/>
      <c r="BE74" s="75">
        <v>45856.625</v>
      </c>
      <c r="BF74" s="54">
        <v>80.25</v>
      </c>
      <c r="BI74" s="75">
        <v>45856.625</v>
      </c>
      <c r="BJ74" s="54">
        <v>108.29</v>
      </c>
      <c r="BS74" s="75"/>
      <c r="BT74" s="58"/>
      <c r="BU74" s="75"/>
      <c r="BV74" s="58"/>
      <c r="BW74" s="75"/>
      <c r="BY74" s="75"/>
      <c r="CA74" s="129">
        <v>45862.625</v>
      </c>
      <c r="CB74" s="54">
        <v>107.5968</v>
      </c>
      <c r="CC74" s="129">
        <v>45862.625</v>
      </c>
      <c r="CD74" s="54">
        <v>50.165999999999997</v>
      </c>
      <c r="CO74" s="129">
        <v>45859.625</v>
      </c>
      <c r="CP74" s="54">
        <v>278.05399999999997</v>
      </c>
      <c r="CQ74" s="129">
        <v>45859.625</v>
      </c>
      <c r="CR74" s="54">
        <v>54.119</v>
      </c>
    </row>
    <row r="75" spans="1:96" x14ac:dyDescent="0.3">
      <c r="A75" s="142">
        <v>45931.625</v>
      </c>
      <c r="B75" s="76">
        <f t="shared" si="22"/>
        <v>92.57</v>
      </c>
      <c r="C75" s="31">
        <f t="shared" si="8"/>
        <v>-354100.10649627732</v>
      </c>
      <c r="D75" s="32">
        <f t="shared" si="9"/>
        <v>-249687.5</v>
      </c>
      <c r="E75" s="76">
        <f t="shared" si="23"/>
        <v>100.92</v>
      </c>
      <c r="F75" s="31">
        <f t="shared" si="10"/>
        <v>-64199.999999999585</v>
      </c>
      <c r="G75" s="32">
        <f t="shared" si="11"/>
        <v>-88895.564166666663</v>
      </c>
      <c r="H75" s="76">
        <f t="shared" si="24"/>
        <v>120.85</v>
      </c>
      <c r="I75" s="31">
        <f t="shared" si="12"/>
        <v>-370385.56193601654</v>
      </c>
      <c r="J75" s="32">
        <f t="shared" si="13"/>
        <v>-429462.5</v>
      </c>
      <c r="K75" s="76">
        <f t="shared" si="25"/>
        <v>99.536000000000001</v>
      </c>
      <c r="L75" s="31">
        <f t="shared" si="14"/>
        <v>-91840.000000001543</v>
      </c>
      <c r="M75" s="32">
        <f t="shared" si="15"/>
        <v>-195532.50777777776</v>
      </c>
      <c r="N75" s="82">
        <f t="shared" si="16"/>
        <v>61783.511828626157</v>
      </c>
      <c r="O75" s="82"/>
      <c r="P75" s="82"/>
      <c r="Q75" s="82">
        <f>$G$5*SUM($O$14:O75)-$H$5*SUM($P$14:P75)</f>
        <v>-42369.391500000027</v>
      </c>
      <c r="R75" s="82">
        <f t="shared" si="17"/>
        <v>19414.12032862613</v>
      </c>
      <c r="S75" s="143"/>
      <c r="U75" s="75">
        <v>45860.625</v>
      </c>
      <c r="V75" s="54">
        <v>94.13</v>
      </c>
      <c r="W75" s="75">
        <v>45856.625</v>
      </c>
      <c r="X75" s="54">
        <v>101.28</v>
      </c>
      <c r="Y75" s="125">
        <v>45863.625</v>
      </c>
      <c r="Z75" s="54">
        <v>120.06</v>
      </c>
      <c r="AA75" s="75">
        <v>45946.625</v>
      </c>
      <c r="AB75" s="54">
        <v>100.14700000000001</v>
      </c>
      <c r="AG75" s="75"/>
      <c r="AI75" s="75"/>
      <c r="AK75" s="75"/>
      <c r="AM75" s="75"/>
      <c r="AO75" s="75"/>
      <c r="AQ75" s="75"/>
      <c r="BE75" s="75">
        <v>45859.625</v>
      </c>
      <c r="BF75" s="54">
        <v>80.36</v>
      </c>
      <c r="BI75" s="75">
        <v>45859.625</v>
      </c>
      <c r="BJ75" s="54">
        <v>108.71</v>
      </c>
      <c r="BS75" s="75"/>
      <c r="BU75" s="75"/>
      <c r="BW75" s="75"/>
      <c r="BY75" s="75"/>
      <c r="CA75" s="129">
        <v>45863.625</v>
      </c>
      <c r="CB75" s="54">
        <v>107.6135</v>
      </c>
      <c r="CC75" s="129">
        <v>45863.625</v>
      </c>
      <c r="CD75" s="54">
        <v>49.981999999999999</v>
      </c>
      <c r="CO75" s="129">
        <v>45860.625</v>
      </c>
      <c r="CP75" s="54">
        <v>280.26299999999998</v>
      </c>
      <c r="CQ75" s="129">
        <v>45860.625</v>
      </c>
      <c r="CR75" s="54">
        <v>54.722000000000001</v>
      </c>
    </row>
    <row r="76" spans="1:96" x14ac:dyDescent="0.3">
      <c r="A76" s="142">
        <v>45932.625</v>
      </c>
      <c r="B76" s="76">
        <f t="shared" si="22"/>
        <v>92.64</v>
      </c>
      <c r="C76" s="31">
        <f t="shared" si="8"/>
        <v>-335463.25878594519</v>
      </c>
      <c r="D76" s="32">
        <f t="shared" si="9"/>
        <v>-252624.99999999997</v>
      </c>
      <c r="E76" s="76">
        <f t="shared" si="23"/>
        <v>100.905</v>
      </c>
      <c r="F76" s="31">
        <f t="shared" si="10"/>
        <v>-67199.999999999709</v>
      </c>
      <c r="G76" s="32">
        <f t="shared" si="11"/>
        <v>-89941.394333333345</v>
      </c>
      <c r="H76" s="76">
        <f t="shared" si="24"/>
        <v>120.92</v>
      </c>
      <c r="I76" s="31">
        <f t="shared" si="12"/>
        <v>-345693.19114027865</v>
      </c>
      <c r="J76" s="32">
        <f t="shared" si="13"/>
        <v>-434515</v>
      </c>
      <c r="K76" s="76">
        <f t="shared" si="25"/>
        <v>99.51</v>
      </c>
      <c r="L76" s="31">
        <f t="shared" si="14"/>
        <v>-102500</v>
      </c>
      <c r="M76" s="32">
        <f t="shared" si="15"/>
        <v>-197832.89022222228</v>
      </c>
      <c r="N76" s="82">
        <f t="shared" si="16"/>
        <v>48928.436465444305</v>
      </c>
      <c r="O76" s="82"/>
      <c r="P76" s="82"/>
      <c r="Q76" s="82">
        <f>$G$5*SUM($O$14:O76)-$H$5*SUM($P$14:P76)</f>
        <v>-42369.391500000027</v>
      </c>
      <c r="R76" s="82">
        <f t="shared" si="17"/>
        <v>6559.0449654442782</v>
      </c>
      <c r="S76" s="143"/>
      <c r="U76" s="75">
        <v>45861.625</v>
      </c>
      <c r="V76" s="54">
        <v>94.21</v>
      </c>
      <c r="W76" s="75">
        <v>45859.625</v>
      </c>
      <c r="X76" s="54">
        <v>101.45</v>
      </c>
      <c r="Y76" s="125">
        <v>45866.625</v>
      </c>
      <c r="Z76" s="54">
        <v>120.25</v>
      </c>
      <c r="AA76" s="75">
        <v>45947.625</v>
      </c>
      <c r="AB76" s="54">
        <v>100.146</v>
      </c>
      <c r="AG76" s="75"/>
      <c r="AI76" s="75"/>
      <c r="AK76" s="75"/>
      <c r="AM76" s="75"/>
      <c r="AO76" s="75"/>
      <c r="AQ76" s="75"/>
      <c r="BE76" s="75">
        <v>45860.625</v>
      </c>
      <c r="BF76" s="54">
        <v>80.5</v>
      </c>
      <c r="BI76" s="75">
        <v>45860.625</v>
      </c>
      <c r="BJ76" s="54">
        <v>108.97</v>
      </c>
      <c r="BS76" s="75"/>
      <c r="BU76" s="75"/>
      <c r="BW76" s="75"/>
      <c r="BY76" s="75"/>
      <c r="CA76" s="129">
        <v>45866.625</v>
      </c>
      <c r="CB76" s="54">
        <v>107.57810000000001</v>
      </c>
      <c r="CC76" s="129">
        <v>45866.625</v>
      </c>
      <c r="CD76" s="54">
        <v>50.213999999999999</v>
      </c>
      <c r="CO76" s="129">
        <v>45861.625</v>
      </c>
      <c r="CP76" s="54">
        <v>276.29399999999998</v>
      </c>
      <c r="CQ76" s="129">
        <v>45861.625</v>
      </c>
      <c r="CR76" s="54">
        <v>53.884</v>
      </c>
    </row>
    <row r="77" spans="1:96" x14ac:dyDescent="0.3">
      <c r="A77" s="142">
        <v>45933.625</v>
      </c>
      <c r="B77" s="76">
        <f t="shared" si="22"/>
        <v>92.6</v>
      </c>
      <c r="C77" s="31">
        <f t="shared" si="8"/>
        <v>-346112.88604899094</v>
      </c>
      <c r="D77" s="32">
        <f t="shared" si="9"/>
        <v>-255562.49999999997</v>
      </c>
      <c r="E77" s="76">
        <f t="shared" si="23"/>
        <v>100.893</v>
      </c>
      <c r="F77" s="31">
        <f t="shared" si="10"/>
        <v>-69599.999999999796</v>
      </c>
      <c r="G77" s="32">
        <f t="shared" si="11"/>
        <v>-90987.224499999938</v>
      </c>
      <c r="H77" s="76">
        <f t="shared" si="24"/>
        <v>120.97</v>
      </c>
      <c r="I77" s="31">
        <f t="shared" si="12"/>
        <v>-328055.78342904407</v>
      </c>
      <c r="J77" s="32">
        <f t="shared" si="13"/>
        <v>-439567.49999999994</v>
      </c>
      <c r="K77" s="76">
        <f t="shared" si="25"/>
        <v>99.492999999999995</v>
      </c>
      <c r="L77" s="31">
        <f t="shared" si="14"/>
        <v>-109470.00000000415</v>
      </c>
      <c r="M77" s="32">
        <f t="shared" si="15"/>
        <v>-200133.27266666657</v>
      </c>
      <c r="N77" s="82">
        <f t="shared" si="16"/>
        <v>16931.849213382142</v>
      </c>
      <c r="O77" s="82"/>
      <c r="P77" s="82"/>
      <c r="Q77" s="82">
        <f>$G$5*SUM($O$14:O77)-$H$5*SUM($P$14:P77)</f>
        <v>-42369.391500000027</v>
      </c>
      <c r="R77" s="82">
        <f t="shared" si="17"/>
        <v>-25437.542286617885</v>
      </c>
      <c r="S77" s="143"/>
      <c r="U77" s="75">
        <v>45862.625</v>
      </c>
      <c r="V77" s="54">
        <v>94.34</v>
      </c>
      <c r="W77" s="75">
        <v>45860.625</v>
      </c>
      <c r="X77" s="54">
        <v>101.5</v>
      </c>
      <c r="Y77" s="125">
        <v>45867.625</v>
      </c>
      <c r="Z77" s="54">
        <v>120.32</v>
      </c>
      <c r="AG77" s="75"/>
      <c r="AI77" s="75"/>
      <c r="AK77" s="75"/>
      <c r="AM77" s="75"/>
      <c r="AO77" s="75"/>
      <c r="AQ77" s="75"/>
      <c r="BE77" s="75">
        <v>45861.625</v>
      </c>
      <c r="BF77" s="54">
        <v>80.540000000000006</v>
      </c>
      <c r="BI77" s="75">
        <v>45861.625</v>
      </c>
      <c r="BJ77" s="54">
        <v>108.8</v>
      </c>
      <c r="BS77" s="75"/>
      <c r="BU77" s="75"/>
      <c r="BW77" s="75"/>
      <c r="BY77" s="75"/>
      <c r="CA77" s="129">
        <v>45867.625</v>
      </c>
      <c r="CB77" s="54">
        <v>107.3954</v>
      </c>
      <c r="CC77" s="129">
        <v>45867.625</v>
      </c>
      <c r="CD77" s="54">
        <v>50.765000000000001</v>
      </c>
      <c r="CO77" s="129">
        <v>45862.625</v>
      </c>
      <c r="CP77" s="54">
        <v>269.95100000000002</v>
      </c>
      <c r="CQ77" s="129">
        <v>45862.625</v>
      </c>
      <c r="CR77" s="54">
        <v>52.994999999999997</v>
      </c>
    </row>
    <row r="78" spans="1:96" x14ac:dyDescent="0.3">
      <c r="A78" s="142">
        <v>45936.625</v>
      </c>
      <c r="B78" s="76">
        <f t="shared" si="22"/>
        <v>92.49</v>
      </c>
      <c r="C78" s="31">
        <f t="shared" si="8"/>
        <v>-375399.36102236604</v>
      </c>
      <c r="D78" s="32">
        <f t="shared" si="9"/>
        <v>-264375</v>
      </c>
      <c r="E78" s="76">
        <f t="shared" si="23"/>
        <v>100.928</v>
      </c>
      <c r="F78" s="31">
        <f t="shared" si="10"/>
        <v>-62600.000000000473</v>
      </c>
      <c r="G78" s="32">
        <f t="shared" si="11"/>
        <v>-94124.714999999997</v>
      </c>
      <c r="H78" s="76">
        <f t="shared" si="24"/>
        <v>120.96</v>
      </c>
      <c r="I78" s="31">
        <f t="shared" si="12"/>
        <v>-331583.26497129101</v>
      </c>
      <c r="J78" s="32">
        <f t="shared" si="13"/>
        <v>-454725</v>
      </c>
      <c r="K78" s="76">
        <f t="shared" si="25"/>
        <v>99.536000000000001</v>
      </c>
      <c r="L78" s="31">
        <f t="shared" si="14"/>
        <v>-91840.000000001543</v>
      </c>
      <c r="M78" s="32">
        <f t="shared" si="15"/>
        <v>-207034.41999999998</v>
      </c>
      <c r="N78" s="82">
        <f t="shared" si="16"/>
        <v>4384.1989489239349</v>
      </c>
      <c r="O78" s="82"/>
      <c r="P78" s="82"/>
      <c r="Q78" s="82">
        <f>$G$5*SUM($O$14:O78)-$H$5*SUM($P$14:P78)</f>
        <v>-42369.391500000027</v>
      </c>
      <c r="R78" s="82">
        <f t="shared" si="17"/>
        <v>-37985.192551076092</v>
      </c>
      <c r="S78" s="143"/>
      <c r="U78" s="75">
        <v>45863.625</v>
      </c>
      <c r="V78" s="54">
        <v>94.27</v>
      </c>
      <c r="W78" s="75">
        <v>45861.625</v>
      </c>
      <c r="X78" s="54">
        <v>101.505</v>
      </c>
      <c r="Y78" s="125">
        <v>45868.625</v>
      </c>
      <c r="Z78" s="54">
        <v>120.21</v>
      </c>
      <c r="AG78" s="75"/>
      <c r="AI78" s="75"/>
      <c r="AK78" s="75"/>
      <c r="AM78" s="75"/>
      <c r="AO78" s="75"/>
      <c r="AQ78" s="75"/>
      <c r="BE78" s="75">
        <v>45862.625</v>
      </c>
      <c r="BF78" s="54">
        <v>80.44</v>
      </c>
      <c r="BI78" s="75">
        <v>45862.625</v>
      </c>
      <c r="BJ78" s="54">
        <v>108.64</v>
      </c>
      <c r="BS78" s="75"/>
      <c r="BU78" s="75"/>
      <c r="BW78" s="75"/>
      <c r="BY78" s="75"/>
      <c r="CA78" s="129">
        <v>45868.625</v>
      </c>
      <c r="CB78" s="54">
        <v>107.27</v>
      </c>
      <c r="CC78" s="129">
        <v>45868.625</v>
      </c>
      <c r="CD78" s="54">
        <v>50.996000000000002</v>
      </c>
      <c r="CO78" s="129">
        <v>45863.625</v>
      </c>
      <c r="CP78" s="54">
        <v>269.66199999999998</v>
      </c>
      <c r="CQ78" s="129">
        <v>45863.625</v>
      </c>
      <c r="CR78" s="54">
        <v>52.911000000000001</v>
      </c>
    </row>
    <row r="79" spans="1:96" x14ac:dyDescent="0.3">
      <c r="A79" s="142">
        <v>45937.625</v>
      </c>
      <c r="B79" s="76">
        <f t="shared" si="22"/>
        <v>92.19</v>
      </c>
      <c r="C79" s="31">
        <f t="shared" ref="C79:C86" si="64">(B79/$B$14-1)*$B$5</f>
        <v>-455271.56549521053</v>
      </c>
      <c r="D79" s="32">
        <f t="shared" ref="D79:D86" si="65">-1*(A79-$A$14)/360*$B$7*$B$5</f>
        <v>-267312.5</v>
      </c>
      <c r="E79" s="76">
        <f t="shared" si="23"/>
        <v>100.908</v>
      </c>
      <c r="F79" s="31">
        <f t="shared" ref="F79:F86" si="66">(E79-$E$14)/100*$C$5</f>
        <v>-66599.99999999968</v>
      </c>
      <c r="G79" s="32">
        <f t="shared" ref="G79:G86" si="67">(A79-$A$14)/360*$C$6*$C$5-(A79-$A$14)/360*$C$7*$C$5*$E$14/100</f>
        <v>-95170.545166666663</v>
      </c>
      <c r="H79" s="76">
        <f t="shared" si="24"/>
        <v>120.93</v>
      </c>
      <c r="I79" s="31">
        <f t="shared" ref="I79:I86" si="68">(H79/$H$14-1)*$D$5</f>
        <v>-342165.70959803171</v>
      </c>
      <c r="J79" s="32">
        <f t="shared" ref="J79:J86" si="69">-1*(A79-$A$14)/360*$D$7*$D$5</f>
        <v>-459777.49999999994</v>
      </c>
      <c r="K79" s="76">
        <f t="shared" si="25"/>
        <v>99.483000000000004</v>
      </c>
      <c r="L79" s="31">
        <f t="shared" ref="L79:L86" si="70">(K79-$K$14)/100*$E$5</f>
        <v>-113570.00000000042</v>
      </c>
      <c r="M79" s="32">
        <f t="shared" ref="M79:M86" si="71">(A79-$A$14)/360*$E$6*$E$5-(A79-$A$14)/360*$E$7*$E$5*$K$14/100</f>
        <v>-209334.80244444442</v>
      </c>
      <c r="N79" s="82">
        <f t="shared" ref="N79:N86" si="72">C79+D79-F79-G79-I79-J79+L79+M79</f>
        <v>-81775.113174957383</v>
      </c>
      <c r="O79" s="82"/>
      <c r="P79" s="82"/>
      <c r="Q79" s="82">
        <f>$G$5*SUM($O$14:O79)-$H$5*SUM($P$14:P79)</f>
        <v>-42369.391500000027</v>
      </c>
      <c r="R79" s="82">
        <f t="shared" ref="R79:R86" si="73">N79+Q79</f>
        <v>-124144.50467495741</v>
      </c>
      <c r="S79" s="143"/>
      <c r="U79" s="75">
        <v>45866.625</v>
      </c>
      <c r="V79" s="54">
        <v>94.37</v>
      </c>
      <c r="W79" s="75">
        <v>45862.625</v>
      </c>
      <c r="X79" s="54">
        <v>101.15300000000001</v>
      </c>
      <c r="Y79" s="125">
        <v>45869.625</v>
      </c>
      <c r="Z79" s="54">
        <v>120.26</v>
      </c>
      <c r="AG79" s="75"/>
      <c r="AI79" s="75"/>
      <c r="AK79" s="75"/>
      <c r="AM79" s="75"/>
      <c r="AO79" s="75"/>
      <c r="AQ79" s="75"/>
      <c r="BE79" s="75">
        <v>45863.625</v>
      </c>
      <c r="BF79" s="54">
        <v>80.489999999999995</v>
      </c>
      <c r="BI79" s="75">
        <v>45863.625</v>
      </c>
      <c r="BJ79" s="54">
        <v>108.99</v>
      </c>
      <c r="BS79" s="75"/>
      <c r="BU79" s="75"/>
      <c r="BW79" s="75"/>
      <c r="BY79" s="75"/>
      <c r="CA79" s="129">
        <v>45869.625</v>
      </c>
      <c r="CB79" s="54">
        <v>107.2366</v>
      </c>
      <c r="CC79" s="129">
        <v>45869.625</v>
      </c>
      <c r="CD79" s="54">
        <v>51.091000000000001</v>
      </c>
      <c r="CO79" s="129">
        <v>45866.625</v>
      </c>
      <c r="CP79" s="54">
        <v>267.17500000000001</v>
      </c>
      <c r="CQ79" s="129">
        <v>45866.625</v>
      </c>
      <c r="CR79" s="54">
        <v>52.787999999999997</v>
      </c>
    </row>
    <row r="80" spans="1:96" x14ac:dyDescent="0.3">
      <c r="A80" s="142">
        <v>45938.625</v>
      </c>
      <c r="B80" s="76">
        <f t="shared" ref="B80:B86" si="74">VLOOKUP($A80+$I$2,U$3:V$500,2)</f>
        <v>92.12</v>
      </c>
      <c r="C80" s="31">
        <f t="shared" si="64"/>
        <v>-473908.41320553713</v>
      </c>
      <c r="D80" s="32">
        <f t="shared" si="65"/>
        <v>-270249.99999999994</v>
      </c>
      <c r="E80" s="76">
        <f t="shared" ref="E80:E86" si="75">VLOOKUP($A80+$I$2,W$3:X$500,2)</f>
        <v>100.99299999999999</v>
      </c>
      <c r="F80" s="31">
        <f t="shared" si="66"/>
        <v>-49600.000000000931</v>
      </c>
      <c r="G80" s="32">
        <f t="shared" si="67"/>
        <v>-96216.375333333301</v>
      </c>
      <c r="H80" s="76">
        <f t="shared" ref="H80:H86" si="76">VLOOKUP($A80+$I$2,Y$3:Z$500,2)</f>
        <v>121.12</v>
      </c>
      <c r="I80" s="31">
        <f t="shared" si="68"/>
        <v>-275143.56029532605</v>
      </c>
      <c r="J80" s="32">
        <f t="shared" si="69"/>
        <v>-464829.99999999994</v>
      </c>
      <c r="K80" s="76">
        <f t="shared" ref="K80:K86" si="77">VLOOKUP($A80+$I$2,AA$3:AB$500,2)</f>
        <v>99.673000000000002</v>
      </c>
      <c r="L80" s="31">
        <f t="shared" si="70"/>
        <v>-35670.000000001353</v>
      </c>
      <c r="M80" s="32">
        <f t="shared" si="71"/>
        <v>-211635.18488888885</v>
      </c>
      <c r="N80" s="82">
        <f t="shared" si="72"/>
        <v>-105673.66246576702</v>
      </c>
      <c r="O80" s="82"/>
      <c r="P80" s="82"/>
      <c r="Q80" s="82">
        <f>$G$5*SUM($O$14:O80)-$H$5*SUM($P$14:P80)</f>
        <v>-42369.391500000027</v>
      </c>
      <c r="R80" s="82">
        <f t="shared" si="73"/>
        <v>-148043.05396576703</v>
      </c>
      <c r="S80" s="143"/>
      <c r="U80" s="75">
        <v>45867.625</v>
      </c>
      <c r="V80" s="54">
        <v>94.46</v>
      </c>
      <c r="W80" s="75">
        <v>45863.625</v>
      </c>
      <c r="X80" s="54">
        <v>101.054</v>
      </c>
      <c r="Y80" s="125">
        <v>45870.625</v>
      </c>
      <c r="Z80" s="54">
        <v>120.22</v>
      </c>
      <c r="AG80" s="75"/>
      <c r="AI80" s="75"/>
      <c r="AK80" s="75"/>
      <c r="AM80" s="75"/>
      <c r="AO80" s="75"/>
      <c r="AQ80" s="75"/>
      <c r="BE80" s="75">
        <v>45866.625</v>
      </c>
      <c r="BF80" s="54">
        <v>80.45</v>
      </c>
      <c r="BI80" s="75">
        <v>45866.625</v>
      </c>
      <c r="BJ80" s="54">
        <v>108.77</v>
      </c>
      <c r="BS80" s="75"/>
      <c r="BU80" s="75"/>
      <c r="BW80" s="75"/>
      <c r="BY80" s="75"/>
      <c r="CA80" s="129">
        <v>45870.625</v>
      </c>
      <c r="CB80" s="54">
        <v>106.53149999999999</v>
      </c>
      <c r="CC80" s="129">
        <v>45870.625</v>
      </c>
      <c r="CD80" s="54">
        <v>54.185000000000002</v>
      </c>
      <c r="CO80" s="129">
        <v>45867.625</v>
      </c>
      <c r="CP80" s="54">
        <v>264.13499999999999</v>
      </c>
      <c r="CQ80" s="129">
        <v>45867.625</v>
      </c>
      <c r="CR80" s="54">
        <v>52.537999999999997</v>
      </c>
    </row>
    <row r="81" spans="1:96" x14ac:dyDescent="0.3">
      <c r="A81" s="142">
        <v>45939.625</v>
      </c>
      <c r="B81" s="76">
        <f t="shared" si="74"/>
        <v>92</v>
      </c>
      <c r="C81" s="31">
        <f t="shared" si="64"/>
        <v>-505857.29499467713</v>
      </c>
      <c r="D81" s="32">
        <f t="shared" si="65"/>
        <v>-273187.5</v>
      </c>
      <c r="E81" s="76">
        <f t="shared" si="75"/>
        <v>100.934</v>
      </c>
      <c r="F81" s="31">
        <f t="shared" si="66"/>
        <v>-61400.000000000429</v>
      </c>
      <c r="G81" s="32">
        <f t="shared" si="67"/>
        <v>-97262.205499999996</v>
      </c>
      <c r="H81" s="76">
        <f t="shared" si="76"/>
        <v>120.99</v>
      </c>
      <c r="I81" s="31">
        <f t="shared" si="68"/>
        <v>-321000.82034455024</v>
      </c>
      <c r="J81" s="32">
        <f t="shared" si="69"/>
        <v>-469882.5</v>
      </c>
      <c r="K81" s="76">
        <f t="shared" si="77"/>
        <v>99.552999999999997</v>
      </c>
      <c r="L81" s="31">
        <f t="shared" si="70"/>
        <v>-84870.000000003216</v>
      </c>
      <c r="M81" s="32">
        <f t="shared" si="71"/>
        <v>-213935.56733333337</v>
      </c>
      <c r="N81" s="82">
        <f t="shared" si="72"/>
        <v>-128304.83648346302</v>
      </c>
      <c r="O81" s="82"/>
      <c r="P81" s="82"/>
      <c r="Q81" s="82">
        <f>$G$5*SUM($O$14:O81)-$H$5*SUM($P$14:P81)</f>
        <v>-42369.391500000027</v>
      </c>
      <c r="R81" s="82">
        <f t="shared" si="73"/>
        <v>-170674.22798346303</v>
      </c>
      <c r="S81" s="143"/>
      <c r="U81" s="75">
        <v>45868.625</v>
      </c>
      <c r="V81" s="54">
        <v>94.48</v>
      </c>
      <c r="W81" s="75">
        <v>45866.625</v>
      </c>
      <c r="X81" s="54">
        <v>101.17</v>
      </c>
      <c r="Y81" s="125">
        <v>45873.625</v>
      </c>
      <c r="Z81" s="54">
        <v>120.41</v>
      </c>
      <c r="AG81" s="75"/>
      <c r="AI81" s="75"/>
      <c r="AK81" s="75"/>
      <c r="AM81" s="75"/>
      <c r="AO81" s="75"/>
      <c r="AQ81" s="75"/>
      <c r="BE81" s="75">
        <v>45867.625</v>
      </c>
      <c r="BF81" s="54">
        <v>80.5</v>
      </c>
      <c r="BI81" s="75">
        <v>45867.625</v>
      </c>
      <c r="BJ81" s="54">
        <v>109.49</v>
      </c>
      <c r="BS81" s="75"/>
      <c r="BU81" s="75"/>
      <c r="BW81" s="75"/>
      <c r="BY81" s="75"/>
      <c r="CA81" s="129">
        <v>45873.625</v>
      </c>
      <c r="CB81" s="54">
        <v>107.0245</v>
      </c>
      <c r="CC81" s="129">
        <v>45873.625</v>
      </c>
      <c r="CD81" s="54">
        <v>52.07</v>
      </c>
      <c r="CO81" s="129">
        <v>45868.625</v>
      </c>
      <c r="CP81" s="54">
        <v>265.81200000000001</v>
      </c>
      <c r="CQ81" s="129">
        <v>45868.625</v>
      </c>
      <c r="CR81" s="54">
        <v>52.783999999999999</v>
      </c>
    </row>
    <row r="82" spans="1:96" x14ac:dyDescent="0.3">
      <c r="A82" s="142">
        <v>45940.625</v>
      </c>
      <c r="B82" s="76">
        <f t="shared" si="74"/>
        <v>91.78</v>
      </c>
      <c r="C82" s="31">
        <f t="shared" si="64"/>
        <v>-564430.24494142737</v>
      </c>
      <c r="D82" s="32">
        <f t="shared" si="65"/>
        <v>-276125</v>
      </c>
      <c r="E82" s="76">
        <f t="shared" si="75"/>
        <v>101.017</v>
      </c>
      <c r="F82" s="31">
        <f t="shared" si="66"/>
        <v>-44800.000000000749</v>
      </c>
      <c r="G82" s="32">
        <f t="shared" si="67"/>
        <v>-98308.035666666634</v>
      </c>
      <c r="H82" s="76">
        <f t="shared" si="76"/>
        <v>121</v>
      </c>
      <c r="I82" s="31">
        <f t="shared" si="68"/>
        <v>-317473.33880229853</v>
      </c>
      <c r="J82" s="32">
        <f t="shared" si="69"/>
        <v>-474934.99999999994</v>
      </c>
      <c r="K82" s="76">
        <f t="shared" si="77"/>
        <v>99.754000000000005</v>
      </c>
      <c r="L82" s="31">
        <f t="shared" si="70"/>
        <v>-2460.0000000000932</v>
      </c>
      <c r="M82" s="32">
        <f t="shared" si="71"/>
        <v>-216235.94977777774</v>
      </c>
      <c r="N82" s="82">
        <f t="shared" si="72"/>
        <v>-123734.82025023934</v>
      </c>
      <c r="O82" s="82"/>
      <c r="P82" s="82"/>
      <c r="Q82" s="82">
        <f>$G$5*SUM($O$14:O82)-$H$5*SUM($P$14:P82)</f>
        <v>-42369.391500000027</v>
      </c>
      <c r="R82" s="82">
        <f t="shared" si="73"/>
        <v>-166104.21175023937</v>
      </c>
      <c r="S82" s="143"/>
      <c r="U82" s="75">
        <v>45869.625</v>
      </c>
      <c r="V82" s="54">
        <v>94.45</v>
      </c>
      <c r="W82" s="75">
        <v>45867.625</v>
      </c>
      <c r="X82" s="54">
        <v>101.105</v>
      </c>
      <c r="Y82" s="125">
        <v>45874.625</v>
      </c>
      <c r="Z82" s="54">
        <v>120.52</v>
      </c>
      <c r="AG82" s="75"/>
      <c r="AI82" s="75"/>
      <c r="AK82" s="75"/>
      <c r="AM82" s="75"/>
      <c r="AO82" s="75"/>
      <c r="AQ82" s="75"/>
      <c r="BE82" s="75">
        <v>45868.625</v>
      </c>
      <c r="BF82" s="54">
        <v>80.33</v>
      </c>
      <c r="BI82" s="75">
        <v>45868.625</v>
      </c>
      <c r="BJ82" s="54">
        <v>109.08</v>
      </c>
      <c r="BS82" s="75"/>
      <c r="BU82" s="75"/>
      <c r="BW82" s="75"/>
      <c r="BY82" s="75"/>
      <c r="CA82" s="129">
        <v>45874.625</v>
      </c>
      <c r="CB82" s="54">
        <v>106.9378</v>
      </c>
      <c r="CC82" s="129">
        <v>45874.625</v>
      </c>
      <c r="CD82" s="54">
        <v>52.485999999999997</v>
      </c>
      <c r="CO82" s="129">
        <v>45869.625</v>
      </c>
      <c r="CP82" s="54">
        <v>268.60899999999998</v>
      </c>
      <c r="CQ82" s="129">
        <v>45869.625</v>
      </c>
      <c r="CR82" s="54">
        <v>53.713999999999999</v>
      </c>
    </row>
    <row r="83" spans="1:96" x14ac:dyDescent="0.3">
      <c r="A83" s="142">
        <v>45943.625</v>
      </c>
      <c r="B83" s="76">
        <f t="shared" si="74"/>
        <v>91.79</v>
      </c>
      <c r="C83" s="31">
        <f t="shared" si="64"/>
        <v>-561767.83812566521</v>
      </c>
      <c r="D83" s="32">
        <f t="shared" si="65"/>
        <v>-284937.49999999994</v>
      </c>
      <c r="E83" s="76">
        <f t="shared" si="75"/>
        <v>101.122</v>
      </c>
      <c r="F83" s="31">
        <f t="shared" si="66"/>
        <v>-23799.999999999953</v>
      </c>
      <c r="G83" s="32">
        <f t="shared" si="67"/>
        <v>-101445.52616666663</v>
      </c>
      <c r="H83" s="76">
        <f t="shared" si="76"/>
        <v>121.1</v>
      </c>
      <c r="I83" s="31">
        <f t="shared" si="68"/>
        <v>-282198.52337982465</v>
      </c>
      <c r="J83" s="32">
        <f t="shared" si="69"/>
        <v>-490092.49999999988</v>
      </c>
      <c r="K83" s="76">
        <f t="shared" si="77"/>
        <v>99.923000000000002</v>
      </c>
      <c r="L83" s="31">
        <f t="shared" si="70"/>
        <v>66829.999999998647</v>
      </c>
      <c r="M83" s="32">
        <f t="shared" si="71"/>
        <v>-223137.09711111104</v>
      </c>
      <c r="N83" s="82">
        <f t="shared" si="72"/>
        <v>-105475.88569028642</v>
      </c>
      <c r="O83" s="82"/>
      <c r="P83" s="82"/>
      <c r="Q83" s="82">
        <f>$G$5*SUM($O$14:O83)-$H$5*SUM($P$14:P83)</f>
        <v>-42369.391500000027</v>
      </c>
      <c r="R83" s="82">
        <f t="shared" si="73"/>
        <v>-147845.27719028643</v>
      </c>
      <c r="S83" s="143"/>
      <c r="U83" s="75">
        <v>45870.625</v>
      </c>
      <c r="V83" s="54">
        <v>94.32</v>
      </c>
      <c r="W83" s="75">
        <v>45868.625</v>
      </c>
      <c r="X83" s="54">
        <v>101.048</v>
      </c>
      <c r="Y83" s="125">
        <v>45875.625</v>
      </c>
      <c r="Z83" s="54">
        <v>120.41</v>
      </c>
      <c r="AM83" s="75"/>
      <c r="AO83" s="75"/>
      <c r="AQ83" s="75"/>
      <c r="BE83" s="75">
        <v>45869.625</v>
      </c>
      <c r="BF83" s="54">
        <v>80.38</v>
      </c>
      <c r="BI83" s="75">
        <v>45869.625</v>
      </c>
      <c r="BJ83" s="54">
        <v>109.11</v>
      </c>
      <c r="BY83" s="75"/>
      <c r="CA83" s="129">
        <v>45875.625</v>
      </c>
      <c r="CB83" s="54">
        <v>107.005</v>
      </c>
      <c r="CC83" s="129">
        <v>45875.625</v>
      </c>
      <c r="CD83" s="54">
        <v>52.058999999999997</v>
      </c>
      <c r="CO83" s="129">
        <v>45870.625</v>
      </c>
      <c r="CP83" s="54">
        <v>281.363</v>
      </c>
      <c r="CQ83" s="129">
        <v>45870.625</v>
      </c>
      <c r="CR83" s="54">
        <v>56.575000000000003</v>
      </c>
    </row>
    <row r="84" spans="1:96" x14ac:dyDescent="0.3">
      <c r="A84" s="142">
        <v>45944.625</v>
      </c>
      <c r="B84" s="76">
        <f t="shared" si="74"/>
        <v>91.85</v>
      </c>
      <c r="C84" s="31">
        <f t="shared" si="64"/>
        <v>-545793.39723110071</v>
      </c>
      <c r="D84" s="32">
        <f t="shared" si="65"/>
        <v>-287874.99999999994</v>
      </c>
      <c r="E84" s="76">
        <f t="shared" si="75"/>
        <v>101.13800000000001</v>
      </c>
      <c r="F84" s="31">
        <f t="shared" si="66"/>
        <v>-20599.999999998887</v>
      </c>
      <c r="G84" s="32">
        <f t="shared" si="67"/>
        <v>-102491.35633333327</v>
      </c>
      <c r="H84" s="76">
        <f t="shared" si="76"/>
        <v>121.2</v>
      </c>
      <c r="I84" s="31">
        <f t="shared" si="68"/>
        <v>-246923.70795734119</v>
      </c>
      <c r="J84" s="32">
        <f t="shared" si="69"/>
        <v>-495144.99999999988</v>
      </c>
      <c r="K84" s="76">
        <f t="shared" si="77"/>
        <v>99.977999999999994</v>
      </c>
      <c r="L84" s="31">
        <f t="shared" si="70"/>
        <v>89379.999999995605</v>
      </c>
      <c r="M84" s="32">
        <f t="shared" si="71"/>
        <v>-225437.47955555547</v>
      </c>
      <c r="N84" s="82">
        <f t="shared" si="72"/>
        <v>-104565.81249598722</v>
      </c>
      <c r="O84" s="82"/>
      <c r="P84" s="82"/>
      <c r="Q84" s="82">
        <f>$G$5*SUM($O$14:O84)-$H$5*SUM($P$14:P84)</f>
        <v>-42369.391500000027</v>
      </c>
      <c r="R84" s="82">
        <f t="shared" si="73"/>
        <v>-146935.20399598725</v>
      </c>
      <c r="S84" s="143"/>
      <c r="U84" s="75">
        <v>45873.625</v>
      </c>
      <c r="V84" s="54">
        <v>94.38</v>
      </c>
      <c r="W84" s="75">
        <v>45869.625</v>
      </c>
      <c r="X84" s="54">
        <v>101.02200000000001</v>
      </c>
      <c r="Y84" s="125">
        <v>45876.625</v>
      </c>
      <c r="Z84" s="54">
        <v>120.52</v>
      </c>
      <c r="AM84" s="75"/>
      <c r="AO84" s="75"/>
      <c r="BE84" s="75">
        <v>45870.625</v>
      </c>
      <c r="BF84" s="54">
        <v>79.98</v>
      </c>
      <c r="BI84" s="75">
        <v>45870.625</v>
      </c>
      <c r="BJ84" s="54">
        <v>109.63</v>
      </c>
      <c r="BY84" s="75"/>
      <c r="CA84" s="129">
        <v>45876.625</v>
      </c>
      <c r="CB84" s="54">
        <v>106.95959999999999</v>
      </c>
      <c r="CC84" s="129">
        <v>45876.625</v>
      </c>
      <c r="CD84" s="54">
        <v>52.031999999999996</v>
      </c>
      <c r="CO84" s="129">
        <v>45873.625</v>
      </c>
      <c r="CP84" s="54">
        <v>276.33199999999999</v>
      </c>
      <c r="CQ84" s="129">
        <v>45873.625</v>
      </c>
      <c r="CR84" s="54">
        <v>55.798000000000002</v>
      </c>
    </row>
    <row r="85" spans="1:96" x14ac:dyDescent="0.3">
      <c r="A85" s="142">
        <v>45945.625</v>
      </c>
      <c r="B85" s="76">
        <f t="shared" si="74"/>
        <v>92.38</v>
      </c>
      <c r="C85" s="31">
        <f t="shared" si="64"/>
        <v>-404685.83599574392</v>
      </c>
      <c r="D85" s="32">
        <f t="shared" si="65"/>
        <v>-290812.5</v>
      </c>
      <c r="E85" s="76">
        <f t="shared" si="75"/>
        <v>101.23699999999999</v>
      </c>
      <c r="F85" s="31">
        <f t="shared" si="66"/>
        <v>-800.00000000097771</v>
      </c>
      <c r="G85" s="32">
        <f t="shared" si="67"/>
        <v>-103537.18649999995</v>
      </c>
      <c r="H85" s="76">
        <f t="shared" si="76"/>
        <v>121.62</v>
      </c>
      <c r="I85" s="31">
        <f t="shared" si="68"/>
        <v>-98769.483182937431</v>
      </c>
      <c r="J85" s="32">
        <f t="shared" si="69"/>
        <v>-500197.5</v>
      </c>
      <c r="K85" s="76">
        <f t="shared" si="77"/>
        <v>100.18899999999999</v>
      </c>
      <c r="L85" s="31">
        <f t="shared" si="70"/>
        <v>175889.99999999499</v>
      </c>
      <c r="M85" s="32">
        <f t="shared" si="71"/>
        <v>-227737.86200000002</v>
      </c>
      <c r="N85" s="82">
        <f t="shared" si="72"/>
        <v>-44042.028312810697</v>
      </c>
      <c r="O85" s="82"/>
      <c r="P85" s="82"/>
      <c r="Q85" s="82">
        <f>$G$5*SUM($O$14:O85)-$H$5*SUM($P$14:P85)</f>
        <v>-42369.391500000027</v>
      </c>
      <c r="R85" s="82">
        <f t="shared" si="73"/>
        <v>-86411.419812810724</v>
      </c>
      <c r="S85" s="143"/>
      <c r="U85" s="75">
        <v>45874.625</v>
      </c>
      <c r="V85" s="54">
        <v>94.45</v>
      </c>
      <c r="W85" s="75">
        <v>45870.625</v>
      </c>
      <c r="X85" s="54">
        <v>101.155</v>
      </c>
      <c r="Y85" s="125">
        <v>45877.625</v>
      </c>
      <c r="Z85" s="54">
        <v>120.29</v>
      </c>
      <c r="AM85" s="75"/>
      <c r="AO85" s="75"/>
      <c r="BE85" s="75">
        <v>45873.625</v>
      </c>
      <c r="BF85" s="54">
        <v>80.25</v>
      </c>
      <c r="BI85" s="75">
        <v>45873.625</v>
      </c>
      <c r="BJ85" s="54">
        <v>109.82</v>
      </c>
      <c r="BY85" s="75"/>
      <c r="CA85" s="129">
        <v>45877.625</v>
      </c>
      <c r="CB85" s="54">
        <v>107.1588</v>
      </c>
      <c r="CC85" s="129">
        <v>45877.625</v>
      </c>
      <c r="CD85" s="54">
        <v>51.154000000000003</v>
      </c>
      <c r="CO85" s="129">
        <v>45874.625</v>
      </c>
      <c r="CP85" s="54">
        <v>275.041</v>
      </c>
      <c r="CQ85" s="129">
        <v>45874.625</v>
      </c>
      <c r="CR85" s="54">
        <v>55.579000000000001</v>
      </c>
    </row>
    <row r="86" spans="1:96" x14ac:dyDescent="0.3">
      <c r="A86" s="142">
        <v>45946.625</v>
      </c>
      <c r="B86" s="76">
        <f t="shared" si="74"/>
        <v>92.23</v>
      </c>
      <c r="C86" s="31">
        <f t="shared" si="64"/>
        <v>-444621.93823216198</v>
      </c>
      <c r="D86" s="32">
        <f t="shared" si="65"/>
        <v>-293750</v>
      </c>
      <c r="E86" s="76">
        <f t="shared" si="75"/>
        <v>101.221</v>
      </c>
      <c r="F86" s="31">
        <f t="shared" si="66"/>
        <v>-3999.9999999992042</v>
      </c>
      <c r="G86" s="32">
        <f t="shared" si="67"/>
        <v>-104583.01666666666</v>
      </c>
      <c r="H86" s="76">
        <f t="shared" si="76"/>
        <v>121.6</v>
      </c>
      <c r="I86" s="31">
        <f t="shared" si="68"/>
        <v>-105824.44626743604</v>
      </c>
      <c r="J86" s="32">
        <f t="shared" si="69"/>
        <v>-505250</v>
      </c>
      <c r="K86" s="76">
        <f t="shared" si="77"/>
        <v>100.14700000000001</v>
      </c>
      <c r="L86" s="31">
        <f t="shared" si="70"/>
        <v>158670.00000000017</v>
      </c>
      <c r="M86" s="32">
        <f t="shared" si="71"/>
        <v>-230038.24444444443</v>
      </c>
      <c r="N86" s="82">
        <f t="shared" si="72"/>
        <v>-90082.719742504356</v>
      </c>
      <c r="O86" s="82"/>
      <c r="P86" s="82"/>
      <c r="Q86" s="82">
        <f>$G$5*SUM($O$14:O86)-$H$5*SUM($P$14:P86)</f>
        <v>-42369.391500000027</v>
      </c>
      <c r="R86" s="82">
        <f t="shared" si="73"/>
        <v>-132452.11124250438</v>
      </c>
      <c r="S86" s="143"/>
      <c r="U86" s="75">
        <v>45875.625</v>
      </c>
      <c r="V86" s="54">
        <v>94.47</v>
      </c>
      <c r="W86" s="75">
        <v>45873.625</v>
      </c>
      <c r="X86" s="54">
        <v>101.214</v>
      </c>
      <c r="Y86" s="125">
        <v>45880.625</v>
      </c>
      <c r="Z86" s="54">
        <v>120.27</v>
      </c>
      <c r="AM86" s="75"/>
      <c r="AO86" s="75"/>
      <c r="BE86" s="75">
        <v>45874.625</v>
      </c>
      <c r="BF86" s="54">
        <v>80.209999999999994</v>
      </c>
      <c r="BI86" s="75">
        <v>45874.625</v>
      </c>
      <c r="BJ86" s="54">
        <v>109.9</v>
      </c>
      <c r="BY86" s="75"/>
      <c r="CA86" s="129">
        <v>45880.625</v>
      </c>
      <c r="CB86" s="54">
        <v>107.04949999999999</v>
      </c>
      <c r="CC86" s="129">
        <v>45880.625</v>
      </c>
      <c r="CD86" s="54">
        <v>51.481000000000002</v>
      </c>
      <c r="CO86" s="129">
        <v>45875.625</v>
      </c>
      <c r="CP86" s="54">
        <v>276.83699999999999</v>
      </c>
      <c r="CQ86" s="129">
        <v>45875.625</v>
      </c>
      <c r="CR86" s="54">
        <v>55.622999999999998</v>
      </c>
    </row>
    <row r="87" spans="1:96" x14ac:dyDescent="0.3">
      <c r="U87" s="75">
        <v>45876.625</v>
      </c>
      <c r="V87" s="54">
        <v>94.64</v>
      </c>
      <c r="W87" s="75">
        <v>45874.625</v>
      </c>
      <c r="X87" s="54">
        <v>101.217</v>
      </c>
      <c r="Y87" s="125">
        <v>45881.625</v>
      </c>
      <c r="Z87" s="54">
        <v>120.15</v>
      </c>
      <c r="AM87" s="75"/>
      <c r="AO87" s="75"/>
      <c r="BE87" s="75">
        <v>45875.625</v>
      </c>
      <c r="BF87" s="54">
        <v>80.290000000000006</v>
      </c>
      <c r="BI87" s="75">
        <v>45875.625</v>
      </c>
      <c r="BJ87" s="54">
        <v>109.87</v>
      </c>
      <c r="BY87" s="75"/>
      <c r="CA87" s="129">
        <v>45881.625</v>
      </c>
      <c r="CB87" s="54">
        <v>107.3578</v>
      </c>
      <c r="CC87" s="129">
        <v>45881.625</v>
      </c>
      <c r="CD87" s="54">
        <v>50.027000000000001</v>
      </c>
      <c r="CO87" s="129">
        <v>45876.625</v>
      </c>
      <c r="CP87" s="54">
        <v>269.959</v>
      </c>
      <c r="CQ87" s="129">
        <v>45876.625</v>
      </c>
      <c r="CR87" s="54">
        <v>54.149000000000001</v>
      </c>
    </row>
    <row r="88" spans="1:96" x14ac:dyDescent="0.3">
      <c r="U88" s="75">
        <v>45877.625</v>
      </c>
      <c r="V88" s="54">
        <v>94.67</v>
      </c>
      <c r="W88" s="75">
        <v>45875.625</v>
      </c>
      <c r="X88" s="54">
        <v>101.197</v>
      </c>
      <c r="Y88" s="125">
        <v>45882.625</v>
      </c>
      <c r="Z88" s="54">
        <v>120.52</v>
      </c>
      <c r="AM88" s="75"/>
      <c r="AO88" s="75"/>
      <c r="BE88" s="75">
        <v>45876.625</v>
      </c>
      <c r="BF88" s="54">
        <v>80.209999999999994</v>
      </c>
      <c r="BI88" s="75">
        <v>45876.625</v>
      </c>
      <c r="BJ88" s="54">
        <v>109.76</v>
      </c>
      <c r="BY88" s="75"/>
      <c r="CA88" s="129">
        <v>45882.625</v>
      </c>
      <c r="CB88" s="54">
        <v>107.5305</v>
      </c>
      <c r="CC88" s="129">
        <v>45882.625</v>
      </c>
      <c r="CD88" s="54">
        <v>49.564</v>
      </c>
      <c r="CO88" s="129">
        <v>45877.625</v>
      </c>
      <c r="CP88" s="54">
        <v>267.15899999999999</v>
      </c>
      <c r="CQ88" s="129">
        <v>45877.625</v>
      </c>
      <c r="CR88" s="54">
        <v>53.585000000000001</v>
      </c>
    </row>
    <row r="89" spans="1:96" x14ac:dyDescent="0.3">
      <c r="U89" s="75">
        <v>45880.625</v>
      </c>
      <c r="V89" s="54">
        <v>94.66</v>
      </c>
      <c r="W89" s="75">
        <v>45876.625</v>
      </c>
      <c r="X89" s="54">
        <v>101.16500000000001</v>
      </c>
      <c r="Y89" s="125">
        <v>45883.625</v>
      </c>
      <c r="Z89" s="54">
        <v>120.46</v>
      </c>
      <c r="AM89" s="75"/>
      <c r="AO89" s="75"/>
      <c r="BE89" s="75">
        <v>45877.625</v>
      </c>
      <c r="BF89" s="54">
        <v>80.22</v>
      </c>
      <c r="BI89" s="75">
        <v>45877.625</v>
      </c>
      <c r="BJ89" s="54">
        <v>109.41</v>
      </c>
      <c r="BY89" s="75"/>
      <c r="CA89" s="129">
        <v>45883.625</v>
      </c>
      <c r="CB89" s="54">
        <v>107.40009999999999</v>
      </c>
      <c r="CC89" s="129">
        <v>45883.625</v>
      </c>
      <c r="CD89" s="54">
        <v>49.968000000000004</v>
      </c>
      <c r="CO89" s="129">
        <v>45880.625</v>
      </c>
      <c r="CP89" s="54">
        <v>267.584</v>
      </c>
      <c r="CQ89" s="129">
        <v>45880.625</v>
      </c>
      <c r="CR89" s="54">
        <v>53.674999999999997</v>
      </c>
    </row>
    <row r="90" spans="1:96" x14ac:dyDescent="0.3">
      <c r="U90" s="75">
        <v>45881.625</v>
      </c>
      <c r="V90" s="54">
        <v>94.75</v>
      </c>
      <c r="W90" s="75">
        <v>45877.625</v>
      </c>
      <c r="X90" s="54">
        <v>101.039</v>
      </c>
      <c r="Y90" s="125">
        <v>45887.625</v>
      </c>
      <c r="Z90" s="54">
        <v>120.14</v>
      </c>
      <c r="AM90" s="75"/>
      <c r="AO90" s="75"/>
      <c r="BE90" s="75">
        <v>45880.625</v>
      </c>
      <c r="BF90" s="54">
        <v>80.22</v>
      </c>
      <c r="BI90" s="75">
        <v>45880.625</v>
      </c>
      <c r="BJ90" s="54">
        <v>109.58499999999999</v>
      </c>
      <c r="BY90" s="75"/>
      <c r="CA90" s="129">
        <v>45884.625</v>
      </c>
      <c r="CB90" s="54">
        <v>107.37390000000001</v>
      </c>
      <c r="CC90" s="129">
        <v>45884.625</v>
      </c>
      <c r="CD90" s="54">
        <v>49.91</v>
      </c>
      <c r="CO90" s="129">
        <v>45881.625</v>
      </c>
      <c r="CP90" s="54">
        <v>265.14</v>
      </c>
      <c r="CQ90" s="129">
        <v>45881.625</v>
      </c>
      <c r="CR90" s="54">
        <v>52.881999999999998</v>
      </c>
    </row>
    <row r="91" spans="1:96" x14ac:dyDescent="0.3">
      <c r="U91" s="75">
        <v>45882.625</v>
      </c>
      <c r="V91" s="54">
        <v>94.88</v>
      </c>
      <c r="W91" s="75">
        <v>45880.625</v>
      </c>
      <c r="X91" s="54">
        <v>101.004</v>
      </c>
      <c r="Y91" s="125">
        <v>45888.625</v>
      </c>
      <c r="Z91" s="54">
        <v>120.27</v>
      </c>
      <c r="AM91" s="75"/>
      <c r="BE91" s="75">
        <v>45881.625</v>
      </c>
      <c r="BF91" s="54">
        <v>80.400000000000006</v>
      </c>
      <c r="BI91" s="75">
        <v>45881.625</v>
      </c>
      <c r="BJ91" s="54">
        <v>109.68</v>
      </c>
      <c r="BY91" s="75"/>
      <c r="CA91" s="129">
        <v>45887.625</v>
      </c>
      <c r="CB91" s="54">
        <v>107.3562</v>
      </c>
      <c r="CC91" s="129">
        <v>45887.625</v>
      </c>
      <c r="CD91" s="54">
        <v>50.018000000000001</v>
      </c>
      <c r="CO91" s="129">
        <v>45882.625</v>
      </c>
      <c r="CP91" s="54">
        <v>260.87599999999998</v>
      </c>
      <c r="CQ91" s="129">
        <v>45882.625</v>
      </c>
      <c r="CR91" s="54">
        <v>51.805</v>
      </c>
    </row>
    <row r="92" spans="1:96" x14ac:dyDescent="0.3">
      <c r="U92" s="75">
        <v>45883.625</v>
      </c>
      <c r="V92" s="54">
        <v>94.94</v>
      </c>
      <c r="W92" s="75">
        <v>45881.625</v>
      </c>
      <c r="X92" s="54">
        <v>100.947</v>
      </c>
      <c r="Y92" s="125">
        <v>45889.625</v>
      </c>
      <c r="Z92" s="54">
        <v>120.39</v>
      </c>
      <c r="AM92" s="75"/>
      <c r="BE92" s="75">
        <v>45882.625</v>
      </c>
      <c r="BF92" s="54">
        <v>80.61</v>
      </c>
      <c r="BI92" s="75">
        <v>45882.625</v>
      </c>
      <c r="BJ92" s="54">
        <v>110.26</v>
      </c>
      <c r="BY92" s="75"/>
      <c r="CA92" s="129">
        <v>45888.625</v>
      </c>
      <c r="CB92" s="54">
        <v>107.22490000000001</v>
      </c>
      <c r="CC92" s="129">
        <v>45888.625</v>
      </c>
      <c r="CD92" s="54">
        <v>50.395000000000003</v>
      </c>
      <c r="CO92" s="129">
        <v>45883.625</v>
      </c>
      <c r="CP92" s="54">
        <v>260.50799999999998</v>
      </c>
      <c r="CQ92" s="129">
        <v>45883.625</v>
      </c>
      <c r="CR92" s="54">
        <v>51.789000000000001</v>
      </c>
    </row>
    <row r="93" spans="1:96" x14ac:dyDescent="0.3">
      <c r="U93" s="75">
        <v>45884.625</v>
      </c>
      <c r="V93" s="54">
        <v>94.87</v>
      </c>
      <c r="W93" s="75">
        <v>45882.625</v>
      </c>
      <c r="X93" s="54">
        <v>101.11799999999999</v>
      </c>
      <c r="Y93" s="125">
        <v>45890.625</v>
      </c>
      <c r="Z93" s="54">
        <v>120.12</v>
      </c>
      <c r="AM93" s="75"/>
      <c r="BE93" s="75">
        <v>45883.625</v>
      </c>
      <c r="BF93" s="54">
        <v>80.400000000000006</v>
      </c>
      <c r="BI93" s="75">
        <v>45883.625</v>
      </c>
      <c r="BJ93" s="54">
        <v>109.88</v>
      </c>
      <c r="BY93" s="75"/>
      <c r="CA93" s="129">
        <v>45889.625</v>
      </c>
      <c r="CB93" s="54">
        <v>107.1161</v>
      </c>
      <c r="CC93" s="129">
        <v>45889.625</v>
      </c>
      <c r="CD93" s="54">
        <v>50.768000000000001</v>
      </c>
      <c r="CO93" s="129">
        <v>45884.625</v>
      </c>
      <c r="CP93" s="54">
        <v>259.67399999999998</v>
      </c>
      <c r="CQ93" s="129">
        <v>45884.625</v>
      </c>
      <c r="CR93" s="54">
        <v>51.633000000000003</v>
      </c>
    </row>
    <row r="94" spans="1:96" x14ac:dyDescent="0.3">
      <c r="U94" s="75">
        <v>45887.625</v>
      </c>
      <c r="V94" s="54">
        <v>94.83</v>
      </c>
      <c r="W94" s="75">
        <v>45883.625</v>
      </c>
      <c r="X94" s="54">
        <v>101.057</v>
      </c>
      <c r="Y94" s="125">
        <v>45891.625</v>
      </c>
      <c r="Z94" s="54">
        <v>120.28</v>
      </c>
      <c r="AM94" s="75"/>
      <c r="BE94" s="75">
        <v>45884.625</v>
      </c>
      <c r="BF94" s="54">
        <v>80.459999999999994</v>
      </c>
      <c r="BI94" s="75">
        <v>45884.625</v>
      </c>
      <c r="BJ94" s="54">
        <v>109.74</v>
      </c>
      <c r="BY94" s="75"/>
      <c r="CA94" s="129">
        <v>45890.625</v>
      </c>
      <c r="CB94" s="54">
        <v>106.9358</v>
      </c>
      <c r="CC94" s="129">
        <v>45890.625</v>
      </c>
      <c r="CD94" s="54">
        <v>51.694000000000003</v>
      </c>
      <c r="CO94" s="129">
        <v>45887.625</v>
      </c>
      <c r="CP94" s="54">
        <v>260.94299999999998</v>
      </c>
      <c r="CQ94" s="129">
        <v>45887.625</v>
      </c>
      <c r="CR94" s="54">
        <v>51.783999999999999</v>
      </c>
    </row>
    <row r="95" spans="1:96" x14ac:dyDescent="0.3">
      <c r="U95" s="75">
        <v>45888.625</v>
      </c>
      <c r="V95" s="54">
        <v>94.8</v>
      </c>
      <c r="W95" s="75">
        <v>45884.625</v>
      </c>
      <c r="X95" s="54">
        <v>100.946</v>
      </c>
      <c r="Y95" s="125">
        <v>45898.625</v>
      </c>
      <c r="Z95" s="54">
        <v>120.25</v>
      </c>
      <c r="BE95" s="75">
        <v>45887.625</v>
      </c>
      <c r="BF95" s="54">
        <v>80.400000000000006</v>
      </c>
      <c r="BI95" s="75">
        <v>45887.625</v>
      </c>
      <c r="BJ95" s="54">
        <v>109.54</v>
      </c>
      <c r="CA95" s="129">
        <v>45891.625</v>
      </c>
      <c r="CB95" s="54">
        <v>107.5735</v>
      </c>
      <c r="CC95" s="129">
        <v>45891.625</v>
      </c>
      <c r="CD95" s="54">
        <v>49.182000000000002</v>
      </c>
      <c r="CO95" s="129">
        <v>45888.625</v>
      </c>
      <c r="CP95" s="54">
        <v>260.10500000000002</v>
      </c>
      <c r="CQ95" s="129">
        <v>45888.625</v>
      </c>
      <c r="CR95" s="54">
        <v>51.459000000000003</v>
      </c>
    </row>
    <row r="96" spans="1:96" x14ac:dyDescent="0.3">
      <c r="U96" s="75">
        <v>45889.625</v>
      </c>
      <c r="V96" s="54">
        <v>94.64</v>
      </c>
      <c r="W96" s="75">
        <v>45887.625</v>
      </c>
      <c r="X96" s="54">
        <v>100.953</v>
      </c>
      <c r="Y96" s="125">
        <v>45901.625</v>
      </c>
      <c r="Z96" s="54">
        <v>120.1</v>
      </c>
      <c r="BE96" s="75">
        <v>45888.625</v>
      </c>
      <c r="BF96" s="54">
        <v>80.38</v>
      </c>
      <c r="BI96" s="75">
        <v>45888.625</v>
      </c>
      <c r="BJ96" s="54">
        <v>109.71</v>
      </c>
      <c r="CA96" s="129">
        <v>45894.625</v>
      </c>
      <c r="CB96" s="54">
        <v>107.43819999999999</v>
      </c>
      <c r="CC96" s="129">
        <v>45894.625</v>
      </c>
      <c r="CD96" s="54">
        <v>49.68</v>
      </c>
      <c r="CO96" s="129">
        <v>45889.625</v>
      </c>
      <c r="CP96" s="54">
        <v>265.99299999999999</v>
      </c>
      <c r="CQ96" s="129">
        <v>45889.625</v>
      </c>
      <c r="CR96" s="54">
        <v>52.55</v>
      </c>
    </row>
    <row r="97" spans="21:96" x14ac:dyDescent="0.3">
      <c r="U97" s="75">
        <v>45890.625</v>
      </c>
      <c r="V97" s="54">
        <v>94.47</v>
      </c>
      <c r="W97" s="75">
        <v>45888.625</v>
      </c>
      <c r="X97" s="54">
        <v>100.99</v>
      </c>
      <c r="Y97" s="125">
        <v>45902.625</v>
      </c>
      <c r="Z97" s="54">
        <v>119.81</v>
      </c>
      <c r="BE97" s="75">
        <v>45889.625</v>
      </c>
      <c r="BF97" s="54">
        <v>80.349999999999994</v>
      </c>
      <c r="BI97" s="75">
        <v>45889.625</v>
      </c>
      <c r="BJ97" s="54">
        <v>109.76</v>
      </c>
      <c r="CA97" s="129">
        <v>45895.625</v>
      </c>
      <c r="CB97" s="54">
        <v>107.50369999999999</v>
      </c>
      <c r="CC97" s="129">
        <v>45895.625</v>
      </c>
      <c r="CD97" s="54">
        <v>49.631</v>
      </c>
      <c r="CO97" s="129">
        <v>45890.625</v>
      </c>
      <c r="CP97" s="54">
        <v>266.79599999999999</v>
      </c>
      <c r="CQ97" s="129">
        <v>45890.625</v>
      </c>
      <c r="CR97" s="54">
        <v>52.808999999999997</v>
      </c>
    </row>
    <row r="98" spans="21:96" x14ac:dyDescent="0.3">
      <c r="U98" s="75">
        <v>45891.625</v>
      </c>
      <c r="V98" s="54">
        <v>94.76</v>
      </c>
      <c r="W98" s="75">
        <v>45889.625</v>
      </c>
      <c r="X98" s="54">
        <v>101.083</v>
      </c>
      <c r="Y98" s="125">
        <v>45903.625</v>
      </c>
      <c r="Z98" s="54">
        <v>120.08</v>
      </c>
      <c r="BE98" s="75">
        <v>45890.625</v>
      </c>
      <c r="BF98" s="54">
        <v>80.2</v>
      </c>
      <c r="BI98" s="75">
        <v>45890.625</v>
      </c>
      <c r="BJ98" s="54">
        <v>109.34</v>
      </c>
      <c r="CA98" s="129">
        <v>45896.625</v>
      </c>
      <c r="CB98" s="54">
        <v>107.3715</v>
      </c>
      <c r="CC98" s="129">
        <v>45896.625</v>
      </c>
      <c r="CD98" s="54">
        <v>50.168999999999997</v>
      </c>
      <c r="CO98" s="129">
        <v>45891.625</v>
      </c>
      <c r="CP98" s="54">
        <v>261.90800000000002</v>
      </c>
      <c r="CQ98" s="129">
        <v>45891.625</v>
      </c>
      <c r="CR98" s="54">
        <v>51.709000000000003</v>
      </c>
    </row>
    <row r="99" spans="21:96" x14ac:dyDescent="0.3">
      <c r="U99" s="75">
        <v>45895.625</v>
      </c>
      <c r="V99" s="54">
        <v>94.59</v>
      </c>
      <c r="W99" s="75">
        <v>45890.625</v>
      </c>
      <c r="X99" s="54">
        <v>100.955</v>
      </c>
      <c r="Y99" s="125">
        <v>45904.625</v>
      </c>
      <c r="Z99" s="54">
        <v>120.3</v>
      </c>
      <c r="BE99" s="75">
        <v>45891.625</v>
      </c>
      <c r="BF99" s="54">
        <v>80.849999999999994</v>
      </c>
      <c r="BI99" s="75">
        <v>45891.625</v>
      </c>
      <c r="BJ99" s="54">
        <v>110.2</v>
      </c>
      <c r="CA99" s="129">
        <v>45897.625</v>
      </c>
      <c r="CB99" s="54">
        <v>107.40689999999999</v>
      </c>
      <c r="CC99" s="129">
        <v>45897.625</v>
      </c>
      <c r="CD99" s="54">
        <v>50.031999999999996</v>
      </c>
      <c r="CO99" s="129">
        <v>45895.625</v>
      </c>
      <c r="CP99" s="54">
        <v>267.59399999999999</v>
      </c>
      <c r="CQ99" s="129">
        <v>45895.625</v>
      </c>
      <c r="CR99" s="54">
        <v>53.003</v>
      </c>
    </row>
    <row r="100" spans="21:96" x14ac:dyDescent="0.3">
      <c r="U100" s="75">
        <v>45896.625</v>
      </c>
      <c r="V100" s="54">
        <v>94.56</v>
      </c>
      <c r="W100" s="75">
        <v>45891.625</v>
      </c>
      <c r="X100" s="54">
        <v>101.027</v>
      </c>
      <c r="Y100" s="125">
        <v>45905.625</v>
      </c>
      <c r="Z100" s="54">
        <v>120.64</v>
      </c>
      <c r="BE100" s="75">
        <v>45894.625</v>
      </c>
      <c r="BF100" s="54">
        <v>80.69</v>
      </c>
      <c r="BI100" s="75">
        <v>45894.625</v>
      </c>
      <c r="BJ100" s="54">
        <v>109.91</v>
      </c>
      <c r="CA100" s="129">
        <v>45898.625</v>
      </c>
      <c r="CB100" s="54">
        <v>107.20489999999999</v>
      </c>
      <c r="CC100" s="129">
        <v>45898.625</v>
      </c>
      <c r="CD100" s="54">
        <v>50.929000000000002</v>
      </c>
      <c r="CO100" s="129">
        <v>45896.625</v>
      </c>
      <c r="CP100" s="54">
        <v>274.23899999999998</v>
      </c>
      <c r="CQ100" s="129">
        <v>45896.625</v>
      </c>
      <c r="CR100" s="54">
        <v>54.777000000000001</v>
      </c>
    </row>
    <row r="101" spans="21:96" x14ac:dyDescent="0.3">
      <c r="U101" s="75">
        <v>45897.625</v>
      </c>
      <c r="V101" s="54">
        <v>94.44</v>
      </c>
      <c r="W101" s="75">
        <v>45894.625</v>
      </c>
      <c r="X101" s="54">
        <v>100.916</v>
      </c>
      <c r="Y101" s="125">
        <v>45908.625</v>
      </c>
      <c r="Z101" s="54">
        <v>120.74</v>
      </c>
      <c r="BE101" s="75">
        <v>45895.625</v>
      </c>
      <c r="BF101" s="54">
        <v>80.87</v>
      </c>
      <c r="BI101" s="75">
        <v>45895.625</v>
      </c>
      <c r="BJ101" s="54">
        <v>109.99</v>
      </c>
      <c r="CA101" s="129">
        <v>45902.625</v>
      </c>
      <c r="CB101" s="54">
        <v>107.1491</v>
      </c>
      <c r="CC101" s="129">
        <v>45902.625</v>
      </c>
      <c r="CD101" s="54">
        <v>51.244999999999997</v>
      </c>
      <c r="CO101" s="129">
        <v>45897.625</v>
      </c>
      <c r="CP101" s="54">
        <v>264.39100000000002</v>
      </c>
      <c r="CQ101" s="129">
        <v>45897.625</v>
      </c>
      <c r="CR101" s="54">
        <v>54.683</v>
      </c>
    </row>
    <row r="102" spans="21:96" x14ac:dyDescent="0.3">
      <c r="U102" s="75">
        <v>45898.625</v>
      </c>
      <c r="V102" s="54">
        <v>94.44</v>
      </c>
      <c r="W102" s="75">
        <v>45895.625</v>
      </c>
      <c r="X102" s="54">
        <v>101.051</v>
      </c>
      <c r="Y102" s="125">
        <v>45909.625</v>
      </c>
      <c r="Z102" s="54">
        <v>120.66</v>
      </c>
      <c r="BE102" s="75">
        <v>45896.625</v>
      </c>
      <c r="BF102" s="54">
        <v>80.97</v>
      </c>
      <c r="BI102" s="75">
        <v>45896.625</v>
      </c>
      <c r="BJ102" s="54">
        <v>110.03</v>
      </c>
      <c r="CA102" s="129">
        <v>45903.625</v>
      </c>
      <c r="CB102" s="54">
        <v>107.15860000000001</v>
      </c>
      <c r="CC102" s="129">
        <v>45903.625</v>
      </c>
      <c r="CD102" s="54">
        <v>50.915999999999997</v>
      </c>
      <c r="CO102" s="129">
        <v>45898.625</v>
      </c>
      <c r="CP102" s="54">
        <v>267.71499999999997</v>
      </c>
      <c r="CQ102" s="129">
        <v>45898.625</v>
      </c>
      <c r="CR102" s="54">
        <v>55.435000000000002</v>
      </c>
    </row>
    <row r="103" spans="21:96" x14ac:dyDescent="0.3">
      <c r="U103" s="75">
        <v>45901.625</v>
      </c>
      <c r="V103" s="54">
        <v>94.4</v>
      </c>
      <c r="W103" s="75">
        <v>45896.625</v>
      </c>
      <c r="X103" s="54">
        <v>101.142</v>
      </c>
      <c r="Y103" s="125">
        <v>45910.625</v>
      </c>
      <c r="Z103" s="54">
        <v>120.75</v>
      </c>
      <c r="BE103" s="75">
        <v>45897.625</v>
      </c>
      <c r="BF103" s="54">
        <v>81.010000000000005</v>
      </c>
      <c r="BI103" s="75">
        <v>45897.625</v>
      </c>
      <c r="BJ103" s="54">
        <v>110.2</v>
      </c>
      <c r="CA103" s="129">
        <v>45904.625</v>
      </c>
      <c r="CB103" s="54">
        <v>107.4136</v>
      </c>
      <c r="CC103" s="129">
        <v>45904.625</v>
      </c>
      <c r="CD103" s="54">
        <v>49.465000000000003</v>
      </c>
      <c r="CO103" s="129">
        <v>45901.625</v>
      </c>
      <c r="CP103" s="54">
        <v>268.10199999999998</v>
      </c>
      <c r="CQ103" s="129">
        <v>45901.625</v>
      </c>
      <c r="CR103" s="54">
        <v>55.500999999999998</v>
      </c>
    </row>
    <row r="104" spans="21:96" x14ac:dyDescent="0.3">
      <c r="U104" s="75">
        <v>45902.625</v>
      </c>
      <c r="V104" s="54">
        <v>94.24</v>
      </c>
      <c r="W104" s="75">
        <v>45897.625</v>
      </c>
      <c r="X104" s="54">
        <v>101.092</v>
      </c>
      <c r="Y104" s="125">
        <v>45911.625</v>
      </c>
      <c r="Z104" s="54">
        <v>120.76</v>
      </c>
      <c r="BE104" s="75">
        <v>45898.625</v>
      </c>
      <c r="BF104" s="54">
        <v>80.86</v>
      </c>
      <c r="BI104" s="75">
        <v>45898.625</v>
      </c>
      <c r="BJ104" s="54">
        <v>109.83</v>
      </c>
      <c r="CA104" s="129">
        <v>45905.625</v>
      </c>
      <c r="CB104" s="54">
        <v>107.2762</v>
      </c>
      <c r="CC104" s="129">
        <v>45905.625</v>
      </c>
      <c r="CD104" s="54">
        <v>50.021000000000001</v>
      </c>
      <c r="CO104" s="129">
        <v>45902.625</v>
      </c>
      <c r="CP104" s="54">
        <v>274.209</v>
      </c>
      <c r="CQ104" s="129">
        <v>45902.625</v>
      </c>
      <c r="CR104" s="54">
        <v>56.918999999999997</v>
      </c>
    </row>
    <row r="105" spans="21:96" x14ac:dyDescent="0.3">
      <c r="U105" s="75">
        <v>45903.625</v>
      </c>
      <c r="V105" s="54">
        <v>94.38</v>
      </c>
      <c r="W105" s="75">
        <v>45898.625</v>
      </c>
      <c r="X105" s="54">
        <v>101.096</v>
      </c>
      <c r="Y105" s="125">
        <v>45912.625</v>
      </c>
      <c r="Z105" s="54">
        <v>120.63</v>
      </c>
      <c r="BE105" s="75">
        <v>45902.625</v>
      </c>
      <c r="BF105" s="54">
        <v>80.39</v>
      </c>
      <c r="BI105" s="75">
        <v>45902.625</v>
      </c>
      <c r="BJ105" s="54">
        <v>109.05</v>
      </c>
      <c r="CA105" s="129">
        <v>45908.625</v>
      </c>
      <c r="CB105" s="54">
        <v>107.2625</v>
      </c>
      <c r="CC105" s="129">
        <v>45908.625</v>
      </c>
      <c r="CD105" s="54">
        <v>49.890999999999998</v>
      </c>
      <c r="CO105" s="129">
        <v>45903.625</v>
      </c>
      <c r="CP105" s="54">
        <v>267.14</v>
      </c>
      <c r="CQ105" s="129">
        <v>45903.625</v>
      </c>
      <c r="CR105" s="54">
        <v>55.265000000000001</v>
      </c>
    </row>
    <row r="106" spans="21:96" x14ac:dyDescent="0.3">
      <c r="U106" s="75">
        <v>45904.625</v>
      </c>
      <c r="V106" s="54">
        <v>94.54</v>
      </c>
      <c r="W106" s="75">
        <v>45901.625</v>
      </c>
      <c r="X106" s="54">
        <v>101.01900000000001</v>
      </c>
      <c r="Y106" s="125">
        <v>45915.625</v>
      </c>
      <c r="Z106" s="54">
        <v>120.7</v>
      </c>
      <c r="BE106" s="75">
        <v>45903.625</v>
      </c>
      <c r="BF106" s="54">
        <v>80.61</v>
      </c>
      <c r="BI106" s="75">
        <v>45903.625</v>
      </c>
      <c r="BJ106" s="54">
        <v>109.7</v>
      </c>
      <c r="CA106" s="129">
        <v>45909.625</v>
      </c>
      <c r="CB106" s="54">
        <v>107.24930000000001</v>
      </c>
      <c r="CC106" s="129">
        <v>45909.625</v>
      </c>
      <c r="CD106" s="54">
        <v>49.667000000000002</v>
      </c>
      <c r="CO106" s="129">
        <v>45904.625</v>
      </c>
      <c r="CP106" s="54">
        <v>264.74099999999999</v>
      </c>
      <c r="CQ106" s="129">
        <v>45904.625</v>
      </c>
      <c r="CR106" s="54">
        <v>54.372999999999998</v>
      </c>
    </row>
    <row r="107" spans="21:96" x14ac:dyDescent="0.3">
      <c r="U107" s="75">
        <v>45905.625</v>
      </c>
      <c r="V107" s="54">
        <v>94.64</v>
      </c>
      <c r="W107" s="75">
        <v>45902.625</v>
      </c>
      <c r="X107" s="54">
        <v>100.976</v>
      </c>
      <c r="Y107" s="125">
        <v>45916.625</v>
      </c>
      <c r="Z107" s="54">
        <v>120.66</v>
      </c>
      <c r="BE107" s="75">
        <v>45904.625</v>
      </c>
      <c r="BF107" s="54">
        <v>80.819999999999993</v>
      </c>
      <c r="BI107" s="75">
        <v>45904.625</v>
      </c>
      <c r="BJ107" s="54">
        <v>110.45</v>
      </c>
      <c r="CA107" s="129">
        <v>45910.625</v>
      </c>
      <c r="CB107" s="54">
        <v>107.3793</v>
      </c>
      <c r="CC107" s="129">
        <v>45910.625</v>
      </c>
      <c r="CD107" s="54">
        <v>49.031999999999996</v>
      </c>
      <c r="CO107" s="129">
        <v>45905.625</v>
      </c>
      <c r="CP107" s="54">
        <v>263.56599999999997</v>
      </c>
      <c r="CQ107" s="129">
        <v>45905.625</v>
      </c>
      <c r="CR107" s="54">
        <v>54.095999999999997</v>
      </c>
    </row>
    <row r="108" spans="21:96" x14ac:dyDescent="0.3">
      <c r="U108" s="75">
        <v>45908.625</v>
      </c>
      <c r="V108" s="54">
        <v>94.65</v>
      </c>
      <c r="W108" s="75">
        <v>45903.625</v>
      </c>
      <c r="X108" s="54">
        <v>101.038</v>
      </c>
      <c r="Y108" s="125">
        <v>45917.625</v>
      </c>
      <c r="Z108" s="54">
        <v>120.67</v>
      </c>
      <c r="BE108" s="75">
        <v>45905.625</v>
      </c>
      <c r="BF108" s="54">
        <v>80.87</v>
      </c>
      <c r="BI108" s="75">
        <v>45905.625</v>
      </c>
      <c r="BJ108" s="54">
        <v>111.17</v>
      </c>
      <c r="CA108" s="129">
        <v>45911.625</v>
      </c>
      <c r="CB108" s="54">
        <v>107.7234</v>
      </c>
      <c r="CC108" s="129">
        <v>45911.625</v>
      </c>
      <c r="CD108" s="54">
        <v>47.65</v>
      </c>
      <c r="CO108" s="129">
        <v>45908.625</v>
      </c>
      <c r="CP108" s="54">
        <v>261.50299999999999</v>
      </c>
      <c r="CQ108" s="129">
        <v>45908.625</v>
      </c>
      <c r="CR108" s="54">
        <v>53.42</v>
      </c>
    </row>
    <row r="109" spans="21:96" x14ac:dyDescent="0.3">
      <c r="U109" s="75">
        <v>45909.625</v>
      </c>
      <c r="V109" s="54">
        <v>94.54</v>
      </c>
      <c r="W109" s="75">
        <v>45904.625</v>
      </c>
      <c r="X109" s="54">
        <v>101.06399999999999</v>
      </c>
      <c r="Y109" s="125">
        <v>45918.625</v>
      </c>
      <c r="Z109" s="54">
        <v>120.7</v>
      </c>
      <c r="BE109" s="75">
        <v>45908.625</v>
      </c>
      <c r="BF109" s="54">
        <v>80.87</v>
      </c>
      <c r="BI109" s="75">
        <v>45908.625</v>
      </c>
      <c r="BJ109" s="54">
        <v>111.56</v>
      </c>
      <c r="CA109" s="129">
        <v>45912.625</v>
      </c>
      <c r="CB109" s="54">
        <v>107.64149999999999</v>
      </c>
      <c r="CC109" s="129">
        <v>45912.625</v>
      </c>
      <c r="CD109" s="54">
        <v>47.94</v>
      </c>
      <c r="CO109" s="129">
        <v>45909.625</v>
      </c>
      <c r="CP109" s="54">
        <v>261.88799999999998</v>
      </c>
      <c r="CQ109" s="129">
        <v>45909.625</v>
      </c>
      <c r="CR109" s="54">
        <v>53.2</v>
      </c>
    </row>
    <row r="110" spans="21:96" x14ac:dyDescent="0.3">
      <c r="U110" s="75">
        <v>45910.625</v>
      </c>
      <c r="V110" s="54">
        <v>94.53</v>
      </c>
      <c r="W110" s="75">
        <v>45905.625</v>
      </c>
      <c r="X110" s="54">
        <v>101.19</v>
      </c>
      <c r="Y110" s="125">
        <v>45919.625</v>
      </c>
      <c r="Z110" s="54">
        <v>120.71</v>
      </c>
      <c r="BE110" s="75">
        <v>45909.625</v>
      </c>
      <c r="BF110" s="54">
        <v>80.78</v>
      </c>
      <c r="BI110" s="75">
        <v>45909.625</v>
      </c>
      <c r="BJ110" s="54">
        <v>111.36</v>
      </c>
      <c r="CA110" s="129">
        <v>45915.625</v>
      </c>
      <c r="CB110" s="54">
        <v>107.8558</v>
      </c>
      <c r="CC110" s="129">
        <v>45915.625</v>
      </c>
      <c r="CD110" s="54">
        <v>47.017000000000003</v>
      </c>
      <c r="CO110" s="129">
        <v>45910.625</v>
      </c>
      <c r="CP110" s="54">
        <v>258.988</v>
      </c>
      <c r="CQ110" s="129">
        <v>45910.625</v>
      </c>
      <c r="CR110" s="54">
        <v>52.481000000000002</v>
      </c>
    </row>
    <row r="111" spans="21:96" x14ac:dyDescent="0.3">
      <c r="U111" s="75">
        <v>45911.625</v>
      </c>
      <c r="V111" s="54">
        <v>92.29</v>
      </c>
      <c r="W111" s="75">
        <v>45908.625</v>
      </c>
      <c r="X111" s="54">
        <v>101.23099999999999</v>
      </c>
      <c r="Y111" s="125">
        <v>45922.625</v>
      </c>
      <c r="Z111" s="54">
        <v>120.61</v>
      </c>
      <c r="BE111" s="75">
        <v>45910.625</v>
      </c>
      <c r="BF111" s="54">
        <v>80.84</v>
      </c>
      <c r="BI111" s="75">
        <v>45910.625</v>
      </c>
      <c r="BJ111" s="54">
        <v>111.69</v>
      </c>
      <c r="CA111" s="129">
        <v>45916.625</v>
      </c>
      <c r="CB111" s="54">
        <v>107.8259</v>
      </c>
      <c r="CC111" s="129">
        <v>45916.625</v>
      </c>
      <c r="CD111" s="54">
        <v>47.42</v>
      </c>
      <c r="CO111" s="129">
        <v>45911.625</v>
      </c>
      <c r="CP111" s="54">
        <v>253.00800000000001</v>
      </c>
      <c r="CQ111" s="129">
        <v>45911.625</v>
      </c>
      <c r="CR111" s="54">
        <v>51.143000000000001</v>
      </c>
    </row>
    <row r="112" spans="21:96" x14ac:dyDescent="0.3">
      <c r="U112" s="75">
        <v>45912.625</v>
      </c>
      <c r="V112" s="54">
        <v>92.46</v>
      </c>
      <c r="W112" s="75">
        <v>45909.625</v>
      </c>
      <c r="X112" s="54">
        <v>101.163</v>
      </c>
      <c r="Y112" s="125">
        <v>45923.625</v>
      </c>
      <c r="Z112" s="54">
        <v>120.6</v>
      </c>
      <c r="BE112" s="75">
        <v>45911.625</v>
      </c>
      <c r="BF112" s="54">
        <v>81.040000000000006</v>
      </c>
      <c r="BI112" s="75">
        <v>45911.625</v>
      </c>
      <c r="BJ112" s="54">
        <v>112.21</v>
      </c>
      <c r="CA112" s="129">
        <v>45917.625</v>
      </c>
      <c r="CB112" s="54">
        <v>107.72799999999999</v>
      </c>
      <c r="CC112" s="129">
        <v>45917.625</v>
      </c>
      <c r="CD112" s="54">
        <v>47.936999999999998</v>
      </c>
      <c r="CO112" s="129">
        <v>45912.625</v>
      </c>
      <c r="CP112" s="54">
        <v>252.27</v>
      </c>
      <c r="CQ112" s="129">
        <v>45912.625</v>
      </c>
      <c r="CR112" s="54">
        <v>50.945999999999998</v>
      </c>
    </row>
    <row r="113" spans="21:96" x14ac:dyDescent="0.3">
      <c r="U113" s="75">
        <v>45915.625</v>
      </c>
      <c r="V113" s="54">
        <v>92.46</v>
      </c>
      <c r="W113" s="75">
        <v>45910.625</v>
      </c>
      <c r="X113" s="54">
        <v>101.126</v>
      </c>
      <c r="Y113" s="125">
        <v>45924.625</v>
      </c>
      <c r="Z113" s="54">
        <v>120.67</v>
      </c>
      <c r="BE113" s="75">
        <v>45912.625</v>
      </c>
      <c r="BF113" s="54">
        <v>80.959999999999994</v>
      </c>
      <c r="BI113" s="75">
        <v>45912.625</v>
      </c>
      <c r="BJ113" s="54">
        <v>112.01</v>
      </c>
      <c r="CA113" s="129">
        <v>45918.625</v>
      </c>
      <c r="CB113" s="54">
        <v>107.9539</v>
      </c>
      <c r="CC113" s="129">
        <v>45918.625</v>
      </c>
      <c r="CD113" s="54">
        <v>46.959000000000003</v>
      </c>
      <c r="CO113" s="129">
        <v>45915.625</v>
      </c>
      <c r="CP113" s="54">
        <v>247.80699999999999</v>
      </c>
      <c r="CQ113" s="129">
        <v>45915.625</v>
      </c>
      <c r="CR113" s="54">
        <v>50.042000000000002</v>
      </c>
    </row>
    <row r="114" spans="21:96" x14ac:dyDescent="0.3">
      <c r="U114" s="75">
        <v>45916.625</v>
      </c>
      <c r="V114" s="54">
        <v>92.35</v>
      </c>
      <c r="W114" s="75">
        <v>45911.625</v>
      </c>
      <c r="X114" s="54">
        <v>101.012</v>
      </c>
      <c r="Y114" s="125">
        <v>45925.625</v>
      </c>
      <c r="Z114" s="54">
        <v>120.43</v>
      </c>
      <c r="BE114" s="75">
        <v>45915.625</v>
      </c>
      <c r="BF114" s="54">
        <v>81.19</v>
      </c>
      <c r="BI114" s="75">
        <v>45915.625</v>
      </c>
      <c r="BJ114" s="54">
        <v>112.36</v>
      </c>
      <c r="CA114" s="129">
        <v>45919.625</v>
      </c>
      <c r="CB114" s="54">
        <v>107.8977</v>
      </c>
      <c r="CC114" s="129">
        <v>45919.625</v>
      </c>
      <c r="CD114" s="54">
        <v>47.231000000000002</v>
      </c>
      <c r="CO114" s="129">
        <v>45916.625</v>
      </c>
      <c r="CP114" s="54">
        <v>251.81700000000001</v>
      </c>
      <c r="CQ114" s="129">
        <v>45916.625</v>
      </c>
      <c r="CR114" s="54">
        <v>50.780999999999999</v>
      </c>
    </row>
    <row r="115" spans="21:96" x14ac:dyDescent="0.3">
      <c r="U115" s="75">
        <v>45917.625</v>
      </c>
      <c r="V115" s="54">
        <v>92.39</v>
      </c>
      <c r="W115" s="75">
        <v>45912.625</v>
      </c>
      <c r="X115" s="54">
        <v>100.934</v>
      </c>
      <c r="Y115" s="125">
        <v>45929.625</v>
      </c>
      <c r="Z115" s="54">
        <v>120.76</v>
      </c>
      <c r="BE115" s="75">
        <v>45916.625</v>
      </c>
      <c r="BF115" s="54">
        <v>81.13</v>
      </c>
      <c r="BI115" s="75">
        <v>45916.625</v>
      </c>
      <c r="BJ115" s="54">
        <v>112.26</v>
      </c>
      <c r="CA115" s="129">
        <v>45922.625</v>
      </c>
      <c r="CB115" s="54">
        <v>107.9379</v>
      </c>
      <c r="CC115" s="129">
        <v>45922.625</v>
      </c>
      <c r="CD115" s="54">
        <v>47.365000000000002</v>
      </c>
      <c r="CO115" s="129">
        <v>45917.625</v>
      </c>
      <c r="CP115" s="54">
        <v>251.23599999999999</v>
      </c>
      <c r="CQ115" s="129">
        <v>45917.625</v>
      </c>
      <c r="CR115" s="54">
        <v>50.738</v>
      </c>
    </row>
    <row r="116" spans="21:96" x14ac:dyDescent="0.3">
      <c r="U116" s="75">
        <v>45918.625</v>
      </c>
      <c r="V116" s="54">
        <v>92.67</v>
      </c>
      <c r="W116" s="75">
        <v>45915.625</v>
      </c>
      <c r="X116" s="54">
        <v>100.944</v>
      </c>
      <c r="Y116" s="125">
        <v>45930.625</v>
      </c>
      <c r="Z116" s="54">
        <v>120.78</v>
      </c>
      <c r="BE116" s="75">
        <v>45917.625</v>
      </c>
      <c r="BF116" s="54">
        <v>81.05</v>
      </c>
      <c r="BI116" s="75">
        <v>45917.625</v>
      </c>
      <c r="BJ116" s="54">
        <v>112.06</v>
      </c>
      <c r="CA116" s="129">
        <v>45923.625</v>
      </c>
      <c r="CB116" s="54">
        <v>107.82299999999999</v>
      </c>
      <c r="CC116" s="129">
        <v>45923.625</v>
      </c>
      <c r="CD116" s="54">
        <v>47.701000000000001</v>
      </c>
      <c r="CO116" s="129">
        <v>45918.625</v>
      </c>
      <c r="CP116" s="54">
        <v>247.51499999999999</v>
      </c>
      <c r="CQ116" s="129">
        <v>45918.625</v>
      </c>
      <c r="CR116" s="54">
        <v>50.093000000000004</v>
      </c>
    </row>
    <row r="117" spans="21:96" x14ac:dyDescent="0.3">
      <c r="U117" s="75">
        <v>45919.625</v>
      </c>
      <c r="V117" s="54">
        <v>92.67</v>
      </c>
      <c r="W117" s="75">
        <v>45916.625</v>
      </c>
      <c r="X117" s="54">
        <v>100.953</v>
      </c>
      <c r="Y117" s="125">
        <v>45931.625</v>
      </c>
      <c r="Z117" s="54">
        <v>120.85</v>
      </c>
      <c r="BE117" s="75">
        <v>45918.625</v>
      </c>
      <c r="BF117" s="54">
        <v>81.23</v>
      </c>
      <c r="BI117" s="75">
        <v>45918.625</v>
      </c>
      <c r="BJ117" s="54">
        <v>111.83</v>
      </c>
      <c r="CA117" s="129">
        <v>45924.625</v>
      </c>
      <c r="CB117" s="54">
        <v>107.7465</v>
      </c>
      <c r="CC117" s="129">
        <v>45924.625</v>
      </c>
      <c r="CD117" s="54">
        <v>48.238999999999997</v>
      </c>
      <c r="CO117" s="129">
        <v>45919.625</v>
      </c>
      <c r="CP117" s="54">
        <v>248.51300000000001</v>
      </c>
      <c r="CQ117" s="129">
        <v>45919.625</v>
      </c>
      <c r="CR117" s="54">
        <v>50.19</v>
      </c>
    </row>
    <row r="118" spans="21:96" x14ac:dyDescent="0.3">
      <c r="U118" s="75">
        <v>45922.625</v>
      </c>
      <c r="V118" s="54">
        <v>92.52</v>
      </c>
      <c r="W118" s="75">
        <v>45917.625</v>
      </c>
      <c r="X118" s="54">
        <v>100.971</v>
      </c>
      <c r="Y118" s="125">
        <v>45932.625</v>
      </c>
      <c r="Z118" s="54">
        <v>120.92</v>
      </c>
      <c r="BE118" s="75">
        <v>45919.625</v>
      </c>
      <c r="BF118" s="54">
        <v>81.260000000000005</v>
      </c>
      <c r="BI118" s="75">
        <v>45919.625</v>
      </c>
      <c r="BJ118" s="54">
        <v>111.74</v>
      </c>
      <c r="CA118" s="129">
        <v>45925.625</v>
      </c>
      <c r="CB118" s="54">
        <v>107.6015</v>
      </c>
      <c r="CC118" s="129">
        <v>45925.625</v>
      </c>
      <c r="CD118" s="54">
        <v>48.945</v>
      </c>
      <c r="CO118" s="129">
        <v>45922.625</v>
      </c>
      <c r="CP118" s="54">
        <v>247.34700000000001</v>
      </c>
      <c r="CQ118" s="129">
        <v>45922.625</v>
      </c>
      <c r="CR118" s="54">
        <v>50.252000000000002</v>
      </c>
    </row>
    <row r="119" spans="21:96" x14ac:dyDescent="0.3">
      <c r="U119" s="75">
        <v>45923.625</v>
      </c>
      <c r="V119" s="54">
        <v>92.67</v>
      </c>
      <c r="W119" s="75">
        <v>45918.625</v>
      </c>
      <c r="X119" s="54">
        <v>100.956</v>
      </c>
      <c r="Y119" s="125">
        <v>45933.625</v>
      </c>
      <c r="Z119" s="54">
        <v>120.97</v>
      </c>
      <c r="BE119" s="75">
        <v>45922.625</v>
      </c>
      <c r="BF119" s="54">
        <v>81.319999999999993</v>
      </c>
      <c r="BI119" s="75">
        <v>45922.625</v>
      </c>
      <c r="BJ119" s="54">
        <v>111.48</v>
      </c>
      <c r="CA119" s="129">
        <v>45926.625</v>
      </c>
      <c r="CB119" s="54">
        <v>107.7762</v>
      </c>
      <c r="CC119" s="129">
        <v>45926.625</v>
      </c>
      <c r="CD119" s="54">
        <v>48.259</v>
      </c>
      <c r="CO119" s="129">
        <v>45923.625</v>
      </c>
      <c r="CP119" s="54">
        <v>242.93100000000001</v>
      </c>
      <c r="CQ119" s="129">
        <v>45923.625</v>
      </c>
      <c r="CR119" s="54">
        <v>49.594999999999999</v>
      </c>
    </row>
    <row r="120" spans="21:96" x14ac:dyDescent="0.3">
      <c r="U120" s="75">
        <v>45924.625</v>
      </c>
      <c r="V120" s="54">
        <v>92.59</v>
      </c>
      <c r="W120" s="75">
        <v>45919.625</v>
      </c>
      <c r="X120" s="54">
        <v>100.904</v>
      </c>
      <c r="Y120" s="125">
        <v>45936.625</v>
      </c>
      <c r="Z120" s="54">
        <v>120.96</v>
      </c>
      <c r="BE120" s="75">
        <v>45923.625</v>
      </c>
      <c r="BF120" s="54">
        <v>81.260000000000005</v>
      </c>
      <c r="BI120" s="75">
        <v>45923.625</v>
      </c>
      <c r="BJ120" s="54">
        <v>111.71</v>
      </c>
      <c r="CA120" s="129">
        <v>45929.625</v>
      </c>
      <c r="CB120" s="54">
        <v>107.9713</v>
      </c>
      <c r="CC120" s="129">
        <v>45929.625</v>
      </c>
      <c r="CD120" s="54">
        <v>47.534999999999997</v>
      </c>
      <c r="CO120" s="129">
        <v>45924.625</v>
      </c>
      <c r="CP120" s="54">
        <v>243.08600000000001</v>
      </c>
      <c r="CQ120" s="129">
        <v>45924.625</v>
      </c>
      <c r="CR120" s="54">
        <v>49.652999999999999</v>
      </c>
    </row>
    <row r="121" spans="21:96" x14ac:dyDescent="0.3">
      <c r="U121" s="75">
        <v>45925.625</v>
      </c>
      <c r="V121" s="54">
        <v>92.45</v>
      </c>
      <c r="W121" s="75">
        <v>45922.625</v>
      </c>
      <c r="X121" s="54">
        <v>100.913</v>
      </c>
      <c r="Y121" s="125">
        <v>45937.625</v>
      </c>
      <c r="Z121" s="54">
        <v>120.93</v>
      </c>
      <c r="BE121" s="75">
        <v>45924.625</v>
      </c>
      <c r="BF121" s="54">
        <v>81.150000000000006</v>
      </c>
      <c r="BI121" s="75">
        <v>45924.625</v>
      </c>
      <c r="BJ121" s="54">
        <v>111.26</v>
      </c>
      <c r="CA121" s="129">
        <v>45930.625</v>
      </c>
      <c r="CB121" s="54">
        <v>107.99469999999999</v>
      </c>
      <c r="CC121" s="129">
        <v>45930.625</v>
      </c>
      <c r="CD121" s="54">
        <v>47.451999999999998</v>
      </c>
      <c r="CO121" s="129">
        <v>45925.625</v>
      </c>
      <c r="CP121" s="54">
        <v>247.20099999999999</v>
      </c>
      <c r="CQ121" s="129">
        <v>45925.625</v>
      </c>
      <c r="CR121" s="54">
        <v>50.735999999999997</v>
      </c>
    </row>
    <row r="122" spans="21:96" x14ac:dyDescent="0.3">
      <c r="U122" s="75">
        <v>45926.625</v>
      </c>
      <c r="V122" s="54">
        <v>92.46</v>
      </c>
      <c r="W122" s="75">
        <v>45923.625</v>
      </c>
      <c r="X122" s="54">
        <v>100.883</v>
      </c>
      <c r="Y122" s="125">
        <v>45938.625</v>
      </c>
      <c r="Z122" s="54">
        <v>121.12</v>
      </c>
      <c r="BE122" s="75">
        <v>45925.625</v>
      </c>
      <c r="BF122" s="54">
        <v>80.92</v>
      </c>
      <c r="BI122" s="75">
        <v>45925.625</v>
      </c>
      <c r="BJ122" s="54">
        <v>111.06</v>
      </c>
      <c r="CA122" s="129">
        <v>45931.625</v>
      </c>
      <c r="CB122" s="54">
        <v>107.9406</v>
      </c>
      <c r="CC122" s="129">
        <v>45931.625</v>
      </c>
      <c r="CD122" s="54">
        <v>47.582000000000001</v>
      </c>
      <c r="CO122" s="129">
        <v>45926.625</v>
      </c>
      <c r="CP122" s="54">
        <v>244.453</v>
      </c>
      <c r="CQ122" s="129">
        <v>45926.625</v>
      </c>
      <c r="CR122" s="54">
        <v>50.292000000000002</v>
      </c>
    </row>
    <row r="123" spans="21:96" x14ac:dyDescent="0.3">
      <c r="U123" s="75">
        <v>45929.625</v>
      </c>
      <c r="V123" s="54">
        <v>92.5</v>
      </c>
      <c r="W123" s="75">
        <v>45924.625</v>
      </c>
      <c r="X123" s="54">
        <v>100.893</v>
      </c>
      <c r="Y123" s="125">
        <v>45939.625</v>
      </c>
      <c r="Z123" s="54">
        <v>120.99</v>
      </c>
      <c r="BE123" s="75">
        <v>45926.625</v>
      </c>
      <c r="BF123" s="54">
        <v>81.08</v>
      </c>
      <c r="BI123" s="75">
        <v>45926.625</v>
      </c>
      <c r="BJ123" s="54">
        <v>111.21</v>
      </c>
      <c r="CA123" s="129">
        <v>45932.625</v>
      </c>
      <c r="CB123" s="54">
        <v>107.9785</v>
      </c>
      <c r="CC123" s="129">
        <v>45932.625</v>
      </c>
      <c r="CD123" s="54">
        <v>47.204999999999998</v>
      </c>
      <c r="CO123" s="129">
        <v>45929.625</v>
      </c>
      <c r="CP123" s="54">
        <v>241.69499999999999</v>
      </c>
      <c r="CQ123" s="129">
        <v>45929.625</v>
      </c>
      <c r="CR123" s="54">
        <v>49.634</v>
      </c>
    </row>
    <row r="124" spans="21:96" x14ac:dyDescent="0.3">
      <c r="U124" s="75">
        <v>45930.625</v>
      </c>
      <c r="V124" s="54">
        <v>92.47</v>
      </c>
      <c r="W124" s="75">
        <v>45925.625</v>
      </c>
      <c r="X124" s="54">
        <v>100.822</v>
      </c>
      <c r="Y124" s="125">
        <v>45940.625</v>
      </c>
      <c r="Z124" s="54">
        <v>121</v>
      </c>
      <c r="BE124" s="75">
        <v>45929.625</v>
      </c>
      <c r="BF124" s="54">
        <v>81.22</v>
      </c>
      <c r="BI124" s="75">
        <v>45929.625</v>
      </c>
      <c r="BJ124" s="54">
        <v>111.58</v>
      </c>
      <c r="CA124" s="129">
        <v>45933.625</v>
      </c>
      <c r="CB124" s="54">
        <v>107.9615</v>
      </c>
      <c r="CC124" s="129">
        <v>45933.625</v>
      </c>
      <c r="CD124" s="54">
        <v>47.156999999999996</v>
      </c>
      <c r="CO124" s="129">
        <v>45930.625</v>
      </c>
      <c r="CP124" s="54">
        <v>240.52799999999999</v>
      </c>
      <c r="CQ124" s="129">
        <v>45930.625</v>
      </c>
      <c r="CR124" s="54">
        <v>49.851999999999997</v>
      </c>
    </row>
    <row r="125" spans="21:96" x14ac:dyDescent="0.3">
      <c r="U125" s="75">
        <v>45931.625</v>
      </c>
      <c r="V125" s="54">
        <v>92.57</v>
      </c>
      <c r="W125" s="75">
        <v>45926.625</v>
      </c>
      <c r="X125" s="54">
        <v>100.866</v>
      </c>
      <c r="Y125" s="125">
        <v>45943.625</v>
      </c>
      <c r="Z125" s="54">
        <v>121.1</v>
      </c>
      <c r="BE125" s="75">
        <v>45930.625</v>
      </c>
      <c r="BF125" s="54">
        <v>81.19</v>
      </c>
      <c r="BI125" s="75">
        <v>45930.625</v>
      </c>
      <c r="BJ125" s="54">
        <v>111.47</v>
      </c>
      <c r="CA125" s="129">
        <v>45936.625</v>
      </c>
      <c r="CB125" s="54">
        <v>108.1194</v>
      </c>
      <c r="CC125" s="129">
        <v>45936.625</v>
      </c>
      <c r="CD125" s="54">
        <v>46.581000000000003</v>
      </c>
      <c r="CO125" s="129">
        <v>45931.625</v>
      </c>
      <c r="CP125" s="54">
        <v>239.28700000000001</v>
      </c>
      <c r="CQ125" s="129">
        <v>45931.625</v>
      </c>
      <c r="CR125" s="54">
        <v>49.369</v>
      </c>
    </row>
    <row r="126" spans="21:96" x14ac:dyDescent="0.3">
      <c r="U126" s="75">
        <v>45932.625</v>
      </c>
      <c r="V126" s="54">
        <v>92.64</v>
      </c>
      <c r="W126" s="75">
        <v>45929.625</v>
      </c>
      <c r="X126" s="54">
        <v>100.89</v>
      </c>
      <c r="Y126" s="125">
        <v>45944.625</v>
      </c>
      <c r="Z126" s="54">
        <v>121.2</v>
      </c>
      <c r="BE126" s="75">
        <v>45931.625</v>
      </c>
      <c r="BF126" s="54">
        <v>80.959999999999994</v>
      </c>
      <c r="BI126" s="75">
        <v>45931.625</v>
      </c>
      <c r="BJ126" s="54">
        <v>111.51</v>
      </c>
      <c r="CA126" s="129">
        <v>45937.625</v>
      </c>
      <c r="CB126" s="54">
        <v>108.0094</v>
      </c>
      <c r="CC126" s="129">
        <v>45937.625</v>
      </c>
      <c r="CD126" s="54">
        <v>47.156999999999996</v>
      </c>
      <c r="CO126" s="129">
        <v>45932.625</v>
      </c>
      <c r="CP126" s="54">
        <v>236.33199999999999</v>
      </c>
      <c r="CQ126" s="129">
        <v>45932.625</v>
      </c>
      <c r="CR126" s="54">
        <v>48.860999999999997</v>
      </c>
    </row>
    <row r="127" spans="21:96" x14ac:dyDescent="0.3">
      <c r="U127" s="75">
        <v>45933.625</v>
      </c>
      <c r="V127" s="54">
        <v>92.6</v>
      </c>
      <c r="W127" s="75">
        <v>45930.625</v>
      </c>
      <c r="X127" s="54">
        <v>100.89400000000001</v>
      </c>
      <c r="Y127" s="125">
        <v>45945.625</v>
      </c>
      <c r="Z127" s="54">
        <v>121.62</v>
      </c>
      <c r="BE127" s="75">
        <v>45932.625</v>
      </c>
      <c r="BF127" s="54">
        <v>80.930000000000007</v>
      </c>
      <c r="BI127" s="75">
        <v>45932.625</v>
      </c>
      <c r="BJ127" s="54">
        <v>111.69</v>
      </c>
      <c r="CA127" s="129">
        <v>45938.625</v>
      </c>
      <c r="CB127" s="54">
        <v>107.92919999999999</v>
      </c>
      <c r="CC127" s="129">
        <v>45938.625</v>
      </c>
      <c r="CD127" s="54">
        <v>47.487000000000002</v>
      </c>
      <c r="CO127" s="129">
        <v>45933.625</v>
      </c>
      <c r="CP127" s="54">
        <v>235.94200000000001</v>
      </c>
      <c r="CQ127" s="129">
        <v>45933.625</v>
      </c>
      <c r="CR127" s="54">
        <v>48.695999999999998</v>
      </c>
    </row>
    <row r="128" spans="21:96" x14ac:dyDescent="0.3">
      <c r="U128" s="75">
        <v>45936.625</v>
      </c>
      <c r="V128" s="54">
        <v>92.49</v>
      </c>
      <c r="W128" s="75">
        <v>45931.625</v>
      </c>
      <c r="X128" s="54">
        <v>100.92</v>
      </c>
      <c r="Y128" s="125">
        <v>45946.625</v>
      </c>
      <c r="Z128" s="54">
        <v>121.6</v>
      </c>
      <c r="BE128" s="75">
        <v>45933.625</v>
      </c>
      <c r="BF128" s="54">
        <v>80.84</v>
      </c>
      <c r="BI128" s="75">
        <v>45933.625</v>
      </c>
      <c r="BJ128" s="54">
        <v>111.55</v>
      </c>
      <c r="CA128" s="129">
        <v>45939.625</v>
      </c>
      <c r="CB128" s="54">
        <v>107.73399999999999</v>
      </c>
      <c r="CC128" s="129">
        <v>45939.625</v>
      </c>
      <c r="CD128" s="54">
        <v>48.017000000000003</v>
      </c>
      <c r="CO128" s="129">
        <v>45936.625</v>
      </c>
      <c r="CP128" s="54">
        <v>239.226</v>
      </c>
      <c r="CQ128" s="129">
        <v>45936.625</v>
      </c>
      <c r="CR128" s="54">
        <v>49.597000000000001</v>
      </c>
    </row>
    <row r="129" spans="21:96" x14ac:dyDescent="0.3">
      <c r="U129" s="75">
        <v>45937.625</v>
      </c>
      <c r="V129" s="54">
        <v>92.19</v>
      </c>
      <c r="W129" s="75">
        <v>45932.625</v>
      </c>
      <c r="X129" s="54">
        <v>100.905</v>
      </c>
      <c r="Y129" s="125">
        <v>45947.625</v>
      </c>
      <c r="Z129" s="54">
        <v>121.51</v>
      </c>
      <c r="BE129" s="75">
        <v>45936.625</v>
      </c>
      <c r="BF129" s="54">
        <v>80.86</v>
      </c>
      <c r="BI129" s="75">
        <v>45936.625</v>
      </c>
      <c r="BJ129" s="54">
        <v>111.19</v>
      </c>
      <c r="CA129" s="129">
        <v>45940.625</v>
      </c>
      <c r="CB129" s="54">
        <v>107.01220000000001</v>
      </c>
      <c r="CC129" s="129">
        <v>45940.625</v>
      </c>
      <c r="CD129" s="54">
        <v>51.024000000000001</v>
      </c>
      <c r="CO129" s="129">
        <v>45937.625</v>
      </c>
      <c r="CP129" s="54">
        <v>242.00200000000001</v>
      </c>
      <c r="CQ129" s="129">
        <v>45937.625</v>
      </c>
      <c r="CR129" s="54">
        <v>49.996000000000002</v>
      </c>
    </row>
    <row r="130" spans="21:96" x14ac:dyDescent="0.3">
      <c r="U130" s="75">
        <v>45938.625</v>
      </c>
      <c r="V130" s="54">
        <v>92.12</v>
      </c>
      <c r="W130" s="75">
        <v>45933.625</v>
      </c>
      <c r="X130" s="54">
        <v>100.893</v>
      </c>
      <c r="BE130" s="75">
        <v>45937.625</v>
      </c>
      <c r="BF130" s="54">
        <v>80.77</v>
      </c>
      <c r="BI130" s="75">
        <v>45937.625</v>
      </c>
      <c r="BJ130" s="54">
        <v>111.4</v>
      </c>
      <c r="CA130" s="129">
        <v>45944.625</v>
      </c>
      <c r="CB130" s="54">
        <v>107.4841</v>
      </c>
      <c r="CC130" s="129">
        <v>45944.625</v>
      </c>
      <c r="CD130" s="54">
        <v>48.805</v>
      </c>
      <c r="CO130" s="129">
        <v>45938.625</v>
      </c>
      <c r="CP130" s="54">
        <v>244.23400000000001</v>
      </c>
      <c r="CQ130" s="129">
        <v>45938.625</v>
      </c>
      <c r="CR130" s="54">
        <v>50.073</v>
      </c>
    </row>
    <row r="131" spans="21:96" x14ac:dyDescent="0.3">
      <c r="U131" s="75">
        <v>45939.625</v>
      </c>
      <c r="V131" s="54">
        <v>92</v>
      </c>
      <c r="W131" s="75">
        <v>45936.625</v>
      </c>
      <c r="X131" s="54">
        <v>100.928</v>
      </c>
      <c r="BE131" s="75">
        <v>45938.625</v>
      </c>
      <c r="BF131" s="54">
        <v>80.650000000000006</v>
      </c>
      <c r="BI131" s="75">
        <v>45938.625</v>
      </c>
      <c r="BJ131" s="54">
        <v>111.26</v>
      </c>
      <c r="CA131" s="129">
        <v>45945.625</v>
      </c>
      <c r="CB131" s="54">
        <v>107.62390000000001</v>
      </c>
      <c r="CC131" s="129">
        <v>45945.625</v>
      </c>
      <c r="CD131" s="54">
        <v>48.523000000000003</v>
      </c>
      <c r="CO131" s="129">
        <v>45939.625</v>
      </c>
      <c r="CP131" s="54">
        <v>249.739</v>
      </c>
      <c r="CQ131" s="129">
        <v>45939.625</v>
      </c>
      <c r="CR131" s="54">
        <v>50.813000000000002</v>
      </c>
    </row>
    <row r="132" spans="21:96" x14ac:dyDescent="0.3">
      <c r="U132" s="75">
        <v>45940.625</v>
      </c>
      <c r="V132" s="54">
        <v>91.78</v>
      </c>
      <c r="W132" s="75">
        <v>45937.625</v>
      </c>
      <c r="X132" s="54">
        <v>100.908</v>
      </c>
      <c r="BE132" s="75">
        <v>45939.625</v>
      </c>
      <c r="BF132" s="54">
        <v>80.42</v>
      </c>
      <c r="BI132" s="75">
        <v>45939.625</v>
      </c>
      <c r="BJ132" s="54">
        <v>111.04</v>
      </c>
      <c r="CA132" s="129">
        <v>45946.625</v>
      </c>
      <c r="CB132" s="54">
        <v>107.2029</v>
      </c>
      <c r="CC132" s="129">
        <v>45946.625</v>
      </c>
      <c r="CD132" s="54">
        <v>50.155999999999999</v>
      </c>
      <c r="CO132" s="129">
        <v>45940.625</v>
      </c>
      <c r="CP132" s="54">
        <v>260.29199999999997</v>
      </c>
      <c r="CQ132" s="129">
        <v>45940.625</v>
      </c>
      <c r="CR132" s="54">
        <v>52.987000000000002</v>
      </c>
    </row>
    <row r="133" spans="21:96" x14ac:dyDescent="0.3">
      <c r="U133" s="75">
        <v>45943.625</v>
      </c>
      <c r="V133" s="54">
        <v>91.79</v>
      </c>
      <c r="W133" s="75">
        <v>45938.625</v>
      </c>
      <c r="X133" s="54">
        <v>100.99299999999999</v>
      </c>
      <c r="BE133" s="75">
        <v>45940.625</v>
      </c>
      <c r="BF133" s="54">
        <v>79.984999999999999</v>
      </c>
      <c r="BI133" s="75">
        <v>45940.625</v>
      </c>
      <c r="BJ133" s="54">
        <v>111.36</v>
      </c>
      <c r="CO133" s="129">
        <v>45943.625</v>
      </c>
      <c r="CP133" s="54">
        <v>260.25400000000002</v>
      </c>
      <c r="CQ133" s="129">
        <v>45943.625</v>
      </c>
      <c r="CR133" s="54">
        <v>53.084000000000003</v>
      </c>
    </row>
    <row r="134" spans="21:96" x14ac:dyDescent="0.3">
      <c r="U134" s="75">
        <v>45944.625</v>
      </c>
      <c r="V134" s="54">
        <v>91.85</v>
      </c>
      <c r="W134" s="75">
        <v>45939.625</v>
      </c>
      <c r="X134" s="54">
        <v>100.934</v>
      </c>
      <c r="BE134" s="75">
        <v>45943.625</v>
      </c>
      <c r="BF134" s="54">
        <v>80.45</v>
      </c>
      <c r="BI134" s="75">
        <v>45943.625</v>
      </c>
      <c r="BJ134" s="54">
        <v>111.73</v>
      </c>
      <c r="CO134" s="129">
        <v>45944.625</v>
      </c>
      <c r="CP134" s="54">
        <v>257.16699999999997</v>
      </c>
      <c r="CQ134" s="129">
        <v>45944.625</v>
      </c>
      <c r="CR134" s="54">
        <v>52.110999999999997</v>
      </c>
    </row>
    <row r="135" spans="21:96" x14ac:dyDescent="0.3">
      <c r="U135" s="75">
        <v>45945.625</v>
      </c>
      <c r="V135" s="54">
        <v>92.38</v>
      </c>
      <c r="W135" s="75">
        <v>45940.625</v>
      </c>
      <c r="X135" s="54">
        <v>101.017</v>
      </c>
      <c r="BE135" s="75">
        <v>45944.625</v>
      </c>
      <c r="BF135" s="54">
        <v>80.540000000000006</v>
      </c>
      <c r="BI135" s="75">
        <v>45944.625</v>
      </c>
      <c r="BJ135" s="54">
        <v>112.1</v>
      </c>
      <c r="CO135" s="129">
        <v>45945.625</v>
      </c>
      <c r="CP135" s="54">
        <v>245.131</v>
      </c>
      <c r="CQ135" s="129">
        <v>45945.625</v>
      </c>
      <c r="CR135" s="54">
        <v>49.81</v>
      </c>
    </row>
    <row r="136" spans="21:96" x14ac:dyDescent="0.3">
      <c r="U136" s="75">
        <v>45946.625</v>
      </c>
      <c r="V136" s="54">
        <v>92.23</v>
      </c>
      <c r="W136" s="75">
        <v>45943.625</v>
      </c>
      <c r="X136" s="54">
        <v>101.122</v>
      </c>
      <c r="BE136" s="75">
        <v>45945.625</v>
      </c>
      <c r="BF136" s="54">
        <v>80.8</v>
      </c>
      <c r="BI136" s="75">
        <v>45945.625</v>
      </c>
      <c r="BJ136" s="54">
        <v>112.1</v>
      </c>
      <c r="CO136" s="129">
        <v>45946.625</v>
      </c>
      <c r="CP136" s="54">
        <v>250.49600000000001</v>
      </c>
      <c r="CQ136" s="129">
        <v>45946.625</v>
      </c>
      <c r="CR136" s="54">
        <v>50.529000000000003</v>
      </c>
    </row>
    <row r="137" spans="21:96" x14ac:dyDescent="0.3">
      <c r="U137" s="75">
        <v>45947.625</v>
      </c>
      <c r="V137" s="54">
        <v>92.1</v>
      </c>
      <c r="W137" s="75">
        <v>45944.625</v>
      </c>
      <c r="X137" s="54">
        <v>101.13800000000001</v>
      </c>
      <c r="BE137" s="75">
        <v>45946.625</v>
      </c>
      <c r="BF137" s="54">
        <v>80.510000000000005</v>
      </c>
      <c r="BI137" s="75">
        <v>45946.625</v>
      </c>
      <c r="BJ137" s="54">
        <v>112.42</v>
      </c>
      <c r="CO137" s="129">
        <v>45947.625</v>
      </c>
      <c r="CP137" s="54">
        <v>255.01499999999999</v>
      </c>
      <c r="CQ137" s="129">
        <v>45947.625</v>
      </c>
      <c r="CR137" s="54">
        <v>51.85</v>
      </c>
    </row>
    <row r="138" spans="21:96" x14ac:dyDescent="0.3">
      <c r="W138" s="75">
        <v>45945.625</v>
      </c>
      <c r="X138" s="54">
        <v>101.23699999999999</v>
      </c>
    </row>
    <row r="139" spans="21:96" x14ac:dyDescent="0.3">
      <c r="W139" s="75">
        <v>45946.625</v>
      </c>
      <c r="X139" s="54">
        <v>101.221</v>
      </c>
    </row>
    <row r="140" spans="21:96" x14ac:dyDescent="0.3">
      <c r="W140" s="75">
        <v>45947.625</v>
      </c>
      <c r="X140" s="54">
        <v>101.253</v>
      </c>
    </row>
  </sheetData>
  <mergeCells count="14">
    <mergeCell ref="AJ12:AL12"/>
    <mergeCell ref="B12:D12"/>
    <mergeCell ref="E12:G12"/>
    <mergeCell ref="H12:J12"/>
    <mergeCell ref="K12:M12"/>
    <mergeCell ref="AG12:AI12"/>
    <mergeCell ref="CG12:CI12"/>
    <mergeCell ref="CJ12:CL12"/>
    <mergeCell ref="AM12:AO12"/>
    <mergeCell ref="AP12:AR12"/>
    <mergeCell ref="AS12:AU12"/>
    <mergeCell ref="AV12:AX12"/>
    <mergeCell ref="BS12:BU12"/>
    <mergeCell ref="BV12:BX12"/>
  </mergeCells>
  <conditionalFormatting sqref="N13:S86">
    <cfRule type="cellIs" dxfId="7" priority="3" operator="lessThan">
      <formula>0</formula>
    </cfRule>
  </conditionalFormatting>
  <conditionalFormatting sqref="AY13:BC50">
    <cfRule type="cellIs" dxfId="6" priority="4" operator="lessThan">
      <formula>0</formula>
    </cfRule>
  </conditionalFormatting>
  <conditionalFormatting sqref="BY13:BY14">
    <cfRule type="cellIs" dxfId="5" priority="2" operator="lessThan">
      <formula>0</formula>
    </cfRule>
  </conditionalFormatting>
  <conditionalFormatting sqref="CM13:CM14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4938-FC0B-456F-AD82-13D9037A398C}">
  <dimension ref="A1:ED140"/>
  <sheetViews>
    <sheetView topLeftCell="EC1" zoomScale="70" zoomScaleNormal="70" workbookViewId="0">
      <selection activeCell="EC10" sqref="EC10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customWidth="1"/>
    <col min="7" max="9" width="13.33203125" style="54" bestFit="1" customWidth="1"/>
    <col min="10" max="10" width="13.33203125" style="54" customWidth="1"/>
    <col min="11" max="12" width="11.5546875" style="54" customWidth="1"/>
    <col min="13" max="13" width="13.33203125" style="54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1875" bestFit="1" customWidth="1"/>
    <col min="19" max="19" width="11.21875" customWidth="1"/>
    <col min="20" max="20" width="8.88671875" hidden="1" customWidth="1"/>
    <col min="21" max="21" width="11.5546875" style="75" hidden="1" customWidth="1"/>
    <col min="22" max="22" width="6.6640625" style="54" hidden="1" customWidth="1"/>
    <col min="23" max="23" width="11.5546875" style="75" hidden="1" customWidth="1"/>
    <col min="24" max="24" width="8.88671875" style="54" hidden="1" customWidth="1"/>
    <col min="25" max="25" width="17.109375" style="125" hidden="1" customWidth="1"/>
    <col min="26" max="26" width="7.77734375" style="54" hidden="1" customWidth="1"/>
    <col min="27" max="27" width="11.5546875" style="75" hidden="1" customWidth="1"/>
    <col min="28" max="29" width="8.88671875" style="54" hidden="1" customWidth="1"/>
    <col min="30" max="30" width="8.88671875" style="54" customWidth="1"/>
    <col min="31" max="31" width="8.88671875" style="54"/>
    <col min="32" max="32" width="15.44140625" style="133" bestFit="1" customWidth="1"/>
    <col min="33" max="33" width="13.33203125" style="54" bestFit="1" customWidth="1"/>
    <col min="34" max="36" width="13.33203125" style="54" customWidth="1"/>
    <col min="37" max="37" width="12.44140625" style="54" customWidth="1"/>
    <col min="38" max="38" width="13.33203125" style="54" customWidth="1"/>
    <col min="39" max="39" width="10.6640625" style="54" customWidth="1"/>
    <col min="40" max="43" width="13.33203125" style="54" customWidth="1"/>
    <col min="44" max="44" width="12.21875" style="54" customWidth="1"/>
    <col min="45" max="45" width="13.33203125" style="54" customWidth="1"/>
    <col min="46" max="47" width="10.6640625" style="54" customWidth="1"/>
    <col min="48" max="48" width="13.88671875" style="54" customWidth="1"/>
    <col min="49" max="49" width="11.5546875" style="54" customWidth="1"/>
    <col min="50" max="50" width="13.33203125" style="54" customWidth="1"/>
    <col min="51" max="51" width="13.33203125" style="54" bestFit="1" customWidth="1"/>
    <col min="52" max="55" width="13.33203125" style="54" customWidth="1"/>
    <col min="57" max="57" width="17.109375" style="75" hidden="1" customWidth="1"/>
    <col min="58" max="58" width="7.77734375" style="54" hidden="1" customWidth="1"/>
    <col min="59" max="59" width="11.5546875" style="75" hidden="1" customWidth="1"/>
    <col min="60" max="60" width="13.33203125" style="54" hidden="1" customWidth="1"/>
    <col min="61" max="61" width="11.5546875" style="75" hidden="1" customWidth="1"/>
    <col min="62" max="62" width="8.88671875" style="54" hidden="1" customWidth="1"/>
    <col min="63" max="63" width="11.5546875" style="75" hidden="1" customWidth="1"/>
    <col min="64" max="64" width="13.33203125" style="54" hidden="1" customWidth="1"/>
    <col min="65" max="65" width="11.5546875" style="75" hidden="1" customWidth="1"/>
    <col min="66" max="66" width="12.21875" style="54" hidden="1" customWidth="1"/>
    <col min="67" max="67" width="11.5546875" style="75" hidden="1" customWidth="1"/>
    <col min="68" max="68" width="12.21875" style="54" hidden="1" customWidth="1"/>
    <col min="69" max="69" width="8.88671875" style="54"/>
    <col min="70" max="70" width="15.44140625" style="133" bestFit="1" customWidth="1"/>
    <col min="71" max="71" width="13.33203125" style="54" bestFit="1" customWidth="1"/>
    <col min="72" max="72" width="14.5546875" style="54" bestFit="1" customWidth="1"/>
    <col min="73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4.5546875" style="54" bestFit="1" customWidth="1"/>
    <col min="87" max="87" width="10.44140625" style="54" bestFit="1" customWidth="1"/>
    <col min="88" max="88" width="7.77734375" style="54" bestFit="1" customWidth="1"/>
    <col min="89" max="89" width="11.109375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77734375" style="54" hidden="1" customWidth="1"/>
    <col min="97" max="97" width="11.88671875" style="142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3" bestFit="1" customWidth="1"/>
    <col min="111" max="111" width="11.6640625" style="54" customWidth="1"/>
    <col min="112" max="113" width="11.109375" style="54" customWidth="1"/>
    <col min="114" max="114" width="13.109375" style="54" customWidth="1"/>
    <col min="115" max="115" width="15.33203125" style="54" bestFit="1" customWidth="1"/>
    <col min="116" max="116" width="14.6640625" style="54" bestFit="1" customWidth="1"/>
    <col min="117" max="117" width="14.6640625" style="54" customWidth="1"/>
    <col min="118" max="118" width="16.77734375" style="54" bestFit="1" customWidth="1"/>
    <col min="119" max="119" width="16.33203125" style="54" bestFit="1" customWidth="1"/>
    <col min="120" max="120" width="15.33203125" style="54" bestFit="1" customWidth="1"/>
    <col min="121" max="121" width="12.33203125" style="54" bestFit="1" customWidth="1"/>
    <col min="122" max="122" width="17.88671875" style="54" bestFit="1" customWidth="1"/>
    <col min="123" max="123" width="16.33203125" style="54" bestFit="1" customWidth="1"/>
    <col min="124" max="124" width="15.33203125" style="54" bestFit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0" style="133" bestFit="1" customWidth="1"/>
    <col min="131" max="131" width="27.88671875" style="152" bestFit="1" customWidth="1"/>
    <col min="132" max="132" width="31.33203125" style="152" bestFit="1" customWidth="1"/>
    <col min="133" max="133" width="40.77734375" style="152" bestFit="1" customWidth="1"/>
    <col min="134" max="134" width="36.33203125" style="152" bestFit="1" customWidth="1"/>
    <col min="135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U1" s="53"/>
      <c r="V1" s="1"/>
      <c r="W1" s="53"/>
      <c r="X1" s="1"/>
      <c r="Y1" s="122"/>
      <c r="Z1" s="1"/>
      <c r="AA1" s="53"/>
      <c r="AF1" s="1"/>
      <c r="AG1" s="1"/>
      <c r="AH1" s="1" t="s">
        <v>102</v>
      </c>
      <c r="AI1" s="1"/>
      <c r="AJ1" s="1"/>
      <c r="AK1" s="1"/>
      <c r="AL1" s="1"/>
      <c r="AN1" s="119" t="s">
        <v>100</v>
      </c>
      <c r="AO1" s="120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5" t="s">
        <v>0</v>
      </c>
      <c r="CC1" s="150" t="s">
        <v>1</v>
      </c>
      <c r="CF1" s="1"/>
      <c r="CG1" s="1"/>
      <c r="CH1" s="1"/>
      <c r="CI1" s="1"/>
      <c r="CJ1" s="1"/>
      <c r="CK1" s="1"/>
      <c r="CL1" s="1"/>
      <c r="CO1" s="135" t="s">
        <v>0</v>
      </c>
      <c r="CQ1" s="150" t="s">
        <v>1</v>
      </c>
      <c r="CS1" s="54"/>
      <c r="CT1" s="54"/>
      <c r="CU1" s="54"/>
      <c r="CV1" s="54"/>
      <c r="CW1" s="54"/>
      <c r="CX1" s="54"/>
      <c r="CY1" s="54"/>
      <c r="DF1" s="142"/>
      <c r="DG1" s="58"/>
      <c r="DH1" s="58"/>
      <c r="DI1" s="58"/>
      <c r="DJ1" s="58"/>
      <c r="DK1" s="58"/>
      <c r="DL1" s="58"/>
      <c r="DM1" s="58"/>
      <c r="DN1" s="58"/>
      <c r="DO1" s="58"/>
      <c r="DP1" s="58"/>
    </row>
    <row r="2" spans="1:134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</v>
      </c>
      <c r="J2" s="1"/>
      <c r="K2" s="53"/>
      <c r="L2" s="1"/>
      <c r="M2" s="53"/>
      <c r="U2" s="102" t="s">
        <v>0</v>
      </c>
      <c r="V2" s="1"/>
      <c r="W2" s="103" t="s">
        <v>1</v>
      </c>
      <c r="X2" s="2"/>
      <c r="Y2" s="123" t="s">
        <v>1</v>
      </c>
      <c r="Z2" s="1"/>
      <c r="AA2" s="101" t="s">
        <v>0</v>
      </c>
      <c r="AF2" s="30"/>
      <c r="AG2" s="40" t="s">
        <v>0</v>
      </c>
      <c r="AH2" s="44" t="s">
        <v>1</v>
      </c>
      <c r="AI2" s="71" t="s">
        <v>1</v>
      </c>
      <c r="AJ2" s="77" t="s">
        <v>0</v>
      </c>
      <c r="AK2" s="71" t="s">
        <v>0</v>
      </c>
      <c r="AL2" s="72" t="s">
        <v>0</v>
      </c>
      <c r="BE2" s="102" t="s">
        <v>0</v>
      </c>
      <c r="BF2" s="1"/>
      <c r="BG2" s="103" t="s">
        <v>1</v>
      </c>
      <c r="BH2" s="2"/>
      <c r="BI2" s="104" t="s">
        <v>1</v>
      </c>
      <c r="BJ2" s="1"/>
      <c r="BK2" s="105" t="s">
        <v>0</v>
      </c>
      <c r="BM2" s="106" t="s">
        <v>0</v>
      </c>
      <c r="BO2" s="101" t="s">
        <v>0</v>
      </c>
      <c r="BR2" s="30"/>
      <c r="BS2" s="135" t="s">
        <v>0</v>
      </c>
      <c r="BT2" s="150" t="s">
        <v>1</v>
      </c>
      <c r="CA2" s="129" cm="1">
        <f t="array" ref="CA2:CB132">_xll.BDH(BS4, "LAST_PRICE", "01/01/2025 15:00:00", "01/01/2035 16:00:00", "BarSize=60", "BarType=T", "RecurDaily=True", "TZ=New_York")</f>
        <v>45751.625</v>
      </c>
      <c r="CB2" s="54">
        <v>102.50579999999999</v>
      </c>
      <c r="CC2" s="129" cm="1">
        <f t="array" ref="CC2:CD132">_xll.BDH(BT4, "LAST_PRICE", "01/01/2025 15:00:00", "01/01/2035 16:00:00", "BarSize=60", "BarType=T", "RecurDaily=True", "TZ=New_York")</f>
        <v>45751.625</v>
      </c>
      <c r="CD2" s="54">
        <v>72.096999999999994</v>
      </c>
      <c r="CF2" s="30"/>
      <c r="CG2" s="135" t="s">
        <v>0</v>
      </c>
      <c r="CH2" s="150" t="s">
        <v>1</v>
      </c>
      <c r="CO2" s="129" cm="1">
        <f t="array" ref="CO2:CP137">_xll.BDH(CG4, "LAST_PRICE", "01/01/2025 15:00:00", "01/01/2035 16:00:00", "BarSize=60", "BarType=T", "RecurDaily=True", "TZ=London")</f>
        <v>45751.625</v>
      </c>
      <c r="CP2" s="54">
        <v>392.07299999999998</v>
      </c>
      <c r="CQ2" s="129" cm="1">
        <f t="array" ref="CQ2:CR137">_xll.BDH(CH4, "LAST_PRICE", "01/01/2025 15:00:00", "01/01/2035 16:00:00", "BarSize=60", "BarType=T", "RecurDaily=True", "TZ=London")</f>
        <v>45751.625</v>
      </c>
      <c r="CR2" s="54">
        <v>78.040000000000006</v>
      </c>
      <c r="CS2" s="54"/>
      <c r="CT2" s="54"/>
      <c r="CU2" s="54"/>
      <c r="CV2" s="54"/>
      <c r="CW2" s="54"/>
      <c r="CX2" s="54"/>
      <c r="CY2" s="54"/>
      <c r="DF2" s="142"/>
      <c r="DG2" s="58"/>
      <c r="DH2" s="58"/>
      <c r="DI2" s="58"/>
      <c r="DJ2" s="58"/>
      <c r="DK2" s="58"/>
      <c r="DL2" s="58"/>
      <c r="DM2" s="58"/>
      <c r="DN2" s="58"/>
      <c r="DO2" s="58"/>
      <c r="DP2" s="58"/>
    </row>
    <row r="3" spans="1:134" ht="15" thickBot="1" x14ac:dyDescent="0.35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144" t="s">
        <v>108</v>
      </c>
      <c r="H3" s="1"/>
      <c r="I3" s="53"/>
      <c r="J3" s="1"/>
      <c r="K3" s="53"/>
      <c r="L3" s="1"/>
      <c r="M3" s="53"/>
      <c r="U3" s="52" cm="1">
        <f t="array" ref="U3:V137">_xll.BDH(B4, "LAST_PRICE", "01/01/2025 15:00:00", "01/01/2035 16:00:00", "BarSize=60", "BarType=T", "RecurDaily=True", "TZ=London")</f>
        <v>45751.625</v>
      </c>
      <c r="V3" s="1">
        <v>90.08</v>
      </c>
      <c r="W3" s="52" cm="1">
        <f t="array" ref="W3:X140">_xll.BDH(C4, "LAST_PRICE", "01/01/2025 15:00:00", "01/01/2035 16:00:00", "BarSize=60", "BarType=T", "RecurDaily=True", "TZ=London")</f>
        <v>45751.625</v>
      </c>
      <c r="X3" s="46">
        <v>101.578</v>
      </c>
      <c r="Y3" s="124" cm="1">
        <f t="array" ref="Y3:Z129">_xll.BDH(D4, "LAST_PRICE", "01/01/2025 15:00:00", "01/01/2035 16:00:00", "BarSize=60", "BarType=T", "RecurDaily=True", "TZ=London")</f>
        <v>45751.625</v>
      </c>
      <c r="Z3" s="1">
        <v>119.31</v>
      </c>
      <c r="AA3" s="52" cm="1">
        <f t="array" ref="AA3:AB76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4" t="s">
        <v>64</v>
      </c>
      <c r="AH3" s="73" t="s">
        <v>66</v>
      </c>
      <c r="AI3" s="73" t="s">
        <v>67</v>
      </c>
      <c r="AJ3" s="73" t="s">
        <v>66</v>
      </c>
      <c r="AK3" s="73" t="s">
        <v>68</v>
      </c>
      <c r="AL3" s="65" t="s">
        <v>69</v>
      </c>
      <c r="AN3" s="94" t="s">
        <v>80</v>
      </c>
      <c r="AO3" s="86" t="s">
        <v>64</v>
      </c>
      <c r="AP3" s="87" t="s">
        <v>67</v>
      </c>
      <c r="BE3" s="52" cm="1">
        <f t="array" ref="BE3:BF137">_xll.BDH(AG4, "LAST_PRICE", "01/01/2025 15:00:00", "01/01/2035 16:00:00", "BarSize=60", "BarType=T", "RecurDaily=True", "TZ=New_York")</f>
        <v>45751.625</v>
      </c>
      <c r="BF3" s="1">
        <v>76.8</v>
      </c>
      <c r="BG3" s="52" cm="1">
        <f t="array" ref="BG3:BH61">_xll.BDH(AH4, "LAST_PRICE", "01/01/2025 15:00:00", "01/01/2035 16:00:00", "BarSize=60", "BarType=T", "RecurDaily=True", "TZ=New_York")</f>
        <v>45866.625</v>
      </c>
      <c r="BH3" s="46">
        <v>99.5703125</v>
      </c>
      <c r="BI3" s="52" cm="1">
        <f t="array" ref="BI3:BJ137">_xll.BDH(AI4, "LAST_PRICE", "01/01/2025 15:00:00", "01/01/2035 16:00:00", "BarSize=60", "BarType=T", "RecurDaily=True", "TZ=New_York")</f>
        <v>45751.625</v>
      </c>
      <c r="BJ3" s="1">
        <v>108.78</v>
      </c>
      <c r="BK3" s="52" cm="1">
        <f t="array" ref="BK3:BL61">_xll.BDH(AJ4, "LAST_PRICE", "01/01/2025 15:00:00", "01/01/2035 16:00:00", "BarSize=60", "BarType=T", "RecurDaily=True", "TZ=New_York")</f>
        <v>45866.625</v>
      </c>
      <c r="BL3" s="54">
        <v>99.5703125</v>
      </c>
      <c r="BM3" s="52" cm="1">
        <f t="array" ref="BM3:BN138">_xll.BDH(AK4, "LAST_PRICE", "01/01/2025 15:00:00", "01/01/2035 16:00:00", "BarSize=60", "BarType=T", "RecurDaily=True", "TZ=New_York")</f>
        <v>45751.625</v>
      </c>
      <c r="BN3" s="54">
        <v>104.96875</v>
      </c>
      <c r="BO3" s="52" cm="1">
        <f t="array" ref="BO3:BP138">_xll.BDH(AL4, "LAST_PRICE", "01/01/2025 15:00:00", "01/01/2035 16:00:00", "BarSize=60", "BarType=T", "RecurDaily=True", "TZ=New_York")</f>
        <v>45751.625</v>
      </c>
      <c r="BP3" s="54">
        <v>103.296875</v>
      </c>
      <c r="BR3" s="15" t="s">
        <v>32</v>
      </c>
      <c r="BS3" s="64" t="s">
        <v>122</v>
      </c>
      <c r="BT3" s="65" t="s">
        <v>103</v>
      </c>
      <c r="BU3" s="41"/>
      <c r="BV3" s="41"/>
      <c r="CA3" s="129">
        <v>45754.625</v>
      </c>
      <c r="CB3" s="54">
        <v>101.8361</v>
      </c>
      <c r="CC3" s="129">
        <v>45754.625</v>
      </c>
      <c r="CD3" s="54">
        <v>76.41</v>
      </c>
      <c r="CF3" s="15" t="s">
        <v>32</v>
      </c>
      <c r="CG3" s="64" t="s">
        <v>125</v>
      </c>
      <c r="CH3" s="65" t="s">
        <v>126</v>
      </c>
      <c r="CI3" s="41"/>
      <c r="CJ3" s="41"/>
      <c r="CO3" s="129">
        <v>45754.625</v>
      </c>
      <c r="CP3" s="54">
        <v>399.05599999999998</v>
      </c>
      <c r="CQ3" s="129">
        <v>45754.625</v>
      </c>
      <c r="CR3" s="54">
        <v>78.236000000000004</v>
      </c>
      <c r="CS3" s="54"/>
      <c r="CT3" s="54"/>
      <c r="CU3" s="54"/>
      <c r="CV3" s="54"/>
      <c r="CW3" s="54"/>
      <c r="CX3" s="54"/>
      <c r="CY3" s="54"/>
      <c r="DF3" s="142"/>
      <c r="DG3" s="58"/>
      <c r="DH3" s="58"/>
      <c r="DI3" s="58"/>
      <c r="DJ3" s="58"/>
      <c r="DK3" s="58"/>
      <c r="DL3" s="58"/>
      <c r="DM3" s="58"/>
      <c r="DN3" s="58"/>
      <c r="DO3" s="58"/>
      <c r="DP3" s="58"/>
    </row>
    <row r="4" spans="1:134" ht="32.25" customHeight="1" thickBot="1" x14ac:dyDescent="0.35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146" t="s">
        <v>56</v>
      </c>
      <c r="H4" s="147" t="s">
        <v>58</v>
      </c>
      <c r="I4" s="53"/>
      <c r="J4" s="1"/>
      <c r="K4" s="53"/>
      <c r="L4" s="1"/>
      <c r="M4" s="53"/>
      <c r="U4" s="75">
        <v>45754.625</v>
      </c>
      <c r="V4" s="54">
        <v>89.41</v>
      </c>
      <c r="W4" s="75">
        <v>45754.625</v>
      </c>
      <c r="X4" s="54">
        <v>101.506</v>
      </c>
      <c r="Y4" s="125">
        <v>45754.625</v>
      </c>
      <c r="Z4" s="54">
        <v>118.7</v>
      </c>
      <c r="AA4" s="75">
        <v>45847.625</v>
      </c>
      <c r="AB4" s="54">
        <v>99.84</v>
      </c>
      <c r="AF4" s="15" t="s">
        <v>33</v>
      </c>
      <c r="AG4" s="66" t="s">
        <v>65</v>
      </c>
      <c r="AH4" s="41" t="s">
        <v>137</v>
      </c>
      <c r="AI4" s="41" t="s">
        <v>70</v>
      </c>
      <c r="AJ4" s="41" t="s">
        <v>137</v>
      </c>
      <c r="AK4" s="41" t="s">
        <v>138</v>
      </c>
      <c r="AL4" s="42" t="s">
        <v>139</v>
      </c>
      <c r="AN4" s="88"/>
      <c r="AO4" s="89">
        <f>AG5/AG14</f>
        <v>310752.01988812926</v>
      </c>
      <c r="AP4" s="90">
        <f>AI5/AM14</f>
        <v>236409.72431999372</v>
      </c>
      <c r="BE4" s="75">
        <v>45754.625</v>
      </c>
      <c r="BF4" s="54">
        <v>76.099999999999994</v>
      </c>
      <c r="BG4" s="75">
        <v>45867.625</v>
      </c>
      <c r="BH4" s="54">
        <v>99.890625</v>
      </c>
      <c r="BI4" s="75">
        <v>45754.625</v>
      </c>
      <c r="BJ4" s="54">
        <v>106.66</v>
      </c>
      <c r="BK4" s="75">
        <v>45867.625</v>
      </c>
      <c r="BL4" s="54">
        <v>99.890625</v>
      </c>
      <c r="BM4" s="75">
        <v>45754.625</v>
      </c>
      <c r="BN4" s="54">
        <v>103.53125</v>
      </c>
      <c r="BO4" s="75">
        <v>45754.625</v>
      </c>
      <c r="BP4" s="54">
        <v>100.21875</v>
      </c>
      <c r="BR4" s="15" t="s">
        <v>33</v>
      </c>
      <c r="BS4" s="66" t="s">
        <v>123</v>
      </c>
      <c r="BT4" s="42" t="s">
        <v>124</v>
      </c>
      <c r="BU4" s="41"/>
      <c r="BV4" s="151">
        <v>0.625</v>
      </c>
      <c r="BW4" s="41"/>
      <c r="CA4" s="129">
        <v>45755.625</v>
      </c>
      <c r="CB4" s="54">
        <v>101.12439999999999</v>
      </c>
      <c r="CC4" s="129">
        <v>45755.625</v>
      </c>
      <c r="CD4" s="54">
        <v>80.424999999999997</v>
      </c>
      <c r="CF4" s="15" t="s">
        <v>33</v>
      </c>
      <c r="CG4" s="66" t="s">
        <v>127</v>
      </c>
      <c r="CH4" s="42" t="s">
        <v>128</v>
      </c>
      <c r="CI4" s="41"/>
      <c r="CJ4" s="151">
        <v>0.625</v>
      </c>
      <c r="CK4" s="41"/>
      <c r="CO4" s="129">
        <v>45755.625</v>
      </c>
      <c r="CP4" s="54">
        <v>393.24900000000002</v>
      </c>
      <c r="CQ4" s="129">
        <v>45755.625</v>
      </c>
      <c r="CR4" s="54">
        <v>77.082999999999998</v>
      </c>
      <c r="CS4" s="54"/>
      <c r="CT4" s="54"/>
      <c r="CU4" s="54"/>
      <c r="CV4" s="54"/>
      <c r="CW4" s="54"/>
      <c r="CX4" s="54"/>
      <c r="CY4" s="54"/>
      <c r="DF4" s="142"/>
      <c r="DG4" s="58"/>
      <c r="DH4" s="58"/>
      <c r="DI4" s="58"/>
      <c r="DJ4" s="58"/>
      <c r="DK4" s="58"/>
      <c r="DL4" s="58"/>
      <c r="DM4" s="58"/>
      <c r="DN4" s="58"/>
      <c r="DO4" s="58"/>
      <c r="DP4" s="58"/>
    </row>
    <row r="5" spans="1:134" ht="15" thickBot="1" x14ac:dyDescent="0.35">
      <c r="A5" s="15" t="s">
        <v>8</v>
      </c>
      <c r="B5" s="67">
        <f>21*10^6/$G$7*G7</f>
        <v>21000000</v>
      </c>
      <c r="C5" s="67">
        <f t="shared" ref="C5:E5" si="0">21*10^6/$G$7*H7</f>
        <v>16800000</v>
      </c>
      <c r="D5" s="67">
        <f t="shared" si="0"/>
        <v>36120000</v>
      </c>
      <c r="E5" s="67">
        <f t="shared" si="0"/>
        <v>34440000</v>
      </c>
      <c r="G5" s="145">
        <f>ROUND(B5/B14,0)</f>
        <v>223642</v>
      </c>
      <c r="H5" s="22">
        <f>ROUND(D5/H14,0)</f>
        <v>296308</v>
      </c>
      <c r="I5" s="1"/>
      <c r="J5" s="1"/>
      <c r="K5" s="1"/>
      <c r="L5" s="1"/>
      <c r="M5" s="1"/>
      <c r="U5" s="75">
        <v>45755.625</v>
      </c>
      <c r="V5" s="54">
        <v>90.07</v>
      </c>
      <c r="W5" s="75">
        <v>45755.625</v>
      </c>
      <c r="X5" s="54">
        <v>101.324</v>
      </c>
      <c r="Y5" s="125">
        <v>45755.625</v>
      </c>
      <c r="Z5" s="54">
        <v>119.1</v>
      </c>
      <c r="AA5" s="75">
        <v>45848.625</v>
      </c>
      <c r="AB5" s="54">
        <v>99.671999999999997</v>
      </c>
      <c r="AF5" s="15" t="s">
        <v>8</v>
      </c>
      <c r="AG5" s="7">
        <f t="shared" ref="AG5:AL5" si="1">25/$AN$6*AN6*10^6</f>
        <v>25000000</v>
      </c>
      <c r="AH5" s="7">
        <f>25/$AN$6*AO6*10^6</f>
        <v>13928571.428571429</v>
      </c>
      <c r="AI5" s="7">
        <f t="shared" si="1"/>
        <v>25714285.714285716</v>
      </c>
      <c r="AJ5" s="7">
        <f t="shared" si="1"/>
        <v>12142857.142857144</v>
      </c>
      <c r="AK5" s="7">
        <f t="shared" si="1"/>
        <v>5357142.8571428573</v>
      </c>
      <c r="AL5" s="7">
        <f t="shared" si="1"/>
        <v>7500000</v>
      </c>
      <c r="AN5" s="53"/>
      <c r="AO5" s="1"/>
      <c r="AP5" s="53"/>
      <c r="BE5" s="75">
        <v>45755.625</v>
      </c>
      <c r="BF5" s="54">
        <v>75.75</v>
      </c>
      <c r="BG5" s="75">
        <v>45868.625</v>
      </c>
      <c r="BH5" s="54">
        <v>99.625</v>
      </c>
      <c r="BI5" s="75">
        <v>45755.625</v>
      </c>
      <c r="BJ5" s="54">
        <v>105.31</v>
      </c>
      <c r="BK5" s="75">
        <v>45868.625</v>
      </c>
      <c r="BL5" s="54">
        <v>99.625</v>
      </c>
      <c r="BM5" s="75">
        <v>45755.625</v>
      </c>
      <c r="BN5" s="54">
        <v>102.859375</v>
      </c>
      <c r="BO5" s="75">
        <v>45755.625</v>
      </c>
      <c r="BP5" s="54">
        <v>98.359375</v>
      </c>
      <c r="BR5" s="15" t="s">
        <v>8</v>
      </c>
      <c r="BS5" s="67">
        <f>25*10^6</f>
        <v>25000000</v>
      </c>
      <c r="BT5" s="8">
        <f>25*10^6*5</f>
        <v>125000000</v>
      </c>
      <c r="BU5" s="7"/>
      <c r="BV5" s="7"/>
      <c r="BW5" s="7"/>
      <c r="CA5" s="129">
        <v>45756.625</v>
      </c>
      <c r="CB5" s="54">
        <v>103.8849</v>
      </c>
      <c r="CC5" s="129">
        <v>45756.625</v>
      </c>
      <c r="CD5" s="54">
        <v>66.811999999999998</v>
      </c>
      <c r="CF5" s="15" t="s">
        <v>8</v>
      </c>
      <c r="CG5" s="67">
        <f>21*10^6</f>
        <v>21000000</v>
      </c>
      <c r="CH5" s="8">
        <f>21*10^6*4.5</f>
        <v>94500000</v>
      </c>
      <c r="CI5" s="7"/>
      <c r="CJ5" s="7"/>
      <c r="CK5" s="7"/>
      <c r="CO5" s="129">
        <v>45756.625</v>
      </c>
      <c r="CP5" s="54">
        <v>429.77499999999998</v>
      </c>
      <c r="CQ5" s="129">
        <v>45756.625</v>
      </c>
      <c r="CR5" s="54">
        <v>85.578999999999994</v>
      </c>
      <c r="CS5" s="54"/>
      <c r="CT5" s="54"/>
      <c r="CU5" s="54"/>
      <c r="CV5" s="54"/>
      <c r="CW5" s="54"/>
      <c r="CX5" s="54"/>
      <c r="CY5" s="54"/>
      <c r="DF5" s="142"/>
      <c r="DG5" s="58"/>
      <c r="DH5" s="58"/>
      <c r="DI5" s="58"/>
      <c r="DJ5" s="58"/>
      <c r="DK5" s="58"/>
      <c r="DL5" s="58"/>
      <c r="DM5" s="58"/>
      <c r="DN5" s="58"/>
      <c r="DO5" s="58"/>
      <c r="DP5" s="58"/>
    </row>
    <row r="6" spans="1:134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5">
        <v>45756.625</v>
      </c>
      <c r="V6" s="54">
        <v>89.53</v>
      </c>
      <c r="W6" s="75">
        <v>45756.625</v>
      </c>
      <c r="X6" s="54">
        <v>101.774</v>
      </c>
      <c r="Y6" s="125">
        <v>45756.625</v>
      </c>
      <c r="Z6" s="54">
        <v>118.82</v>
      </c>
      <c r="AA6" s="75">
        <v>45849.625</v>
      </c>
      <c r="AB6" s="54">
        <v>99.567999999999998</v>
      </c>
      <c r="AF6" s="15" t="s">
        <v>10</v>
      </c>
      <c r="AG6" s="69">
        <v>0</v>
      </c>
      <c r="AH6" s="74">
        <f>(3+7/8)*0.01</f>
        <v>3.875E-2</v>
      </c>
      <c r="AI6" s="74">
        <v>0</v>
      </c>
      <c r="AJ6" s="74">
        <f>(3+7/8)*0.01</f>
        <v>3.875E-2</v>
      </c>
      <c r="AK6" s="74">
        <f>(4+5/8)*0.01</f>
        <v>4.6249999999999999E-2</v>
      </c>
      <c r="AL6" s="10">
        <f>(4+5/8)*0.01</f>
        <v>4.6249999999999999E-2</v>
      </c>
      <c r="AN6" s="67">
        <f>35*10^6</f>
        <v>35000000</v>
      </c>
      <c r="AO6" s="7">
        <f>19.5*10^6</f>
        <v>19500000</v>
      </c>
      <c r="AP6" s="7">
        <f>36*10^6</f>
        <v>36000000</v>
      </c>
      <c r="AQ6" s="7">
        <f>17*10^6</f>
        <v>17000000</v>
      </c>
      <c r="AR6" s="7">
        <f>7.5*10^6</f>
        <v>7500000</v>
      </c>
      <c r="AS6" s="8">
        <f>10.5*10^6</f>
        <v>10500000</v>
      </c>
      <c r="BE6" s="75">
        <v>45756.625</v>
      </c>
      <c r="BF6" s="54">
        <v>77.78</v>
      </c>
      <c r="BG6" s="75">
        <v>45869.625</v>
      </c>
      <c r="BH6" s="54">
        <v>99.640625</v>
      </c>
      <c r="BI6" s="75">
        <v>45756.625</v>
      </c>
      <c r="BJ6" s="54">
        <v>107.07</v>
      </c>
      <c r="BK6" s="75">
        <v>45869.625</v>
      </c>
      <c r="BL6" s="54">
        <v>99.640625</v>
      </c>
      <c r="BM6" s="75">
        <v>45756.625</v>
      </c>
      <c r="BN6" s="54">
        <v>102.625</v>
      </c>
      <c r="BO6" s="75">
        <v>45756.625</v>
      </c>
      <c r="BP6" s="54">
        <v>98.84375</v>
      </c>
      <c r="BR6" s="15" t="s">
        <v>10</v>
      </c>
      <c r="BS6" s="69">
        <v>0.05</v>
      </c>
      <c r="BT6" s="10">
        <v>0.01</v>
      </c>
      <c r="BU6" s="74"/>
      <c r="BV6" s="74"/>
      <c r="BW6" s="74"/>
      <c r="CA6" s="129">
        <v>45757.625</v>
      </c>
      <c r="CB6" s="54">
        <v>102.41</v>
      </c>
      <c r="CC6" s="129">
        <v>45757.625</v>
      </c>
      <c r="CD6" s="54">
        <v>74.572999999999993</v>
      </c>
      <c r="CF6" s="15" t="s">
        <v>10</v>
      </c>
      <c r="CG6" s="69">
        <v>0.05</v>
      </c>
      <c r="CH6" s="10">
        <v>0.01</v>
      </c>
      <c r="CI6" s="74"/>
      <c r="CJ6" s="74"/>
      <c r="CK6" s="74"/>
      <c r="CO6" s="129">
        <v>45757.625</v>
      </c>
      <c r="CP6" s="54">
        <v>382.76</v>
      </c>
      <c r="CQ6" s="129">
        <v>45757.625</v>
      </c>
      <c r="CR6" s="54">
        <v>75.415000000000006</v>
      </c>
      <c r="CS6" s="54"/>
      <c r="CT6" s="54"/>
      <c r="CU6" s="54"/>
      <c r="CV6" s="54"/>
      <c r="CW6" s="54"/>
      <c r="CX6" s="54"/>
      <c r="CY6" s="54"/>
      <c r="DF6" s="142"/>
      <c r="DG6" s="58"/>
      <c r="DH6" s="58"/>
      <c r="DI6" s="58"/>
      <c r="DJ6" s="58"/>
      <c r="DK6" s="58"/>
      <c r="DL6" s="58"/>
      <c r="DM6" s="58"/>
      <c r="DN6" s="58"/>
      <c r="DO6" s="58"/>
      <c r="DP6" s="58"/>
    </row>
    <row r="7" spans="1:134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67">
        <f>25*10^6</f>
        <v>25000000</v>
      </c>
      <c r="H7" s="7">
        <f>20*10^6</f>
        <v>20000000</v>
      </c>
      <c r="I7" s="7">
        <f>43*10^6</f>
        <v>43000000</v>
      </c>
      <c r="J7" s="8">
        <f>41*10^6</f>
        <v>41000000</v>
      </c>
      <c r="K7" s="53"/>
      <c r="L7" s="1"/>
      <c r="M7" s="53"/>
      <c r="N7" s="1"/>
      <c r="O7" s="1"/>
      <c r="P7" s="1"/>
      <c r="Q7" s="1"/>
      <c r="U7" s="75">
        <v>45757.625</v>
      </c>
      <c r="V7" s="54">
        <v>90.4</v>
      </c>
      <c r="W7" s="75">
        <v>45757.625</v>
      </c>
      <c r="X7" s="54">
        <v>101.46299999999999</v>
      </c>
      <c r="Y7" s="125">
        <v>45757.625</v>
      </c>
      <c r="Z7" s="54">
        <v>119.32</v>
      </c>
      <c r="AA7" s="75">
        <v>45852.625</v>
      </c>
      <c r="AB7" s="54">
        <v>99.611999999999995</v>
      </c>
      <c r="AF7" s="15" t="s">
        <v>12</v>
      </c>
      <c r="AG7" s="69">
        <v>4.2299999999999997E-2</v>
      </c>
      <c r="AH7" s="74">
        <v>4.2299999999999997E-2</v>
      </c>
      <c r="AI7" s="74">
        <v>4.2299999999999997E-2</v>
      </c>
      <c r="AJ7" s="74">
        <v>4.2299999999999997E-2</v>
      </c>
      <c r="AK7" s="74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5">
        <v>45757.625</v>
      </c>
      <c r="BF7" s="54">
        <v>76.510000000000005</v>
      </c>
      <c r="BG7" s="75">
        <v>45870.625</v>
      </c>
      <c r="BH7" s="54">
        <v>100.5390625</v>
      </c>
      <c r="BI7" s="75">
        <v>45757.625</v>
      </c>
      <c r="BJ7" s="54">
        <v>105.25</v>
      </c>
      <c r="BK7" s="75">
        <v>45870.625</v>
      </c>
      <c r="BL7" s="54">
        <v>100.5390625</v>
      </c>
      <c r="BM7" s="75">
        <v>45757.625</v>
      </c>
      <c r="BN7" s="54">
        <v>101.796875</v>
      </c>
      <c r="BO7" s="75">
        <v>45757.625</v>
      </c>
      <c r="BP7" s="54">
        <v>96.21875</v>
      </c>
      <c r="BR7" s="15" t="s">
        <v>12</v>
      </c>
      <c r="BS7" s="69">
        <v>0</v>
      </c>
      <c r="BT7" s="10">
        <v>0</v>
      </c>
      <c r="BU7" s="74"/>
      <c r="BV7" s="74"/>
      <c r="BW7" s="74"/>
      <c r="CA7" s="129">
        <v>45758.625</v>
      </c>
      <c r="CB7" s="54">
        <v>102.86199999999999</v>
      </c>
      <c r="CC7" s="129">
        <v>45758.625</v>
      </c>
      <c r="CD7" s="54">
        <v>72.879000000000005</v>
      </c>
      <c r="CF7" s="15" t="s">
        <v>12</v>
      </c>
      <c r="CG7" s="69">
        <v>0</v>
      </c>
      <c r="CH7" s="10">
        <v>0</v>
      </c>
      <c r="CI7" s="74"/>
      <c r="CJ7" s="74"/>
      <c r="CK7" s="74"/>
      <c r="CO7" s="129">
        <v>45758.625</v>
      </c>
      <c r="CP7" s="54">
        <v>394.57299999999998</v>
      </c>
      <c r="CQ7" s="129">
        <v>45758.625</v>
      </c>
      <c r="CR7" s="54">
        <v>78.287000000000006</v>
      </c>
      <c r="CS7" s="54"/>
      <c r="CT7" s="54"/>
      <c r="CU7" s="54"/>
      <c r="CV7" s="54"/>
      <c r="CW7" s="54"/>
      <c r="CX7" s="54"/>
      <c r="CY7" s="54"/>
      <c r="DF7" s="142"/>
      <c r="DG7" s="58"/>
      <c r="DH7" s="58"/>
      <c r="DI7" s="58"/>
      <c r="DJ7" s="58"/>
      <c r="DK7" s="58"/>
      <c r="DL7" s="58"/>
      <c r="DM7" s="58"/>
      <c r="DN7" s="58"/>
      <c r="DO7" s="58"/>
      <c r="DP7" s="58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5">
        <v>45758.625</v>
      </c>
      <c r="V8" s="54">
        <v>89.87</v>
      </c>
      <c r="W8" s="75">
        <v>45758.625</v>
      </c>
      <c r="X8" s="54">
        <v>101.64700000000001</v>
      </c>
      <c r="Y8" s="125">
        <v>45758.625</v>
      </c>
      <c r="Z8" s="54">
        <v>119.4</v>
      </c>
      <c r="AA8" s="75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5">
        <v>45758.625</v>
      </c>
      <c r="BF8" s="54">
        <v>76.739999999999995</v>
      </c>
      <c r="BG8" s="75">
        <v>45873.625</v>
      </c>
      <c r="BH8" s="54">
        <v>100.5859375</v>
      </c>
      <c r="BI8" s="75">
        <v>45758.625</v>
      </c>
      <c r="BJ8" s="54">
        <v>105.23</v>
      </c>
      <c r="BK8" s="75">
        <v>45873.625</v>
      </c>
      <c r="BL8" s="54">
        <v>100.5859375</v>
      </c>
      <c r="BM8" s="75">
        <v>45758.625</v>
      </c>
      <c r="BN8" s="54">
        <v>101.25</v>
      </c>
      <c r="BO8" s="75">
        <v>45758.625</v>
      </c>
      <c r="BP8" s="54">
        <v>96.53125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9">
        <v>45761.625</v>
      </c>
      <c r="CB8" s="54">
        <v>103.191</v>
      </c>
      <c r="CC8" s="129">
        <v>45761.625</v>
      </c>
      <c r="CD8" s="54">
        <v>70.346999999999994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9">
        <v>45761.625</v>
      </c>
      <c r="CP8" s="54">
        <v>368.839</v>
      </c>
      <c r="CQ8" s="129">
        <v>45761.625</v>
      </c>
      <c r="CR8" s="54">
        <v>72.742999999999995</v>
      </c>
      <c r="CS8" s="54"/>
      <c r="CT8" s="54"/>
      <c r="CU8" s="54"/>
      <c r="CV8" s="54"/>
      <c r="CW8" s="54"/>
      <c r="CX8" s="54"/>
      <c r="CY8" s="54"/>
      <c r="DF8" s="142"/>
      <c r="DG8" s="58"/>
      <c r="DH8" s="58"/>
      <c r="DI8" s="58"/>
      <c r="DJ8" s="58"/>
      <c r="DK8" s="58"/>
      <c r="DL8" s="58"/>
      <c r="DM8" s="58"/>
      <c r="DN8" s="58"/>
      <c r="DO8" s="58"/>
      <c r="DP8" s="58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5">
        <v>45761.625</v>
      </c>
      <c r="V9" s="54">
        <v>90.77</v>
      </c>
      <c r="W9" s="75">
        <v>45761.625</v>
      </c>
      <c r="X9" s="54">
        <v>101.59</v>
      </c>
      <c r="Y9" s="125">
        <v>45761.625</v>
      </c>
      <c r="Z9" s="54">
        <v>119.64</v>
      </c>
      <c r="AA9" s="75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5">
        <v>45761.625</v>
      </c>
      <c r="BF9" s="54">
        <v>77.12</v>
      </c>
      <c r="BG9" s="75">
        <v>45874.625</v>
      </c>
      <c r="BH9" s="54">
        <v>100.4921875</v>
      </c>
      <c r="BI9" s="75">
        <v>45761.625</v>
      </c>
      <c r="BJ9" s="54">
        <v>105.89</v>
      </c>
      <c r="BK9" s="75">
        <v>45874.625</v>
      </c>
      <c r="BL9" s="54">
        <v>100.4921875</v>
      </c>
      <c r="BM9" s="75">
        <v>45761.625</v>
      </c>
      <c r="BN9" s="54">
        <v>102</v>
      </c>
      <c r="BO9" s="75">
        <v>45761.625</v>
      </c>
      <c r="BP9" s="54">
        <v>97.203125</v>
      </c>
      <c r="BR9" s="15" t="s">
        <v>15</v>
      </c>
      <c r="BS9" s="4" t="s">
        <v>23</v>
      </c>
      <c r="BT9" s="5"/>
      <c r="BU9" s="1"/>
      <c r="BV9" s="1"/>
      <c r="BW9" s="1"/>
      <c r="CA9" s="129">
        <v>45762.625</v>
      </c>
      <c r="CB9" s="54">
        <v>103.2236</v>
      </c>
      <c r="CC9" s="129">
        <v>45762.625</v>
      </c>
      <c r="CD9" s="54">
        <v>69.921000000000006</v>
      </c>
      <c r="CF9" s="15" t="s">
        <v>15</v>
      </c>
      <c r="CG9" s="4" t="s">
        <v>23</v>
      </c>
      <c r="CH9" s="5"/>
      <c r="CI9" s="1"/>
      <c r="CJ9" s="1"/>
      <c r="CK9" s="1"/>
      <c r="CO9" s="129">
        <v>45762.625</v>
      </c>
      <c r="CP9" s="54">
        <v>366.65199999999999</v>
      </c>
      <c r="CQ9" s="129">
        <v>45762.625</v>
      </c>
      <c r="CR9" s="54">
        <v>71.917000000000002</v>
      </c>
      <c r="CS9" s="54"/>
      <c r="CT9" s="54"/>
      <c r="CU9" s="54"/>
      <c r="CV9" s="54"/>
      <c r="CW9" s="54"/>
      <c r="CX9" s="54"/>
      <c r="CY9" s="54"/>
      <c r="DF9" s="142"/>
      <c r="DG9" s="58"/>
      <c r="DH9" s="58"/>
      <c r="DI9" s="58"/>
      <c r="DJ9" s="58"/>
      <c r="DK9" s="58"/>
      <c r="DL9" s="58"/>
      <c r="DM9" s="58"/>
      <c r="DN9" s="58"/>
      <c r="DO9" s="58"/>
      <c r="DP9" s="58"/>
    </row>
    <row r="10" spans="1:134" ht="15" thickBot="1" x14ac:dyDescent="0.35">
      <c r="A10" s="16" t="s">
        <v>28</v>
      </c>
      <c r="B10" s="11" cm="1">
        <f t="array" ref="B10">_xll.BDP(B4,"px_last")</f>
        <v>92.06</v>
      </c>
      <c r="C10" s="21" cm="1">
        <f t="array" ref="C10">_xll.BDP(C4,"px_last")</f>
        <v>101.251</v>
      </c>
      <c r="D10" s="21" cm="1">
        <f t="array" ref="D10">_xll.BDP(D4,"px_last")</f>
        <v>121.45</v>
      </c>
      <c r="E10" s="22" cm="1">
        <f t="array" ref="E10">_xll.BDP(E4,"px_last")</f>
        <v>100.146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5">
        <v>45762.625</v>
      </c>
      <c r="V10" s="54">
        <v>91.01</v>
      </c>
      <c r="W10" s="75">
        <v>45762.625</v>
      </c>
      <c r="X10" s="54">
        <v>101.6</v>
      </c>
      <c r="Y10" s="125">
        <v>45762.625</v>
      </c>
      <c r="Z10" s="54">
        <v>119.88</v>
      </c>
      <c r="AA10" s="75">
        <v>45855.625</v>
      </c>
      <c r="AB10" s="54">
        <v>99.9</v>
      </c>
      <c r="AF10" s="16" t="s">
        <v>28</v>
      </c>
      <c r="AG10" s="11" cm="1">
        <f t="array" ref="AG10">_xll.BDP(AG4,"px_last")</f>
        <v>80.545000000000002</v>
      </c>
      <c r="AH10" s="21" cm="1">
        <f t="array" ref="AH10">_xll.BDP(AH4,"px_last")</f>
        <v>101.3203125</v>
      </c>
      <c r="AI10" s="21" cm="1">
        <f t="array" ref="AI10">_xll.BDP(AI4,"px_last")</f>
        <v>112.23</v>
      </c>
      <c r="AJ10" s="21" cm="1">
        <f t="array" ref="AJ10">_xll.BDP(AJ4,"px_last")</f>
        <v>101.3203125</v>
      </c>
      <c r="AK10" s="21" cm="1">
        <f t="array" ref="AK10">_xll.BDP(AK4,"px_last")</f>
        <v>105.140625</v>
      </c>
      <c r="AL10" s="22" cm="1">
        <f t="array" ref="AL10">_xll.BDP(AL4,"px_last")</f>
        <v>100.40625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5">
        <v>45762.625</v>
      </c>
      <c r="BF10" s="54">
        <v>77.33</v>
      </c>
      <c r="BG10" s="75">
        <v>45875.625</v>
      </c>
      <c r="BH10" s="54">
        <v>100.5</v>
      </c>
      <c r="BI10" s="75">
        <v>45762.625</v>
      </c>
      <c r="BJ10" s="54">
        <v>106.45</v>
      </c>
      <c r="BK10" s="75">
        <v>45875.625</v>
      </c>
      <c r="BL10" s="54">
        <v>100.5</v>
      </c>
      <c r="BM10" s="75">
        <v>45762.625</v>
      </c>
      <c r="BN10" s="54">
        <v>102.28125</v>
      </c>
      <c r="BO10" s="75">
        <v>45762.625</v>
      </c>
      <c r="BP10" s="54">
        <v>97.484375</v>
      </c>
      <c r="BR10" s="16" t="s">
        <v>28</v>
      </c>
      <c r="BS10" s="11"/>
      <c r="BT10" s="22"/>
      <c r="BU10" s="41"/>
      <c r="BV10" s="41"/>
      <c r="BY10" s="1"/>
      <c r="CA10" s="129">
        <v>45763.625</v>
      </c>
      <c r="CB10" s="54">
        <v>102.81019999999999</v>
      </c>
      <c r="CC10" s="129">
        <v>45763.625</v>
      </c>
      <c r="CD10" s="54">
        <v>71.418999999999997</v>
      </c>
      <c r="CF10" s="16" t="s">
        <v>28</v>
      </c>
      <c r="CG10" s="11"/>
      <c r="CH10" s="22"/>
      <c r="CI10" s="41"/>
      <c r="CJ10" s="41"/>
      <c r="CM10" s="1"/>
      <c r="CO10" s="129">
        <v>45763.625</v>
      </c>
      <c r="CP10" s="54">
        <v>366.89800000000002</v>
      </c>
      <c r="CQ10" s="129">
        <v>45763.625</v>
      </c>
      <c r="CR10" s="54">
        <v>71.715000000000003</v>
      </c>
      <c r="CS10" s="54"/>
      <c r="CT10" s="54"/>
      <c r="CU10" s="54"/>
      <c r="CV10" s="54"/>
      <c r="CW10" s="54"/>
      <c r="CX10" s="54"/>
      <c r="CY10" s="54"/>
      <c r="DF10" s="149" t="s">
        <v>116</v>
      </c>
      <c r="DK10" s="58">
        <f>_xlfn.STDEV.P(DG13:DG49)</f>
        <v>32772.963548319633</v>
      </c>
      <c r="DL10" s="58">
        <f>_xlfn.STDEV.P(DH13:DH49)</f>
        <v>55606.85976599023</v>
      </c>
      <c r="DM10" s="58">
        <f>_xlfn.STDEV.P(DI13:DI49)</f>
        <v>27570.024921941549</v>
      </c>
      <c r="DN10" s="58">
        <f>_xlfn.STDEV.P(DJ13:DJ49)</f>
        <v>38425.474407313173</v>
      </c>
      <c r="DP10" s="58"/>
      <c r="DQ10" s="58"/>
      <c r="DR10" s="58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5">
        <v>45763.625</v>
      </c>
      <c r="V11" s="54">
        <v>91.18</v>
      </c>
      <c r="W11" s="75">
        <v>45763.625</v>
      </c>
      <c r="X11" s="54">
        <v>101.705</v>
      </c>
      <c r="Y11" s="125">
        <v>45763.625</v>
      </c>
      <c r="Z11" s="54">
        <v>120.07</v>
      </c>
      <c r="AA11" s="75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5">
        <v>45763.625</v>
      </c>
      <c r="BF11" s="54">
        <v>77.319999999999993</v>
      </c>
      <c r="BG11" s="75">
        <v>45876.625</v>
      </c>
      <c r="BH11" s="54">
        <v>100.4140625</v>
      </c>
      <c r="BI11" s="75">
        <v>45763.625</v>
      </c>
      <c r="BJ11" s="54">
        <v>106.9</v>
      </c>
      <c r="BK11" s="75">
        <v>45876.625</v>
      </c>
      <c r="BL11" s="54">
        <v>100.4140625</v>
      </c>
      <c r="BM11" s="75">
        <v>45763.625</v>
      </c>
      <c r="BN11" s="54">
        <v>102.75</v>
      </c>
      <c r="BO11" s="75">
        <v>45763.625</v>
      </c>
      <c r="BP11" s="54">
        <v>98.078125</v>
      </c>
      <c r="BR11" s="54"/>
      <c r="BT11" s="1"/>
      <c r="BU11" s="41"/>
      <c r="BV11" s="41"/>
      <c r="BX11" s="1"/>
      <c r="BY11" s="1"/>
      <c r="CA11" s="129">
        <v>45768.625</v>
      </c>
      <c r="CB11" s="54">
        <v>102.39749999999999</v>
      </c>
      <c r="CC11" s="129">
        <v>45768.625</v>
      </c>
      <c r="CD11" s="54">
        <v>73.872</v>
      </c>
      <c r="CH11" s="1"/>
      <c r="CI11" s="41"/>
      <c r="CJ11" s="41"/>
      <c r="CL11" s="1"/>
      <c r="CM11" s="1"/>
      <c r="CO11" s="129">
        <v>45764.625</v>
      </c>
      <c r="CP11" s="54">
        <v>368.10199999999998</v>
      </c>
      <c r="CQ11" s="129">
        <v>45764.625</v>
      </c>
      <c r="CR11" s="54">
        <v>72.084000000000003</v>
      </c>
      <c r="CS11" s="54"/>
      <c r="CT11" s="54"/>
      <c r="CU11" s="54"/>
      <c r="CV11" s="54"/>
      <c r="CW11" s="54"/>
      <c r="CX11" s="54"/>
      <c r="CY11" s="54"/>
      <c r="DF11" s="142" t="s">
        <v>117</v>
      </c>
      <c r="DG11" s="58"/>
      <c r="DH11" s="58"/>
      <c r="DI11" s="58"/>
      <c r="DJ11" s="58"/>
      <c r="DK11" s="58">
        <f>$DK$10/DK10</f>
        <v>1</v>
      </c>
      <c r="DL11" s="58">
        <v>1</v>
      </c>
      <c r="DM11" s="58">
        <v>1</v>
      </c>
      <c r="DN11" s="58">
        <v>1</v>
      </c>
      <c r="DO11" s="149"/>
      <c r="DP11" s="149"/>
      <c r="DQ11" s="149"/>
      <c r="DR11" s="149"/>
    </row>
    <row r="12" spans="1:134" ht="15" thickBot="1" x14ac:dyDescent="0.35">
      <c r="A12" s="39" t="s">
        <v>22</v>
      </c>
      <c r="B12" s="153" t="s">
        <v>0</v>
      </c>
      <c r="C12" s="154"/>
      <c r="D12" s="154"/>
      <c r="E12" s="159" t="s">
        <v>1</v>
      </c>
      <c r="F12" s="160"/>
      <c r="G12" s="161"/>
      <c r="H12" s="156" t="s">
        <v>1</v>
      </c>
      <c r="I12" s="157"/>
      <c r="J12" s="158"/>
      <c r="K12" s="162" t="s">
        <v>0</v>
      </c>
      <c r="L12" s="163"/>
      <c r="M12" s="164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5">
        <v>45764.625</v>
      </c>
      <c r="V12" s="54">
        <v>91.48</v>
      </c>
      <c r="W12" s="75">
        <v>45764.625</v>
      </c>
      <c r="X12" s="54">
        <v>101.895</v>
      </c>
      <c r="Y12" s="125">
        <v>45764.625</v>
      </c>
      <c r="Z12" s="54">
        <v>120.5</v>
      </c>
      <c r="AA12" s="75">
        <v>45859.625</v>
      </c>
      <c r="AB12" s="54">
        <v>100.142</v>
      </c>
      <c r="AF12" s="39" t="s">
        <v>22</v>
      </c>
      <c r="AG12" s="153" t="s">
        <v>0</v>
      </c>
      <c r="AH12" s="154"/>
      <c r="AI12" s="154"/>
      <c r="AJ12" s="159" t="s">
        <v>1</v>
      </c>
      <c r="AK12" s="160"/>
      <c r="AL12" s="161"/>
      <c r="AM12" s="156" t="s">
        <v>1</v>
      </c>
      <c r="AN12" s="167"/>
      <c r="AO12" s="158"/>
      <c r="AP12" s="168" t="s">
        <v>0</v>
      </c>
      <c r="AQ12" s="169"/>
      <c r="AR12" s="170"/>
      <c r="AS12" s="156" t="s">
        <v>0</v>
      </c>
      <c r="AT12" s="167"/>
      <c r="AU12" s="158"/>
      <c r="AV12" s="165" t="s">
        <v>0</v>
      </c>
      <c r="AW12" s="163"/>
      <c r="AX12" s="166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5">
        <v>45764.625</v>
      </c>
      <c r="BF12" s="54">
        <v>77.77</v>
      </c>
      <c r="BG12" s="75">
        <v>45877.625</v>
      </c>
      <c r="BH12" s="54">
        <v>100.203125</v>
      </c>
      <c r="BI12" s="75">
        <v>45764.625</v>
      </c>
      <c r="BJ12" s="54">
        <v>106.75</v>
      </c>
      <c r="BK12" s="75">
        <v>45877.625</v>
      </c>
      <c r="BL12" s="54">
        <v>100.203125</v>
      </c>
      <c r="BM12" s="75">
        <v>45765.625</v>
      </c>
      <c r="BN12" s="54">
        <v>102.375</v>
      </c>
      <c r="BO12" s="75">
        <v>45765.625</v>
      </c>
      <c r="BP12" s="54">
        <v>97.265625</v>
      </c>
      <c r="BR12" s="39" t="s">
        <v>22</v>
      </c>
      <c r="BS12" s="153" t="s">
        <v>0</v>
      </c>
      <c r="BT12" s="154"/>
      <c r="BU12" s="154"/>
      <c r="BV12" s="159" t="s">
        <v>1</v>
      </c>
      <c r="BW12" s="160"/>
      <c r="BX12" s="161"/>
      <c r="BY12" s="39" t="s">
        <v>16</v>
      </c>
      <c r="CA12" s="129">
        <v>45769.625</v>
      </c>
      <c r="CB12" s="54">
        <v>102.7501</v>
      </c>
      <c r="CC12" s="129">
        <v>45769.625</v>
      </c>
      <c r="CD12" s="54">
        <v>72.203999999999994</v>
      </c>
      <c r="CF12" s="39" t="s">
        <v>22</v>
      </c>
      <c r="CG12" s="153" t="s">
        <v>0</v>
      </c>
      <c r="CH12" s="154"/>
      <c r="CI12" s="154"/>
      <c r="CJ12" s="159" t="s">
        <v>1</v>
      </c>
      <c r="CK12" s="160"/>
      <c r="CL12" s="161"/>
      <c r="CM12" s="39" t="s">
        <v>16</v>
      </c>
      <c r="CO12" s="129">
        <v>45769.625</v>
      </c>
      <c r="CP12" s="54">
        <v>368.15899999999999</v>
      </c>
      <c r="CQ12" s="129">
        <v>45769.625</v>
      </c>
      <c r="CR12" s="54">
        <v>72.263000000000005</v>
      </c>
      <c r="CS12" s="54"/>
      <c r="CT12" s="54"/>
      <c r="CU12" s="54"/>
      <c r="CV12" s="54"/>
      <c r="CW12" s="54"/>
      <c r="CX12" s="54"/>
      <c r="CY12" s="54"/>
      <c r="DF12" s="148" t="s">
        <v>22</v>
      </c>
      <c r="DG12" s="149" t="s">
        <v>112</v>
      </c>
      <c r="DH12" s="149" t="s">
        <v>113</v>
      </c>
      <c r="DI12" s="149" t="s">
        <v>129</v>
      </c>
      <c r="DJ12" s="149" t="s">
        <v>130</v>
      </c>
      <c r="DK12" s="149" t="s">
        <v>114</v>
      </c>
      <c r="DL12" s="149" t="s">
        <v>115</v>
      </c>
      <c r="DM12" s="149" t="s">
        <v>131</v>
      </c>
      <c r="DN12" s="149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3" t="s">
        <v>22</v>
      </c>
      <c r="EA12" s="152" t="s">
        <v>141</v>
      </c>
      <c r="EB12" s="152" t="s">
        <v>140</v>
      </c>
      <c r="EC12" s="152" t="s">
        <v>143</v>
      </c>
      <c r="ED12" s="152" t="s">
        <v>142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O13" s="99"/>
      <c r="P13" s="99"/>
      <c r="Q13" s="99"/>
      <c r="R13" s="99"/>
      <c r="S13" s="143"/>
      <c r="U13" s="75">
        <v>45769.625</v>
      </c>
      <c r="V13" s="54">
        <v>91.4</v>
      </c>
      <c r="W13" s="75">
        <v>45769.625</v>
      </c>
      <c r="X13" s="54">
        <v>101.94</v>
      </c>
      <c r="Y13" s="125">
        <v>45769.625</v>
      </c>
      <c r="Z13" s="54">
        <v>120.54</v>
      </c>
      <c r="AA13" s="75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8" t="s">
        <v>21</v>
      </c>
      <c r="AO13" s="22" t="s">
        <v>20</v>
      </c>
      <c r="AP13" s="79" t="s">
        <v>17</v>
      </c>
      <c r="AQ13" s="21" t="s">
        <v>21</v>
      </c>
      <c r="AR13" s="80" t="s">
        <v>20</v>
      </c>
      <c r="AS13" s="11" t="s">
        <v>17</v>
      </c>
      <c r="AT13" s="78" t="s">
        <v>21</v>
      </c>
      <c r="AU13" s="22" t="s">
        <v>20</v>
      </c>
      <c r="AV13" s="79" t="s">
        <v>17</v>
      </c>
      <c r="AW13" s="21" t="s">
        <v>21</v>
      </c>
      <c r="AX13" s="80" t="s">
        <v>20</v>
      </c>
      <c r="AY13" s="99"/>
      <c r="AZ13" s="99"/>
      <c r="BA13" s="99"/>
      <c r="BB13" s="99"/>
      <c r="BC13" s="99"/>
      <c r="BE13" s="75">
        <v>45768.625</v>
      </c>
      <c r="BF13" s="54">
        <v>77.31</v>
      </c>
      <c r="BG13" s="75">
        <v>45880.625</v>
      </c>
      <c r="BH13" s="54">
        <v>100.2109375</v>
      </c>
      <c r="BI13" s="75">
        <v>45768.625</v>
      </c>
      <c r="BJ13" s="54">
        <v>105.6</v>
      </c>
      <c r="BK13" s="75">
        <v>45880.625</v>
      </c>
      <c r="BL13" s="54">
        <v>100.2109375</v>
      </c>
      <c r="BM13" s="75">
        <v>45768.625</v>
      </c>
      <c r="BN13" s="54">
        <v>101.65625</v>
      </c>
      <c r="BO13" s="75">
        <v>45768.625</v>
      </c>
      <c r="BP13" s="54">
        <v>95.4375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9"/>
      <c r="CA13" s="129">
        <v>45770.625</v>
      </c>
      <c r="CB13" s="54">
        <v>103.4188</v>
      </c>
      <c r="CC13" s="129">
        <v>45770.625</v>
      </c>
      <c r="CD13" s="54">
        <v>69.2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9"/>
      <c r="CO13" s="129">
        <v>45770.625</v>
      </c>
      <c r="CP13" s="54">
        <v>345.98099999999999</v>
      </c>
      <c r="CQ13" s="129">
        <v>45770.625</v>
      </c>
      <c r="CR13" s="54">
        <v>67.436999999999998</v>
      </c>
      <c r="CS13" s="54"/>
      <c r="CT13" s="54"/>
      <c r="CU13" s="54"/>
      <c r="CV13" s="54"/>
      <c r="CW13" s="54"/>
      <c r="CX13" s="54"/>
      <c r="CY13" s="54"/>
      <c r="DF13" s="142">
        <v>45866.625</v>
      </c>
      <c r="DG13" s="58">
        <f t="shared" ref="DG13" si="2">VLOOKUP(DF13,A14:R86,18)</f>
        <v>28705.747775131837</v>
      </c>
      <c r="DH13" s="58">
        <f>VLOOKUP(DF13,AF14:BC50,24)</f>
        <v>0</v>
      </c>
      <c r="DI13" s="58">
        <f>VLOOKUP(DF13,BR14:BY50,8)</f>
        <v>0</v>
      </c>
      <c r="DJ13" s="58">
        <f>VLOOKUP(DF13,CF14:CM50,8)</f>
        <v>0</v>
      </c>
      <c r="DK13" s="58"/>
      <c r="DL13" s="58"/>
      <c r="DM13" s="58"/>
      <c r="DN13" s="58"/>
      <c r="DO13" s="58">
        <f>DK$11*DK13</f>
        <v>0</v>
      </c>
      <c r="DP13" s="58">
        <f t="shared" ref="DP13:DR28" si="3">DL$11*DL13</f>
        <v>0</v>
      </c>
      <c r="DQ13" s="58">
        <f t="shared" si="3"/>
        <v>0</v>
      </c>
      <c r="DR13" s="58">
        <f t="shared" si="3"/>
        <v>0</v>
      </c>
      <c r="DS13" s="58"/>
      <c r="DT13" s="58"/>
      <c r="DU13" s="58"/>
      <c r="DV13" s="58"/>
      <c r="DZ13" s="133">
        <v>45866.625</v>
      </c>
      <c r="EA13" s="152">
        <v>0</v>
      </c>
      <c r="EB13" s="152">
        <v>0</v>
      </c>
      <c r="EC13" s="152">
        <v>0</v>
      </c>
      <c r="ED13" s="152">
        <v>0</v>
      </c>
    </row>
    <row r="14" spans="1:134" x14ac:dyDescent="0.3">
      <c r="A14" s="139">
        <v>45846.625</v>
      </c>
      <c r="B14" s="76">
        <f>VLOOKUP($A14+$I$2,U$3:V$500,2)</f>
        <v>93.9</v>
      </c>
      <c r="C14" s="46"/>
      <c r="D14" s="47"/>
      <c r="E14" s="76">
        <f>VLOOKUP($A14+$I$2,W$3:X$500,2)</f>
        <v>101.241</v>
      </c>
      <c r="F14" s="1"/>
      <c r="G14" s="5"/>
      <c r="H14" s="76">
        <f>VLOOKUP($A14+$I$2,Y$3:Z$500,2)</f>
        <v>121.9</v>
      </c>
      <c r="I14" s="1"/>
      <c r="J14" s="5"/>
      <c r="K14" s="76">
        <f>VLOOKUP($A14+$I$2,AA$3:AB$500,2)</f>
        <v>99.76</v>
      </c>
      <c r="L14" s="1"/>
      <c r="M14" s="5"/>
      <c r="N14" s="82">
        <v>0</v>
      </c>
      <c r="O14" s="82"/>
      <c r="P14" s="82"/>
      <c r="Q14" s="82">
        <f>$G$5*SUM($O$14:O14)-$H$5*SUM($P$14:P14)</f>
        <v>0</v>
      </c>
      <c r="R14" s="82">
        <f>N14+Q14</f>
        <v>0</v>
      </c>
      <c r="S14" s="143"/>
      <c r="U14" s="75">
        <v>45770.625</v>
      </c>
      <c r="V14" s="54">
        <v>92.29</v>
      </c>
      <c r="W14" s="75">
        <v>45770.625</v>
      </c>
      <c r="X14" s="54">
        <v>101.694</v>
      </c>
      <c r="Y14" s="125">
        <v>45770.625</v>
      </c>
      <c r="Z14" s="54">
        <v>120.5</v>
      </c>
      <c r="AA14" s="75">
        <v>45861.625</v>
      </c>
      <c r="AB14" s="54">
        <v>100.22499999999999</v>
      </c>
      <c r="AF14" s="131">
        <v>45866.625</v>
      </c>
      <c r="AG14" s="45">
        <f>VLOOKUP($AF14+$J$1,BE:BF,2)</f>
        <v>80.45</v>
      </c>
      <c r="AH14" s="46"/>
      <c r="AI14" s="46"/>
      <c r="AJ14" s="45">
        <f>VLOOKUP($AF14+$J$1,BG:BH,2)</f>
        <v>99.5703125</v>
      </c>
      <c r="AK14" s="46"/>
      <c r="AL14" s="47"/>
      <c r="AM14" s="45">
        <f>VLOOKUP($AF14+$J$1,BI:BJ,2)</f>
        <v>108.77</v>
      </c>
      <c r="AN14" s="46"/>
      <c r="AO14" s="47"/>
      <c r="AP14" s="45">
        <f>VLOOKUP($AF14+$J$1,BK:BL,2)</f>
        <v>99.5703125</v>
      </c>
      <c r="AQ14" s="46"/>
      <c r="AR14" s="47"/>
      <c r="AS14" s="45">
        <f>VLOOKUP($AF14+$J$1,BM:BN,2)</f>
        <v>101.78125</v>
      </c>
      <c r="AT14" s="46"/>
      <c r="AU14" s="47"/>
      <c r="AV14" s="45">
        <f>VLOOKUP($AF14+$J$1,BO:BP,2)</f>
        <v>94.78125</v>
      </c>
      <c r="AW14" s="46"/>
      <c r="AX14" s="47"/>
      <c r="AY14" s="82">
        <v>0</v>
      </c>
      <c r="AZ14" s="82"/>
      <c r="BA14" s="82"/>
      <c r="BB14" s="82">
        <f>$AO$4*SUM($AZ$14:AZ14)-$AP$4*SUM($BA$14:BA14)</f>
        <v>0</v>
      </c>
      <c r="BC14" s="82">
        <f>AY14-BB14</f>
        <v>0</v>
      </c>
      <c r="BE14" s="75">
        <v>45769.625</v>
      </c>
      <c r="BF14" s="54">
        <v>77.61</v>
      </c>
      <c r="BG14" s="75">
        <v>45881.625</v>
      </c>
      <c r="BH14" s="54">
        <v>100.2421875</v>
      </c>
      <c r="BI14" s="75">
        <v>45769.625</v>
      </c>
      <c r="BJ14" s="54">
        <v>105.86</v>
      </c>
      <c r="BK14" s="75">
        <v>45881.625</v>
      </c>
      <c r="BL14" s="54">
        <v>100.2421875</v>
      </c>
      <c r="BM14" s="75">
        <v>45769.625</v>
      </c>
      <c r="BN14" s="54">
        <v>101.796875</v>
      </c>
      <c r="BO14" s="75">
        <v>45769.625</v>
      </c>
      <c r="BP14" s="54">
        <v>95.921875</v>
      </c>
      <c r="BR14" s="131">
        <f>AF14</f>
        <v>45866.625</v>
      </c>
      <c r="BS14" s="45">
        <f>VLOOKUP(BR14+BV$4,CA:CB,2)</f>
        <v>107.57810000000001</v>
      </c>
      <c r="BT14" s="46"/>
      <c r="BU14" s="46"/>
      <c r="BV14" s="45">
        <f>VLOOKUP(BR14+BV$4,CC:CD,2)</f>
        <v>50.213999999999999</v>
      </c>
      <c r="BW14" s="46"/>
      <c r="BX14" s="47"/>
      <c r="BY14" s="82">
        <v>0</v>
      </c>
      <c r="CA14" s="129">
        <v>45771.625</v>
      </c>
      <c r="CB14" s="54">
        <v>103.9344</v>
      </c>
      <c r="CC14" s="129">
        <v>45771.625</v>
      </c>
      <c r="CD14" s="54">
        <v>66.697999999999993</v>
      </c>
      <c r="CF14" s="131">
        <v>45866.625</v>
      </c>
      <c r="CG14" s="45">
        <f>VLOOKUP(CF14+CJ$4,CO:CP,2)</f>
        <v>267.17500000000001</v>
      </c>
      <c r="CH14" s="46"/>
      <c r="CI14" s="46"/>
      <c r="CJ14" s="45">
        <f>VLOOKUP(CF14+CJ$4,CQ:CR,2)</f>
        <v>52.787999999999997</v>
      </c>
      <c r="CK14" s="46"/>
      <c r="CL14" s="47"/>
      <c r="CM14" s="82">
        <v>0</v>
      </c>
      <c r="CO14" s="129">
        <v>45771.625</v>
      </c>
      <c r="CP14" s="54">
        <v>345.03100000000001</v>
      </c>
      <c r="CQ14" s="129">
        <v>45771.625</v>
      </c>
      <c r="CR14" s="54">
        <v>67.173000000000002</v>
      </c>
      <c r="CS14" s="54"/>
      <c r="CT14" s="54"/>
      <c r="CU14" s="54"/>
      <c r="CV14" s="54"/>
      <c r="CW14" s="54"/>
      <c r="CX14" s="54"/>
      <c r="CY14" s="54"/>
      <c r="DF14" s="142">
        <v>45867.625</v>
      </c>
      <c r="DG14" s="58">
        <f t="shared" ref="DG14:DG49" si="4">VLOOKUP(DF14,A15:R87,18)</f>
        <v>8394.3279205363942</v>
      </c>
      <c r="DH14" s="58">
        <f t="shared" ref="DH14:DH49" si="5">VLOOKUP(DF14,AF15:BC51,24)</f>
        <v>-7609.6204208164027</v>
      </c>
      <c r="DI14" s="58">
        <f t="shared" ref="DI14:DI49" si="6">VLOOKUP(DF14,BR15:BY51,8)</f>
        <v>-14681.250000002692</v>
      </c>
      <c r="DJ14" s="58">
        <f t="shared" ref="DJ14:DJ49" si="7">VLOOKUP(DF14,CF15:CM51,8)</f>
        <v>17513.766666666867</v>
      </c>
      <c r="DK14" s="58">
        <f>DG14-DG13</f>
        <v>-20311.419854595442</v>
      </c>
      <c r="DL14" s="58">
        <f>DH14-DH13</f>
        <v>-7609.6204208164027</v>
      </c>
      <c r="DM14" s="58">
        <f>DI14-DI13</f>
        <v>-14681.250000002692</v>
      </c>
      <c r="DN14" s="58">
        <f>DJ14-DJ13</f>
        <v>17513.766666666867</v>
      </c>
      <c r="DO14" s="58">
        <f t="shared" ref="DO14:DR49" si="8">DK$11*DK14</f>
        <v>-20311.419854595442</v>
      </c>
      <c r="DP14" s="58">
        <f t="shared" si="3"/>
        <v>-7609.6204208164027</v>
      </c>
      <c r="DQ14" s="58">
        <f t="shared" si="3"/>
        <v>-14681.250000002692</v>
      </c>
      <c r="DR14" s="58">
        <f t="shared" si="3"/>
        <v>17513.766666666867</v>
      </c>
      <c r="DS14" s="58"/>
      <c r="DT14" s="58"/>
      <c r="DU14" s="58"/>
      <c r="DV14" s="58"/>
      <c r="DZ14" s="133">
        <v>45867.625</v>
      </c>
      <c r="EA14" s="152">
        <v>0</v>
      </c>
      <c r="EB14" s="152">
        <v>0</v>
      </c>
      <c r="EC14" s="152">
        <v>0</v>
      </c>
      <c r="ED14" s="152">
        <v>0</v>
      </c>
    </row>
    <row r="15" spans="1:134" x14ac:dyDescent="0.3">
      <c r="A15" s="139">
        <v>45847.625</v>
      </c>
      <c r="B15" s="76">
        <f>VLOOKUP($A15+$I$2,U$3:V$500,2)</f>
        <v>94.17</v>
      </c>
      <c r="C15" s="31">
        <f t="shared" ref="C15:C78" si="9">(B15/$B$14-1)*$B$5</f>
        <v>60383.386581466468</v>
      </c>
      <c r="D15" s="32">
        <f t="shared" ref="D15:D78" si="10">-1*(A15-$A$14)/360*$B$7*$B$5</f>
        <v>-2467.5</v>
      </c>
      <c r="E15" s="76">
        <f>VLOOKUP($A15+$I$2,W$3:X$500,2)</f>
        <v>101.289</v>
      </c>
      <c r="F15" s="31">
        <f t="shared" ref="F15:F78" si="11">(E15-$E$14)/100*$C$5</f>
        <v>8064.0000000003056</v>
      </c>
      <c r="G15" s="32">
        <f t="shared" ref="G15:G78" si="12">(A15-$A$14)/360*$C$6*$C$5-(A15-$A$14)/360*$C$7*$C$5*$E$14/100</f>
        <v>-878.49733999999989</v>
      </c>
      <c r="H15" s="76">
        <f>VLOOKUP($A15+$I$2,Y$3:Z$500,2)</f>
        <v>122</v>
      </c>
      <c r="I15" s="31">
        <f t="shared" ref="I15:I78" si="13">(H15/$H$14-1)*$D$5</f>
        <v>29630.84495488209</v>
      </c>
      <c r="J15" s="32">
        <f t="shared" ref="J15:J78" si="14">-1*(A15-$A$14)/360*$D$7*$D$5</f>
        <v>-4244.0999999999995</v>
      </c>
      <c r="K15" s="76">
        <f>VLOOKUP($A15+$I$2,AA$3:AB$500,2)</f>
        <v>99.84</v>
      </c>
      <c r="L15" s="31">
        <f t="shared" ref="L15:L78" si="15">(K15-$K$14)/100*$E$5</f>
        <v>27551.999999999411</v>
      </c>
      <c r="M15" s="32">
        <f t="shared" ref="M15:M78" si="16">(A15-$A$14)/360*$E$6*$E$5-(A15-$A$14)/360*$E$7*$E$5*$K$14/100</f>
        <v>-1932.3212533333335</v>
      </c>
      <c r="N15" s="82">
        <f t="shared" ref="N15:N78" si="17">C15+D15-F15-G15-I15-J15+L15+M15</f>
        <v>50963.317713250151</v>
      </c>
      <c r="O15" s="82"/>
      <c r="P15" s="82"/>
      <c r="Q15" s="82">
        <f>$G$5*SUM($O$14:O15)-$H$5*SUM($P$14:P15)</f>
        <v>0</v>
      </c>
      <c r="R15" s="82">
        <f t="shared" ref="R15:R78" si="18">N15+Q15</f>
        <v>50963.317713250151</v>
      </c>
      <c r="S15" s="143"/>
      <c r="U15" s="75">
        <v>45771.625</v>
      </c>
      <c r="V15" s="54">
        <v>92.32</v>
      </c>
      <c r="W15" s="75">
        <v>45771.625</v>
      </c>
      <c r="X15" s="54">
        <v>101.90300000000001</v>
      </c>
      <c r="Y15" s="125">
        <v>45771.625</v>
      </c>
      <c r="Z15" s="54">
        <v>120.87</v>
      </c>
      <c r="AA15" s="75">
        <v>45862.625</v>
      </c>
      <c r="AB15" s="54">
        <v>99.679000000000002</v>
      </c>
      <c r="AF15" s="131">
        <v>45867.625</v>
      </c>
      <c r="AG15" s="45">
        <f>VLOOKUP($AF15+$J$1,BE:BF,2)</f>
        <v>80.5</v>
      </c>
      <c r="AH15" s="46">
        <f>(AG15/$AG$14-1)*$AG$5</f>
        <v>15537.600994403045</v>
      </c>
      <c r="AI15" s="46">
        <f>-1*(AF15-$AF$14)/360*$AG$5*$AG$7</f>
        <v>-2937.5</v>
      </c>
      <c r="AJ15" s="45">
        <f>VLOOKUP($AF15+$J$1,BG:BH,2)</f>
        <v>99.890625</v>
      </c>
      <c r="AK15" s="46">
        <f>(AJ15-$AJ$14)/100*$AH$5</f>
        <v>44614.955357142855</v>
      </c>
      <c r="AL15" s="47">
        <f>(AF15-$AF$14)/360*$AH$5*$AH$6-(AF15-$AF$14)/360*$AH$5*$AH$7*$AJ$14/100</f>
        <v>-130.31889415922615</v>
      </c>
      <c r="AM15" s="45">
        <f>VLOOKUP($AF15+$J$1,BI:BJ,2)</f>
        <v>109.49</v>
      </c>
      <c r="AN15" s="46">
        <f>(AM15/$AM$14-1)*$AI$5</f>
        <v>170215.00151039555</v>
      </c>
      <c r="AO15" s="47">
        <f>-1*(AF15-$AF$14)/360*$AI$5*$AI$7</f>
        <v>-3021.4285714285716</v>
      </c>
      <c r="AP15" s="45">
        <f>VLOOKUP($AF15+$J$1,BK:BL,2)</f>
        <v>99.890625</v>
      </c>
      <c r="AQ15" s="46">
        <f>(AP15-$AP$14)/100*$AJ$5</f>
        <v>38895.089285714283</v>
      </c>
      <c r="AR15" s="47">
        <f>(AF15-$AF$14)/360*$AJ$5*$AJ$6-(AF15-$AF$14)/360*$AJ$5*$AJ$7*$AP$14/100</f>
        <v>-113.61134362599182</v>
      </c>
      <c r="AS15" s="45">
        <f>VLOOKUP($AF15+$J$1,BM:BN,2)</f>
        <v>102.484375</v>
      </c>
      <c r="AT15" s="46">
        <f>(AS15-$AS$14)/100*$AK$5</f>
        <v>37667.410714285717</v>
      </c>
      <c r="AU15" s="47">
        <f>(AF15-$AF$14)/360*$AK$5*$AK$6-(AF15-$AF$14)/360*$AK$5*$AK$7*$AS$14/100</f>
        <v>47.567429315476261</v>
      </c>
      <c r="AV15" s="45">
        <f>VLOOKUP($AF15+$J$1,BO:BP,2)</f>
        <v>96.3125</v>
      </c>
      <c r="AW15" s="46">
        <f>(AV15-$AV$14)/100*$AL$5</f>
        <v>114843.75</v>
      </c>
      <c r="AX15" s="47">
        <f>(AF15-$AF$14)/360*$AL$5*$AL$6-(AF15-$AF$14)/360*$AL$5*$AL$7*$AV$14/100</f>
        <v>128.28190104166674</v>
      </c>
      <c r="AY15" s="82">
        <f>AH15+AI15-AK15-AL15-AN15-AO15+AQ15+AR15+AT15+AU15+AW15+AX15</f>
        <v>-7609.6204208164027</v>
      </c>
      <c r="AZ15" s="82"/>
      <c r="BA15" s="82"/>
      <c r="BB15" s="82">
        <f>$AO$4*SUM($AZ$14:AZ15)-$AP$4*SUM($BA$14:BA15)</f>
        <v>0</v>
      </c>
      <c r="BC15" s="82">
        <f t="shared" ref="BC15:BC50" si="19">AY15-BB15</f>
        <v>-7609.6204208164027</v>
      </c>
      <c r="BE15" s="75">
        <v>45770.625</v>
      </c>
      <c r="BF15" s="54">
        <v>78</v>
      </c>
      <c r="BG15" s="75">
        <v>45882.625</v>
      </c>
      <c r="BH15" s="54">
        <v>100.4921875</v>
      </c>
      <c r="BI15" s="75">
        <v>45770.625</v>
      </c>
      <c r="BJ15" s="54">
        <v>106.33</v>
      </c>
      <c r="BK15" s="75">
        <v>45882.625</v>
      </c>
      <c r="BL15" s="54">
        <v>100.4921875</v>
      </c>
      <c r="BM15" s="75">
        <v>45770.625</v>
      </c>
      <c r="BN15" s="54">
        <v>101.9375</v>
      </c>
      <c r="BO15" s="75">
        <v>45770.625</v>
      </c>
      <c r="BP15" s="54">
        <v>96.84375</v>
      </c>
      <c r="BR15" s="131">
        <f t="shared" ref="BR15:BR72" si="20">AF15</f>
        <v>45867.625</v>
      </c>
      <c r="BS15" s="45">
        <f t="shared" ref="BS15:BS50" si="21">VLOOKUP(BR15+BV$4,CA:CB,2)</f>
        <v>107.3954</v>
      </c>
      <c r="BT15" s="46">
        <f>(BS15-$BS$14)/100*$BS$5</f>
        <v>-45675.000000002801</v>
      </c>
      <c r="BU15" s="46">
        <f>(BR15-BR$14)/360*$BS$5*$BS$6</f>
        <v>3472.2222222222226</v>
      </c>
      <c r="BV15" s="45">
        <f>VLOOKUP(BR15+BV$4,CC:CD,2)</f>
        <v>50.765000000000001</v>
      </c>
      <c r="BW15" s="46">
        <f>-1*(BV15-$BV$14)*10^-4*$BT$8*$BT$5</f>
        <v>-30993.750000000106</v>
      </c>
      <c r="BX15" s="47">
        <f>(BR15-BR$14)/360*$BT$5*$BT$6</f>
        <v>3472.2222222222226</v>
      </c>
      <c r="BY15" s="45">
        <f>BT15+BU15-BW15-BX15</f>
        <v>-14681.250000002692</v>
      </c>
      <c r="CA15" s="129">
        <v>45772.625</v>
      </c>
      <c r="CB15" s="54">
        <v>103.9329</v>
      </c>
      <c r="CC15" s="129">
        <v>45772.625</v>
      </c>
      <c r="CD15" s="54">
        <v>66.552999999999997</v>
      </c>
      <c r="CF15" s="131">
        <v>45867.625</v>
      </c>
      <c r="CG15" s="45">
        <f t="shared" ref="CG15:CG50" si="22">VLOOKUP(CF15+CJ$4,CO:CP,2)</f>
        <v>264.13499999999999</v>
      </c>
      <c r="CH15" s="46">
        <f>-1*(CG15-$CG$14)*$CG$8*10^-4*$CG$5</f>
        <v>28089.600000000195</v>
      </c>
      <c r="CI15" s="46">
        <f>(CF15-CF$14)/360*$CG$5*$CG$6</f>
        <v>2916.666666666667</v>
      </c>
      <c r="CJ15" s="45">
        <f>VLOOKUP(CF15+CJ$4,CQ:CR,2)</f>
        <v>52.537999999999997</v>
      </c>
      <c r="CK15" s="46">
        <f>-1*(CJ15-$CJ$14)*10^-4*$CH$8*$CH$5</f>
        <v>10867.499999999998</v>
      </c>
      <c r="CL15" s="47">
        <f>(CF15-CF$14)/360*$CH$5*$CH$6</f>
        <v>2625</v>
      </c>
      <c r="CM15" s="45">
        <f>CH15+CI15-CK15-CL15</f>
        <v>17513.766666666867</v>
      </c>
      <c r="CO15" s="129">
        <v>45772.625</v>
      </c>
      <c r="CP15" s="54">
        <v>341.92700000000002</v>
      </c>
      <c r="CQ15" s="129">
        <v>45772.625</v>
      </c>
      <c r="CR15" s="54">
        <v>66.277000000000001</v>
      </c>
      <c r="CS15" s="54"/>
      <c r="CT15" s="54"/>
      <c r="CU15" s="54"/>
      <c r="CV15" s="54"/>
      <c r="CW15" s="54"/>
      <c r="CX15" s="54"/>
      <c r="CY15" s="54"/>
      <c r="DF15" s="142">
        <v>45868.625</v>
      </c>
      <c r="DG15" s="58">
        <f t="shared" si="4"/>
        <v>31307.47690805397</v>
      </c>
      <c r="DH15" s="58">
        <f t="shared" si="5"/>
        <v>-19929.419949705985</v>
      </c>
      <c r="DI15" s="58">
        <f t="shared" si="6"/>
        <v>-33037.500000002365</v>
      </c>
      <c r="DJ15" s="58">
        <f t="shared" si="7"/>
        <v>13003.573333333428</v>
      </c>
      <c r="DK15" s="58">
        <f t="shared" ref="DK15:DN49" si="23">DG15-DG14</f>
        <v>22913.148987517576</v>
      </c>
      <c r="DL15" s="58">
        <f t="shared" si="23"/>
        <v>-12319.799528889584</v>
      </c>
      <c r="DM15" s="58">
        <f t="shared" si="23"/>
        <v>-18356.249999999673</v>
      </c>
      <c r="DN15" s="58">
        <f t="shared" si="23"/>
        <v>-4510.1933333334382</v>
      </c>
      <c r="DO15" s="58">
        <f t="shared" si="8"/>
        <v>22913.148987517576</v>
      </c>
      <c r="DP15" s="58">
        <f t="shared" si="3"/>
        <v>-12319.799528889584</v>
      </c>
      <c r="DQ15" s="58">
        <f t="shared" si="3"/>
        <v>-18356.249999999673</v>
      </c>
      <c r="DR15" s="58">
        <f t="shared" si="3"/>
        <v>-4510.1933333334382</v>
      </c>
      <c r="DS15" s="58">
        <f>SUM(DO$15:DO15)</f>
        <v>22913.148987517576</v>
      </c>
      <c r="DT15" s="58">
        <f>SUM(DP$15:DP15)</f>
        <v>-12319.799528889584</v>
      </c>
      <c r="DU15" s="58">
        <f>SUM(DQ$15:DQ15)</f>
        <v>-18356.249999999673</v>
      </c>
      <c r="DV15" s="58">
        <f>SUM(DR$15:DR15)</f>
        <v>-4510.1933333334382</v>
      </c>
      <c r="DZ15" s="133">
        <v>45868.625</v>
      </c>
      <c r="EA15" s="152">
        <v>-18356.249999999673</v>
      </c>
      <c r="EB15" s="152">
        <v>-12319.799528889584</v>
      </c>
      <c r="EC15" s="152">
        <v>-5369.2777777778938</v>
      </c>
      <c r="ED15" s="152">
        <v>27277.558318473166</v>
      </c>
    </row>
    <row r="16" spans="1:134" x14ac:dyDescent="0.3">
      <c r="A16" s="139">
        <v>45848.625</v>
      </c>
      <c r="B16" s="76">
        <f t="shared" ref="B16:B79" si="24">VLOOKUP($A16+$I$2,U$3:V$500,2)</f>
        <v>94.22</v>
      </c>
      <c r="C16" s="31">
        <f t="shared" si="9"/>
        <v>71565.495207667424</v>
      </c>
      <c r="D16" s="32">
        <f t="shared" si="10"/>
        <v>-4935</v>
      </c>
      <c r="E16" s="76">
        <f t="shared" ref="E16:E79" si="25">VLOOKUP($A16+$I$2,W$3:X$500,2)</f>
        <v>101.181</v>
      </c>
      <c r="F16" s="31">
        <f t="shared" si="11"/>
        <v>-10080.000000000382</v>
      </c>
      <c r="G16" s="32">
        <f t="shared" si="12"/>
        <v>-1756.9946799999998</v>
      </c>
      <c r="H16" s="76">
        <f t="shared" ref="H16:H79" si="26">VLOOKUP($A16+$I$2,Y$3:Z$500,2)</f>
        <v>121.86</v>
      </c>
      <c r="I16" s="31">
        <f t="shared" si="13"/>
        <v>-11852.337981953639</v>
      </c>
      <c r="J16" s="32">
        <f t="shared" si="14"/>
        <v>-8488.1999999999989</v>
      </c>
      <c r="K16" s="76">
        <f t="shared" ref="K16:K79" si="27">VLOOKUP($A16+$I$2,AA$3:AB$500,2)</f>
        <v>99.671999999999997</v>
      </c>
      <c r="L16" s="31">
        <f t="shared" si="15"/>
        <v>-30307.20000000278</v>
      </c>
      <c r="M16" s="32">
        <f t="shared" si="16"/>
        <v>-3864.642506666667</v>
      </c>
      <c r="N16" s="82">
        <f t="shared" si="17"/>
        <v>64636.18536295199</v>
      </c>
      <c r="O16" s="82"/>
      <c r="P16" s="82"/>
      <c r="Q16" s="82">
        <f>$G$5*SUM($O$14:O16)-$H$5*SUM($P$14:P16)</f>
        <v>0</v>
      </c>
      <c r="R16" s="82">
        <f t="shared" si="18"/>
        <v>64636.18536295199</v>
      </c>
      <c r="S16" s="143"/>
      <c r="U16" s="75">
        <v>45772.625</v>
      </c>
      <c r="V16" s="54">
        <v>92.35</v>
      </c>
      <c r="W16" s="75">
        <v>45772.625</v>
      </c>
      <c r="X16" s="54">
        <v>101.78100000000001</v>
      </c>
      <c r="Y16" s="125">
        <v>45772.625</v>
      </c>
      <c r="Z16" s="54">
        <v>120.71</v>
      </c>
      <c r="AA16" s="75">
        <v>45863.625</v>
      </c>
      <c r="AB16" s="54">
        <v>99.524000000000001</v>
      </c>
      <c r="AF16" s="131">
        <v>45868.625</v>
      </c>
      <c r="AG16" s="45">
        <f t="shared" ref="AG16:AG50" si="28">VLOOKUP($AF16+$J$1,BE:BF,2)</f>
        <v>80.33</v>
      </c>
      <c r="AH16" s="46">
        <f t="shared" ref="AH16:AH50" si="29">(AG16/$AG$14-1)*$AG$5</f>
        <v>-37290.242386575635</v>
      </c>
      <c r="AI16" s="46">
        <f t="shared" ref="AI16:AI38" si="30">-1*(AF16-$AF$14)/360*$AG$5*$AG$7</f>
        <v>-5875</v>
      </c>
      <c r="AJ16" s="45">
        <f t="shared" ref="AJ16:AJ50" si="31">VLOOKUP($AF16+$J$1,BG:BH,2)</f>
        <v>99.625</v>
      </c>
      <c r="AK16" s="46">
        <f t="shared" ref="AK16:AK50" si="32">(AJ16-$AJ$14)/100*$AH$5</f>
        <v>7617.1875000000009</v>
      </c>
      <c r="AL16" s="47">
        <f t="shared" ref="AL16:AL38" si="33">(AF16-$AF$14)/360*$AH$5*$AH$6-(AF16-$AF$14)/360*$AH$5*$AH$7*$AJ$14/100</f>
        <v>-260.63778831845229</v>
      </c>
      <c r="AM16" s="45">
        <f t="shared" ref="AM16:AM50" si="34">VLOOKUP($AF16+$J$1,BI:BJ,2)</f>
        <v>109.08</v>
      </c>
      <c r="AN16" s="46">
        <f t="shared" ref="AN16:AN50" si="35">(AM16/$AM$14-1)*$AI$5</f>
        <v>73287.014539196811</v>
      </c>
      <c r="AO16" s="47">
        <f t="shared" ref="AO16:AO38" si="36">-1*(AF16-$AF$14)/360*$AI$5*$AI$7</f>
        <v>-6042.8571428571431</v>
      </c>
      <c r="AP16" s="45">
        <f t="shared" ref="AP16:AP50" si="37">VLOOKUP($AF16+$J$1,BK:BL,2)</f>
        <v>99.625</v>
      </c>
      <c r="AQ16" s="46">
        <f t="shared" ref="AQ16:AQ50" si="38">(AP16-$AP$14)/100*$AJ$5</f>
        <v>6640.6250000000009</v>
      </c>
      <c r="AR16" s="47">
        <f t="shared" ref="AR16:AR38" si="39">(AF16-$AF$14)/360*$AJ$5*$AJ$6-(AF16-$AF$14)/360*$AJ$5*$AJ$7*$AP$14/100</f>
        <v>-227.22268725198364</v>
      </c>
      <c r="AS16" s="45">
        <f t="shared" ref="AS16:AS50" si="40">VLOOKUP($AF16+$J$1,BM:BN,2)</f>
        <v>102.125</v>
      </c>
      <c r="AT16" s="46">
        <f t="shared" ref="AT16:AT50" si="41">(AS16-$AS$14)/100*$AK$5</f>
        <v>18415.178571428572</v>
      </c>
      <c r="AU16" s="47">
        <f t="shared" ref="AU16:AU38" si="42">(AF16-$AF$14)/360*$AK$5*$AK$6-(AF16-$AF$14)/360*$AK$5*$AK$7*$AS$14/100</f>
        <v>95.134858630952522</v>
      </c>
      <c r="AV16" s="45">
        <f t="shared" ref="AV16:AV50" si="43">VLOOKUP($AF16+$J$1,BO:BP,2)</f>
        <v>95.75</v>
      </c>
      <c r="AW16" s="46">
        <f t="shared" ref="AW16:AW50" si="44">(AV16-$AV$14)/100*$AL$5</f>
        <v>72656.25</v>
      </c>
      <c r="AX16" s="47">
        <f t="shared" ref="AX16:AX38" si="45">(AF16-$AF$14)/360*$AL$5*$AL$6-(AF16-$AF$14)/360*$AL$5*$AL$7*$AV$14/100</f>
        <v>256.56380208333348</v>
      </c>
      <c r="AY16" s="82">
        <f t="shared" ref="AY16:AY38" si="46">AH16+AI16-AK16-AL16-AN16-AO16+AQ16+AR16+AT16+AU16+AW16+AX16</f>
        <v>-19929.419949705985</v>
      </c>
      <c r="AZ16" s="82"/>
      <c r="BA16" s="82"/>
      <c r="BB16" s="82">
        <f>$AO$4*SUM($AZ$14:AZ16)-$AP$4*SUM($BA$14:BA16)</f>
        <v>0</v>
      </c>
      <c r="BC16" s="82">
        <f t="shared" si="19"/>
        <v>-19929.419949705985</v>
      </c>
      <c r="BE16" s="75">
        <v>45771.625</v>
      </c>
      <c r="BF16" s="54">
        <v>78.62</v>
      </c>
      <c r="BG16" s="75">
        <v>45883.625</v>
      </c>
      <c r="BH16" s="54">
        <v>100.2734375</v>
      </c>
      <c r="BI16" s="75">
        <v>45771.625</v>
      </c>
      <c r="BJ16" s="54">
        <v>107.38</v>
      </c>
      <c r="BK16" s="75">
        <v>45883.625</v>
      </c>
      <c r="BL16" s="54">
        <v>100.2734375</v>
      </c>
      <c r="BM16" s="75">
        <v>45771.625</v>
      </c>
      <c r="BN16" s="54">
        <v>102.5</v>
      </c>
      <c r="BO16" s="75">
        <v>45771.625</v>
      </c>
      <c r="BP16" s="54">
        <v>97.78125</v>
      </c>
      <c r="BR16" s="131">
        <f t="shared" si="20"/>
        <v>45868.625</v>
      </c>
      <c r="BS16" s="45">
        <f t="shared" si="21"/>
        <v>107.27</v>
      </c>
      <c r="BT16" s="46">
        <f t="shared" ref="BT16:BT50" si="47">(BS16-$BS$14)/100*$BS$5</f>
        <v>-77025.000000002576</v>
      </c>
      <c r="BU16" s="46">
        <f t="shared" ref="BU16:BU50" si="48">(BR16-BR$14)/360*$BS$5*$BS$6</f>
        <v>6944.4444444444453</v>
      </c>
      <c r="BV16" s="45">
        <f t="shared" ref="BV16:BV50" si="49">VLOOKUP(BR16+BV$4,CC:CD,2)</f>
        <v>50.996000000000002</v>
      </c>
      <c r="BW16" s="46">
        <f t="shared" ref="BW16:BW50" si="50">-1*(BV16-$BV$14)*10^-4*$BT$8*$BT$5</f>
        <v>-43987.500000000204</v>
      </c>
      <c r="BX16" s="47">
        <f t="shared" ref="BX16:BX50" si="51">(BR16-BR$14)/360*$BT$5*$BT$6</f>
        <v>6944.4444444444453</v>
      </c>
      <c r="BY16" s="45">
        <f t="shared" ref="BY16:BY50" si="52">BT16+BU16-BW16-BX16</f>
        <v>-33037.500000002365</v>
      </c>
      <c r="CA16" s="129">
        <v>45775.625</v>
      </c>
      <c r="CB16" s="54">
        <v>103.898</v>
      </c>
      <c r="CC16" s="129">
        <v>45775.625</v>
      </c>
      <c r="CD16" s="54">
        <v>67.087000000000003</v>
      </c>
      <c r="CF16" s="131">
        <v>45868.625</v>
      </c>
      <c r="CG16" s="45">
        <f t="shared" si="22"/>
        <v>265.81200000000001</v>
      </c>
      <c r="CH16" s="46">
        <f t="shared" ref="CH16:CH50" si="53">-1*(CG16-$CG$14)*$CG$8*10^-4*$CG$5</f>
        <v>12594.119999999997</v>
      </c>
      <c r="CI16" s="46">
        <f t="shared" ref="CI16:CI50" si="54">(CF16-CF$14)/360*$CG$5*$CG$6</f>
        <v>5833.3333333333339</v>
      </c>
      <c r="CJ16" s="45">
        <f t="shared" ref="CJ16:CJ50" si="55">VLOOKUP(CF16+CJ$4,CQ:CR,2)</f>
        <v>52.783999999999999</v>
      </c>
      <c r="CK16" s="46">
        <f t="shared" ref="CK16:CK50" si="56">-1*(CJ16-$CJ$14)*10^-4*$CH$8*$CH$5</f>
        <v>173.87999999990362</v>
      </c>
      <c r="CL16" s="47">
        <f t="shared" ref="CL16:CL50" si="57">(CF16-CF$14)/360*$CH$5*$CH$6</f>
        <v>5250</v>
      </c>
      <c r="CM16" s="45">
        <f t="shared" ref="CM16:CM50" si="58">CH16+CI16-CK16-CL16</f>
        <v>13003.573333333428</v>
      </c>
      <c r="CO16" s="129">
        <v>45775.625</v>
      </c>
      <c r="CP16" s="54">
        <v>338.5</v>
      </c>
      <c r="CQ16" s="129">
        <v>45775.625</v>
      </c>
      <c r="CR16" s="54">
        <v>65.525000000000006</v>
      </c>
      <c r="CS16" s="54"/>
      <c r="CT16" s="54"/>
      <c r="CU16" s="54"/>
      <c r="CV16" s="54"/>
      <c r="CW16" s="54"/>
      <c r="CX16" s="54"/>
      <c r="CY16" s="54"/>
      <c r="DF16" s="142">
        <v>45869.625</v>
      </c>
      <c r="DG16" s="58">
        <f t="shared" si="4"/>
        <v>13495.965341561823</v>
      </c>
      <c r="DH16" s="58">
        <f t="shared" si="5"/>
        <v>-2279.053804014271</v>
      </c>
      <c r="DI16" s="58">
        <f t="shared" si="6"/>
        <v>-36043.750000002503</v>
      </c>
      <c r="DJ16" s="58">
        <f t="shared" si="7"/>
        <v>27878.060000000361</v>
      </c>
      <c r="DK16" s="58">
        <f t="shared" si="23"/>
        <v>-17811.511566492147</v>
      </c>
      <c r="DL16" s="58">
        <f t="shared" si="23"/>
        <v>17650.366145691714</v>
      </c>
      <c r="DM16" s="58">
        <f t="shared" si="23"/>
        <v>-3006.2500000001382</v>
      </c>
      <c r="DN16" s="58">
        <f t="shared" si="23"/>
        <v>14874.486666666933</v>
      </c>
      <c r="DO16" s="58">
        <f t="shared" si="8"/>
        <v>-17811.511566492147</v>
      </c>
      <c r="DP16" s="58">
        <f t="shared" si="3"/>
        <v>17650.366145691714</v>
      </c>
      <c r="DQ16" s="58">
        <f t="shared" si="3"/>
        <v>-3006.2500000001382</v>
      </c>
      <c r="DR16" s="58">
        <f t="shared" si="3"/>
        <v>14874.486666666933</v>
      </c>
      <c r="DS16" s="58">
        <f>SUM(DO$15:DO16)</f>
        <v>5101.6374210254289</v>
      </c>
      <c r="DT16" s="58">
        <f>SUM(DP$15:DP16)</f>
        <v>5330.5666168021307</v>
      </c>
      <c r="DU16" s="58">
        <f>SUM(DQ$15:DQ16)</f>
        <v>-21362.499999999811</v>
      </c>
      <c r="DV16" s="58">
        <f>SUM(DR$15:DR16)</f>
        <v>10364.293333333495</v>
      </c>
      <c r="DZ16" s="133">
        <v>45869.625</v>
      </c>
      <c r="EA16" s="152">
        <v>-21362.499999999811</v>
      </c>
      <c r="EB16" s="152">
        <v>5330.5666168021307</v>
      </c>
      <c r="EC16" s="152">
        <v>12338.444444444656</v>
      </c>
      <c r="ED16" s="152">
        <v>6073.3778821729356</v>
      </c>
    </row>
    <row r="17" spans="1:134" x14ac:dyDescent="0.3">
      <c r="A17" s="139">
        <v>45849.625</v>
      </c>
      <c r="B17" s="76">
        <f t="shared" si="24"/>
        <v>94.12</v>
      </c>
      <c r="C17" s="31">
        <f t="shared" si="9"/>
        <v>49201.277955270183</v>
      </c>
      <c r="D17" s="32">
        <f t="shared" si="10"/>
        <v>-7402.4999999999991</v>
      </c>
      <c r="E17" s="76">
        <f t="shared" si="25"/>
        <v>101.123</v>
      </c>
      <c r="F17" s="31">
        <f t="shared" si="11"/>
        <v>-19823.99999999916</v>
      </c>
      <c r="G17" s="32">
        <f t="shared" si="12"/>
        <v>-2635.4920199999997</v>
      </c>
      <c r="H17" s="76">
        <f t="shared" si="26"/>
        <v>121.72</v>
      </c>
      <c r="I17" s="31">
        <f t="shared" si="13"/>
        <v>-53335.520918789363</v>
      </c>
      <c r="J17" s="32">
        <f t="shared" si="14"/>
        <v>-12732.299999999997</v>
      </c>
      <c r="K17" s="76">
        <f t="shared" si="27"/>
        <v>99.567999999999998</v>
      </c>
      <c r="L17" s="31">
        <f t="shared" si="15"/>
        <v>-66124.800000002506</v>
      </c>
      <c r="M17" s="32">
        <f t="shared" si="16"/>
        <v>-5796.9637599999996</v>
      </c>
      <c r="N17" s="82">
        <f t="shared" si="17"/>
        <v>58404.327134056206</v>
      </c>
      <c r="O17" s="82"/>
      <c r="P17" s="82"/>
      <c r="Q17" s="82">
        <f>$G$5*SUM($O$14:O17)-$H$5*SUM($P$14:P17)</f>
        <v>0</v>
      </c>
      <c r="R17" s="82">
        <f t="shared" si="18"/>
        <v>58404.327134056206</v>
      </c>
      <c r="S17" s="143"/>
      <c r="U17" s="75">
        <v>45776.625</v>
      </c>
      <c r="V17" s="54">
        <v>92.23</v>
      </c>
      <c r="W17" s="75">
        <v>45775.625</v>
      </c>
      <c r="X17" s="54">
        <v>101.74299999999999</v>
      </c>
      <c r="Y17" s="125">
        <v>45775.625</v>
      </c>
      <c r="Z17" s="54">
        <v>120.57</v>
      </c>
      <c r="AA17" s="75">
        <v>45866.625</v>
      </c>
      <c r="AB17" s="54">
        <v>99.715000000000003</v>
      </c>
      <c r="AF17" s="131">
        <v>45869.625</v>
      </c>
      <c r="AG17" s="45">
        <f t="shared" si="28"/>
        <v>80.38</v>
      </c>
      <c r="AH17" s="46">
        <f t="shared" si="29"/>
        <v>-21752.641392172591</v>
      </c>
      <c r="AI17" s="46">
        <f t="shared" si="30"/>
        <v>-8812.5</v>
      </c>
      <c r="AJ17" s="45">
        <f t="shared" si="31"/>
        <v>99.640625</v>
      </c>
      <c r="AK17" s="46">
        <f t="shared" si="32"/>
        <v>9793.5267857142862</v>
      </c>
      <c r="AL17" s="47">
        <f t="shared" si="33"/>
        <v>-390.95668247767844</v>
      </c>
      <c r="AM17" s="45">
        <f t="shared" si="34"/>
        <v>109.11</v>
      </c>
      <c r="AN17" s="46">
        <f t="shared" si="35"/>
        <v>80379.306268798537</v>
      </c>
      <c r="AO17" s="47">
        <f t="shared" si="36"/>
        <v>-9064.2857142857138</v>
      </c>
      <c r="AP17" s="45">
        <f t="shared" si="37"/>
        <v>99.640625</v>
      </c>
      <c r="AQ17" s="46">
        <f t="shared" si="38"/>
        <v>8537.9464285714294</v>
      </c>
      <c r="AR17" s="47">
        <f t="shared" si="39"/>
        <v>-340.8340308779766</v>
      </c>
      <c r="AS17" s="45">
        <f t="shared" si="40"/>
        <v>102.1875</v>
      </c>
      <c r="AT17" s="46">
        <f t="shared" si="41"/>
        <v>21763.392857142859</v>
      </c>
      <c r="AU17" s="47">
        <f t="shared" si="42"/>
        <v>142.7022879464289</v>
      </c>
      <c r="AV17" s="45">
        <f t="shared" si="43"/>
        <v>95.828125</v>
      </c>
      <c r="AW17" s="46">
        <f t="shared" si="44"/>
        <v>78515.625</v>
      </c>
      <c r="AX17" s="47">
        <f t="shared" si="45"/>
        <v>384.845703125</v>
      </c>
      <c r="AY17" s="82">
        <f t="shared" si="46"/>
        <v>-2279.053804014271</v>
      </c>
      <c r="AZ17" s="82"/>
      <c r="BA17" s="82"/>
      <c r="BB17" s="82">
        <f>$AO$4*SUM($AZ$14:AZ17)-$AP$4*SUM($BA$14:BA17)</f>
        <v>0</v>
      </c>
      <c r="BC17" s="82">
        <f t="shared" si="19"/>
        <v>-2279.053804014271</v>
      </c>
      <c r="BE17" s="75">
        <v>45772.625</v>
      </c>
      <c r="BF17" s="54">
        <v>78.77</v>
      </c>
      <c r="BG17" s="75">
        <v>45884.625</v>
      </c>
      <c r="BH17" s="54">
        <v>100.15625</v>
      </c>
      <c r="BI17" s="75">
        <v>45772.625</v>
      </c>
      <c r="BJ17" s="54">
        <v>107.99</v>
      </c>
      <c r="BK17" s="75">
        <v>45884.625</v>
      </c>
      <c r="BL17" s="54">
        <v>100.15625</v>
      </c>
      <c r="BM17" s="75">
        <v>45772.625</v>
      </c>
      <c r="BN17" s="54">
        <v>102.90625</v>
      </c>
      <c r="BO17" s="75">
        <v>45772.625</v>
      </c>
      <c r="BP17" s="54">
        <v>98.421875</v>
      </c>
      <c r="BR17" s="131">
        <f t="shared" si="20"/>
        <v>45869.625</v>
      </c>
      <c r="BS17" s="45">
        <f t="shared" si="21"/>
        <v>107.2366</v>
      </c>
      <c r="BT17" s="46">
        <f t="shared" si="47"/>
        <v>-85375.000000002648</v>
      </c>
      <c r="BU17" s="46">
        <f t="shared" si="48"/>
        <v>10416.666666666668</v>
      </c>
      <c r="BV17" s="45">
        <f t="shared" si="49"/>
        <v>51.091000000000001</v>
      </c>
      <c r="BW17" s="46">
        <f t="shared" si="50"/>
        <v>-49331.250000000138</v>
      </c>
      <c r="BX17" s="47">
        <f t="shared" si="51"/>
        <v>10416.666666666666</v>
      </c>
      <c r="BY17" s="45">
        <f t="shared" si="52"/>
        <v>-36043.750000002503</v>
      </c>
      <c r="CA17" s="129">
        <v>45776.625</v>
      </c>
      <c r="CB17" s="54">
        <v>103.99760000000001</v>
      </c>
      <c r="CC17" s="129">
        <v>45776.625</v>
      </c>
      <c r="CD17" s="54">
        <v>66.930999999999997</v>
      </c>
      <c r="CF17" s="131">
        <v>45869.625</v>
      </c>
      <c r="CG17" s="45">
        <f t="shared" si="22"/>
        <v>268.60899999999998</v>
      </c>
      <c r="CH17" s="46">
        <f t="shared" si="53"/>
        <v>-13250.159999999716</v>
      </c>
      <c r="CI17" s="46">
        <f t="shared" si="54"/>
        <v>8750</v>
      </c>
      <c r="CJ17" s="45">
        <f t="shared" si="55"/>
        <v>53.713999999999999</v>
      </c>
      <c r="CK17" s="46">
        <f t="shared" si="56"/>
        <v>-40253.220000000081</v>
      </c>
      <c r="CL17" s="47">
        <f t="shared" si="57"/>
        <v>7875</v>
      </c>
      <c r="CM17" s="45">
        <f t="shared" si="58"/>
        <v>27878.060000000361</v>
      </c>
      <c r="CO17" s="129">
        <v>45776.625</v>
      </c>
      <c r="CP17" s="54">
        <v>341.74400000000003</v>
      </c>
      <c r="CQ17" s="129">
        <v>45776.625</v>
      </c>
      <c r="CR17" s="54">
        <v>66.52</v>
      </c>
      <c r="CS17" s="54"/>
      <c r="CT17" s="54"/>
      <c r="CU17" s="54"/>
      <c r="CV17" s="54"/>
      <c r="CW17" s="54"/>
      <c r="CX17" s="54"/>
      <c r="CY17" s="54"/>
      <c r="DF17" s="142">
        <v>45870.625</v>
      </c>
      <c r="DG17" s="58">
        <f t="shared" si="4"/>
        <v>44222.396982064354</v>
      </c>
      <c r="DH17" s="58">
        <f t="shared" si="5"/>
        <v>-132959.15804505366</v>
      </c>
      <c r="DI17" s="58">
        <f t="shared" si="6"/>
        <v>-38281.250000002809</v>
      </c>
      <c r="DJ17" s="58">
        <f t="shared" si="7"/>
        <v>34690.43666666701</v>
      </c>
      <c r="DK17" s="58">
        <f t="shared" si="23"/>
        <v>30726.431640502531</v>
      </c>
      <c r="DL17" s="58">
        <f t="shared" si="23"/>
        <v>-130680.10424103939</v>
      </c>
      <c r="DM17" s="58">
        <f t="shared" si="23"/>
        <v>-2237.5000000003056</v>
      </c>
      <c r="DN17" s="58">
        <f t="shared" si="23"/>
        <v>6812.3766666666488</v>
      </c>
      <c r="DO17" s="58">
        <f t="shared" si="8"/>
        <v>30726.431640502531</v>
      </c>
      <c r="DP17" s="58">
        <f t="shared" si="3"/>
        <v>-130680.10424103939</v>
      </c>
      <c r="DQ17" s="58">
        <f t="shared" si="3"/>
        <v>-2237.5000000003056</v>
      </c>
      <c r="DR17" s="58">
        <f t="shared" si="3"/>
        <v>6812.3766666666488</v>
      </c>
      <c r="DS17" s="58">
        <f>SUM(DO$15:DO17)</f>
        <v>35828.06906152796</v>
      </c>
      <c r="DT17" s="58">
        <f>SUM(DP$15:DP17)</f>
        <v>-125349.53762423726</v>
      </c>
      <c r="DU17" s="58">
        <f>SUM(DQ$15:DQ17)</f>
        <v>-23600.000000000116</v>
      </c>
      <c r="DV17" s="58">
        <f>SUM(DR$15:DR17)</f>
        <v>17176.670000000144</v>
      </c>
      <c r="DZ17" s="133">
        <v>45870.625</v>
      </c>
      <c r="EA17" s="152">
        <v>-23600.000000000116</v>
      </c>
      <c r="EB17" s="152">
        <v>-125349.53762423726</v>
      </c>
      <c r="EC17" s="152">
        <v>20448.416666666861</v>
      </c>
      <c r="ED17" s="152">
        <v>42652.463168485672</v>
      </c>
    </row>
    <row r="18" spans="1:134" x14ac:dyDescent="0.3">
      <c r="A18" s="139">
        <v>45852.625</v>
      </c>
      <c r="B18" s="76">
        <f t="shared" si="24"/>
        <v>94.05</v>
      </c>
      <c r="C18" s="31">
        <f t="shared" si="9"/>
        <v>33546.325878593518</v>
      </c>
      <c r="D18" s="32">
        <f t="shared" si="10"/>
        <v>-14804.999999999998</v>
      </c>
      <c r="E18" s="76">
        <f t="shared" si="25"/>
        <v>101.181</v>
      </c>
      <c r="F18" s="31">
        <f t="shared" si="11"/>
        <v>-10080.000000000382</v>
      </c>
      <c r="G18" s="32">
        <f t="shared" si="12"/>
        <v>-5270.9840399999994</v>
      </c>
      <c r="H18" s="76">
        <f t="shared" si="26"/>
        <v>121.74</v>
      </c>
      <c r="I18" s="31">
        <f t="shared" si="13"/>
        <v>-47409.351927814554</v>
      </c>
      <c r="J18" s="32">
        <f t="shared" si="14"/>
        <v>-25464.599999999995</v>
      </c>
      <c r="K18" s="76">
        <f t="shared" si="27"/>
        <v>99.611999999999995</v>
      </c>
      <c r="L18" s="31">
        <f t="shared" si="15"/>
        <v>-50971.200000003562</v>
      </c>
      <c r="M18" s="32">
        <f t="shared" si="16"/>
        <v>-11593.927519999999</v>
      </c>
      <c r="N18" s="82">
        <f t="shared" si="17"/>
        <v>44401.134326404877</v>
      </c>
      <c r="O18" s="82"/>
      <c r="P18" s="82"/>
      <c r="Q18" s="82">
        <f>$G$5*SUM($O$14:O18)-$H$5*SUM($P$14:P18)</f>
        <v>0</v>
      </c>
      <c r="R18" s="82">
        <f t="shared" si="18"/>
        <v>44401.134326404877</v>
      </c>
      <c r="S18" s="143"/>
      <c r="U18" s="75">
        <v>45777.625</v>
      </c>
      <c r="V18" s="54">
        <v>91.86</v>
      </c>
      <c r="W18" s="75">
        <v>45776.625</v>
      </c>
      <c r="X18" s="54">
        <v>101.75</v>
      </c>
      <c r="Y18" s="125">
        <v>45777.625</v>
      </c>
      <c r="Z18" s="54">
        <v>120.56</v>
      </c>
      <c r="AA18" s="75">
        <v>45867.625</v>
      </c>
      <c r="AB18" s="54">
        <v>99.623999999999995</v>
      </c>
      <c r="AF18" s="131">
        <v>45870.625</v>
      </c>
      <c r="AG18" s="45">
        <f t="shared" si="28"/>
        <v>79.98</v>
      </c>
      <c r="AH18" s="46">
        <f t="shared" si="29"/>
        <v>-146053.44934741914</v>
      </c>
      <c r="AI18" s="46">
        <f t="shared" si="30"/>
        <v>-11750</v>
      </c>
      <c r="AJ18" s="45">
        <f t="shared" si="31"/>
        <v>100.5390625</v>
      </c>
      <c r="AK18" s="46">
        <f t="shared" si="32"/>
        <v>134933.03571428571</v>
      </c>
      <c r="AL18" s="47">
        <f t="shared" si="33"/>
        <v>-521.27557663690459</v>
      </c>
      <c r="AM18" s="45">
        <f t="shared" si="34"/>
        <v>109.63</v>
      </c>
      <c r="AN18" s="46">
        <f t="shared" si="35"/>
        <v>203312.36291519593</v>
      </c>
      <c r="AO18" s="47">
        <f t="shared" si="36"/>
        <v>-12085.714285714286</v>
      </c>
      <c r="AP18" s="45">
        <f t="shared" si="37"/>
        <v>100.5390625</v>
      </c>
      <c r="AQ18" s="46">
        <f t="shared" si="38"/>
        <v>117633.92857142858</v>
      </c>
      <c r="AR18" s="47">
        <f t="shared" si="39"/>
        <v>-454.44537450396729</v>
      </c>
      <c r="AS18" s="45">
        <f t="shared" si="40"/>
        <v>103.359375</v>
      </c>
      <c r="AT18" s="46">
        <f t="shared" si="41"/>
        <v>84542.41071428571</v>
      </c>
      <c r="AU18" s="47">
        <f t="shared" si="42"/>
        <v>190.26971726190504</v>
      </c>
      <c r="AV18" s="45">
        <f t="shared" si="43"/>
        <v>97.03125</v>
      </c>
      <c r="AW18" s="46">
        <f t="shared" si="44"/>
        <v>168750</v>
      </c>
      <c r="AX18" s="47">
        <f t="shared" si="45"/>
        <v>513.12760416666697</v>
      </c>
      <c r="AY18" s="82">
        <f t="shared" si="46"/>
        <v>-112266.56688191074</v>
      </c>
      <c r="AZ18" s="82">
        <v>0.40448699999999999</v>
      </c>
      <c r="BA18" s="82">
        <v>0.44415500000000002</v>
      </c>
      <c r="BB18" s="82">
        <f>$AO$4*SUM($AZ$14:AZ18)-$AP$4*SUM($BA$14:BA18)</f>
        <v>20692.591163142919</v>
      </c>
      <c r="BC18" s="82">
        <f t="shared" si="19"/>
        <v>-132959.15804505366</v>
      </c>
      <c r="BE18" s="75">
        <v>45775.625</v>
      </c>
      <c r="BF18" s="54">
        <v>78.81</v>
      </c>
      <c r="BG18" s="75">
        <v>45887.625</v>
      </c>
      <c r="BH18" s="54">
        <v>100.1015625</v>
      </c>
      <c r="BI18" s="75">
        <v>45775.625</v>
      </c>
      <c r="BJ18" s="54">
        <v>108.24</v>
      </c>
      <c r="BK18" s="75">
        <v>45887.625</v>
      </c>
      <c r="BL18" s="54">
        <v>100.1015625</v>
      </c>
      <c r="BM18" s="75">
        <v>45775.625</v>
      </c>
      <c r="BN18" s="54">
        <v>103.3125</v>
      </c>
      <c r="BO18" s="75">
        <v>45775.625</v>
      </c>
      <c r="BP18" s="54">
        <v>99.03125</v>
      </c>
      <c r="BR18" s="131">
        <f t="shared" si="20"/>
        <v>45870.625</v>
      </c>
      <c r="BS18" s="45">
        <f t="shared" si="21"/>
        <v>106.53149999999999</v>
      </c>
      <c r="BT18" s="46">
        <f t="shared" si="47"/>
        <v>-261650.00000000303</v>
      </c>
      <c r="BU18" s="46">
        <f t="shared" si="48"/>
        <v>13888.888888888891</v>
      </c>
      <c r="BV18" s="45">
        <f t="shared" si="49"/>
        <v>54.185000000000002</v>
      </c>
      <c r="BW18" s="46">
        <f t="shared" si="50"/>
        <v>-223368.75000000023</v>
      </c>
      <c r="BX18" s="47">
        <f t="shared" si="51"/>
        <v>13888.888888888891</v>
      </c>
      <c r="BY18" s="45">
        <f t="shared" si="52"/>
        <v>-38281.250000002809</v>
      </c>
      <c r="CA18" s="129">
        <v>45777.625</v>
      </c>
      <c r="CB18" s="54">
        <v>103.62090000000001</v>
      </c>
      <c r="CC18" s="129">
        <v>45777.625</v>
      </c>
      <c r="CD18" s="54">
        <v>68.186000000000007</v>
      </c>
      <c r="CF18" s="131">
        <v>45870.625</v>
      </c>
      <c r="CG18" s="45">
        <f t="shared" si="22"/>
        <v>281.363</v>
      </c>
      <c r="CH18" s="46">
        <f t="shared" si="53"/>
        <v>-131097.11999999991</v>
      </c>
      <c r="CI18" s="46">
        <f t="shared" si="54"/>
        <v>11666.666666666668</v>
      </c>
      <c r="CJ18" s="45">
        <f t="shared" si="55"/>
        <v>56.575000000000003</v>
      </c>
      <c r="CK18" s="46">
        <f t="shared" si="56"/>
        <v>-164620.89000000025</v>
      </c>
      <c r="CL18" s="47">
        <f t="shared" si="57"/>
        <v>10500</v>
      </c>
      <c r="CM18" s="45">
        <f t="shared" si="58"/>
        <v>34690.43666666701</v>
      </c>
      <c r="CO18" s="129">
        <v>45777.625</v>
      </c>
      <c r="CP18" s="54">
        <v>350.83699999999999</v>
      </c>
      <c r="CQ18" s="129">
        <v>45777.625</v>
      </c>
      <c r="CR18" s="54">
        <v>68.284000000000006</v>
      </c>
      <c r="CS18" s="54"/>
      <c r="CT18" s="54"/>
      <c r="CU18" s="54"/>
      <c r="CV18" s="54"/>
      <c r="CW18" s="54"/>
      <c r="CX18" s="54"/>
      <c r="CY18" s="54"/>
      <c r="DF18" s="142">
        <v>45873.625</v>
      </c>
      <c r="DG18" s="58">
        <f t="shared" si="4"/>
        <v>39403.850179231609</v>
      </c>
      <c r="DH18" s="58">
        <f t="shared" si="5"/>
        <v>-69372.182510527869</v>
      </c>
      <c r="DI18" s="58">
        <f t="shared" si="6"/>
        <v>-34000.000000000618</v>
      </c>
      <c r="DJ18" s="58">
        <f t="shared" si="7"/>
        <v>48275.686666667039</v>
      </c>
      <c r="DK18" s="58">
        <f t="shared" si="23"/>
        <v>-4818.546802832745</v>
      </c>
      <c r="DL18" s="58">
        <f t="shared" si="23"/>
        <v>63586.975534525787</v>
      </c>
      <c r="DM18" s="58">
        <f t="shared" si="23"/>
        <v>4281.2500000021901</v>
      </c>
      <c r="DN18" s="58">
        <f t="shared" si="23"/>
        <v>13585.250000000029</v>
      </c>
      <c r="DO18" s="58">
        <f t="shared" si="8"/>
        <v>-4818.546802832745</v>
      </c>
      <c r="DP18" s="58">
        <f t="shared" si="3"/>
        <v>63586.975534525787</v>
      </c>
      <c r="DQ18" s="58">
        <f t="shared" si="3"/>
        <v>4281.2500000021901</v>
      </c>
      <c r="DR18" s="58">
        <f t="shared" si="3"/>
        <v>13585.250000000029</v>
      </c>
      <c r="DS18" s="58">
        <f>SUM(DO$15:DO18)</f>
        <v>31009.522258695215</v>
      </c>
      <c r="DT18" s="58">
        <f>SUM(DP$15:DP18)</f>
        <v>-61762.562089711471</v>
      </c>
      <c r="DU18" s="58">
        <f>SUM(DQ$15:DQ18)</f>
        <v>-19318.749999997926</v>
      </c>
      <c r="DV18" s="58">
        <f>SUM(DR$15:DR18)</f>
        <v>30761.920000000173</v>
      </c>
      <c r="DZ18" s="133">
        <v>45873.625</v>
      </c>
      <c r="EA18" s="152">
        <v>-19318.749999997926</v>
      </c>
      <c r="EB18" s="152">
        <v>-61762.562089711471</v>
      </c>
      <c r="EC18" s="152">
        <v>36621.333333333547</v>
      </c>
      <c r="ED18" s="152">
        <v>36916.097927017952</v>
      </c>
    </row>
    <row r="19" spans="1:134" x14ac:dyDescent="0.3">
      <c r="A19" s="139">
        <v>45853.625</v>
      </c>
      <c r="B19" s="76">
        <f t="shared" si="24"/>
        <v>94.05</v>
      </c>
      <c r="C19" s="31">
        <f t="shared" si="9"/>
        <v>33546.325878593518</v>
      </c>
      <c r="D19" s="32">
        <f t="shared" si="10"/>
        <v>-17272.5</v>
      </c>
      <c r="E19" s="76">
        <f t="shared" si="25"/>
        <v>101.23699999999999</v>
      </c>
      <c r="F19" s="31">
        <f t="shared" si="11"/>
        <v>-672.00000000082127</v>
      </c>
      <c r="G19" s="32">
        <f t="shared" si="12"/>
        <v>-6149.4813800000011</v>
      </c>
      <c r="H19" s="76">
        <f t="shared" si="26"/>
        <v>121.85</v>
      </c>
      <c r="I19" s="31">
        <f t="shared" si="13"/>
        <v>-14815.422477445054</v>
      </c>
      <c r="J19" s="32">
        <f t="shared" si="14"/>
        <v>-29708.7</v>
      </c>
      <c r="K19" s="76">
        <f t="shared" si="27"/>
        <v>99.713999999999999</v>
      </c>
      <c r="L19" s="31">
        <f t="shared" si="15"/>
        <v>-15842.400000002232</v>
      </c>
      <c r="M19" s="32">
        <f t="shared" si="16"/>
        <v>-13526.248773333331</v>
      </c>
      <c r="N19" s="82">
        <f t="shared" si="17"/>
        <v>38250.78096270383</v>
      </c>
      <c r="O19" s="82"/>
      <c r="P19" s="82"/>
      <c r="Q19" s="82">
        <f>$G$5*SUM($O$14:O19)-$H$5*SUM($P$14:P19)</f>
        <v>0</v>
      </c>
      <c r="R19" s="82">
        <f t="shared" si="18"/>
        <v>38250.78096270383</v>
      </c>
      <c r="S19" s="143"/>
      <c r="U19" s="75">
        <v>45778.625</v>
      </c>
      <c r="V19" s="54">
        <v>92.17</v>
      </c>
      <c r="W19" s="75">
        <v>45777.625</v>
      </c>
      <c r="X19" s="54">
        <v>101.923</v>
      </c>
      <c r="Y19" s="125">
        <v>45778.625</v>
      </c>
      <c r="Z19" s="54">
        <v>120.75</v>
      </c>
      <c r="AA19" s="75">
        <v>45868.625</v>
      </c>
      <c r="AB19" s="54">
        <v>99.552999999999997</v>
      </c>
      <c r="AF19" s="131">
        <v>45873.625</v>
      </c>
      <c r="AG19" s="45">
        <f t="shared" si="28"/>
        <v>80.25</v>
      </c>
      <c r="AH19" s="46">
        <f t="shared" si="29"/>
        <v>-62150.403977626054</v>
      </c>
      <c r="AI19" s="46">
        <f t="shared" si="30"/>
        <v>-20562.5</v>
      </c>
      <c r="AJ19" s="45">
        <f t="shared" si="31"/>
        <v>100.5859375</v>
      </c>
      <c r="AK19" s="46">
        <f t="shared" si="32"/>
        <v>141462.05357142858</v>
      </c>
      <c r="AL19" s="47">
        <f t="shared" si="33"/>
        <v>-912.23225911458394</v>
      </c>
      <c r="AM19" s="45">
        <f t="shared" si="34"/>
        <v>109.82</v>
      </c>
      <c r="AN19" s="46">
        <f t="shared" si="35"/>
        <v>248230.21053599159</v>
      </c>
      <c r="AO19" s="47">
        <f t="shared" si="36"/>
        <v>-21150</v>
      </c>
      <c r="AP19" s="45">
        <f t="shared" si="37"/>
        <v>100.5859375</v>
      </c>
      <c r="AQ19" s="46">
        <f t="shared" si="38"/>
        <v>123325.89285714287</v>
      </c>
      <c r="AR19" s="47">
        <f t="shared" si="39"/>
        <v>-795.27940538194343</v>
      </c>
      <c r="AS19" s="45">
        <f t="shared" si="40"/>
        <v>103.46875</v>
      </c>
      <c r="AT19" s="46">
        <f t="shared" si="41"/>
        <v>90401.785714285725</v>
      </c>
      <c r="AU19" s="47">
        <f t="shared" si="42"/>
        <v>332.97200520833394</v>
      </c>
      <c r="AV19" s="45">
        <f t="shared" si="43"/>
        <v>97.28125</v>
      </c>
      <c r="AW19" s="46">
        <f t="shared" si="44"/>
        <v>187500</v>
      </c>
      <c r="AX19" s="47">
        <f t="shared" si="45"/>
        <v>897.97330729166697</v>
      </c>
      <c r="AY19" s="82">
        <f t="shared" si="46"/>
        <v>-48679.591347384958</v>
      </c>
      <c r="AZ19" s="82"/>
      <c r="BA19" s="82"/>
      <c r="BB19" s="82">
        <f>$AO$4*SUM($AZ$14:AZ19)-$AP$4*SUM($BA$14:BA19)</f>
        <v>20692.591163142919</v>
      </c>
      <c r="BC19" s="82">
        <f t="shared" si="19"/>
        <v>-69372.182510527869</v>
      </c>
      <c r="BE19" s="75">
        <v>45776.625</v>
      </c>
      <c r="BF19" s="54">
        <v>79.02</v>
      </c>
      <c r="BG19" s="75">
        <v>45888.625</v>
      </c>
      <c r="BH19" s="54">
        <v>100.2421875</v>
      </c>
      <c r="BI19" s="75">
        <v>45776.625</v>
      </c>
      <c r="BJ19" s="54">
        <v>108.49</v>
      </c>
      <c r="BK19" s="75">
        <v>45888.625</v>
      </c>
      <c r="BL19" s="54">
        <v>100.2421875</v>
      </c>
      <c r="BM19" s="75">
        <v>45776.625</v>
      </c>
      <c r="BN19" s="54">
        <v>103.6875</v>
      </c>
      <c r="BO19" s="75">
        <v>45776.625</v>
      </c>
      <c r="BP19" s="54">
        <v>99.828125</v>
      </c>
      <c r="BR19" s="131">
        <f t="shared" si="20"/>
        <v>45873.625</v>
      </c>
      <c r="BS19" s="45">
        <f t="shared" si="21"/>
        <v>107.0245</v>
      </c>
      <c r="BT19" s="46">
        <f t="shared" si="47"/>
        <v>-138400.00000000073</v>
      </c>
      <c r="BU19" s="46">
        <f t="shared" si="48"/>
        <v>24305.555555555558</v>
      </c>
      <c r="BV19" s="45">
        <f t="shared" si="49"/>
        <v>52.07</v>
      </c>
      <c r="BW19" s="46">
        <f t="shared" si="50"/>
        <v>-104400.0000000001</v>
      </c>
      <c r="BX19" s="47">
        <f t="shared" si="51"/>
        <v>24305.555555555555</v>
      </c>
      <c r="BY19" s="45">
        <f t="shared" si="52"/>
        <v>-34000.000000000618</v>
      </c>
      <c r="CA19" s="129">
        <v>45778.625</v>
      </c>
      <c r="CB19" s="54">
        <v>103.7897</v>
      </c>
      <c r="CC19" s="129">
        <v>45778.625</v>
      </c>
      <c r="CD19" s="54">
        <v>67.370999999999995</v>
      </c>
      <c r="CF19" s="131">
        <v>45873.625</v>
      </c>
      <c r="CG19" s="45">
        <f t="shared" si="22"/>
        <v>276.33199999999999</v>
      </c>
      <c r="CH19" s="46">
        <f t="shared" si="53"/>
        <v>-84610.679999999847</v>
      </c>
      <c r="CI19" s="46">
        <f t="shared" si="54"/>
        <v>20416.666666666668</v>
      </c>
      <c r="CJ19" s="45">
        <f t="shared" si="55"/>
        <v>55.798000000000002</v>
      </c>
      <c r="CK19" s="46">
        <f t="shared" si="56"/>
        <v>-130844.70000000022</v>
      </c>
      <c r="CL19" s="47">
        <f t="shared" si="57"/>
        <v>18375</v>
      </c>
      <c r="CM19" s="45">
        <f t="shared" si="58"/>
        <v>48275.686666667039</v>
      </c>
      <c r="CO19" s="129">
        <v>45778.625</v>
      </c>
      <c r="CP19" s="54">
        <v>343.14400000000001</v>
      </c>
      <c r="CQ19" s="129">
        <v>45778.625</v>
      </c>
      <c r="CR19" s="54">
        <v>66.575999999999993</v>
      </c>
      <c r="CS19" s="54"/>
      <c r="CT19" s="54"/>
      <c r="CU19" s="54"/>
      <c r="CV19" s="54"/>
      <c r="CW19" s="54"/>
      <c r="CX19" s="54"/>
      <c r="CY19" s="54"/>
      <c r="DF19" s="142">
        <v>45874.625</v>
      </c>
      <c r="DG19" s="58">
        <f t="shared" si="4"/>
        <v>36115.248892206</v>
      </c>
      <c r="DH19" s="58">
        <f t="shared" si="5"/>
        <v>-77001.055799339636</v>
      </c>
      <c r="DI19" s="58">
        <f t="shared" si="6"/>
        <v>-32275.000000002736</v>
      </c>
      <c r="DJ19" s="58">
        <f t="shared" si="7"/>
        <v>50976.263333333627</v>
      </c>
      <c r="DK19" s="58">
        <f t="shared" si="23"/>
        <v>-3288.6012870256091</v>
      </c>
      <c r="DL19" s="58">
        <f t="shared" si="23"/>
        <v>-7628.8732888117665</v>
      </c>
      <c r="DM19" s="58">
        <f t="shared" si="23"/>
        <v>1724.9999999978827</v>
      </c>
      <c r="DN19" s="58">
        <f t="shared" si="23"/>
        <v>2700.5766666665877</v>
      </c>
      <c r="DO19" s="58">
        <f t="shared" si="8"/>
        <v>-3288.6012870256091</v>
      </c>
      <c r="DP19" s="58">
        <f t="shared" si="3"/>
        <v>-7628.8732888117665</v>
      </c>
      <c r="DQ19" s="58">
        <f t="shared" si="3"/>
        <v>1724.9999999978827</v>
      </c>
      <c r="DR19" s="58">
        <f t="shared" si="3"/>
        <v>2700.5766666665877</v>
      </c>
      <c r="DS19" s="58">
        <f>SUM(DO$15:DO19)</f>
        <v>27720.920971669606</v>
      </c>
      <c r="DT19" s="58">
        <f>SUM(DP$15:DP19)</f>
        <v>-69391.435378523238</v>
      </c>
      <c r="DU19" s="58">
        <f>SUM(DQ$15:DQ19)</f>
        <v>-17593.750000000044</v>
      </c>
      <c r="DV19" s="58">
        <f>SUM(DR$15:DR19)</f>
        <v>33462.496666666761</v>
      </c>
      <c r="DZ19" s="133">
        <v>45874.625</v>
      </c>
      <c r="EA19" s="152">
        <v>-17593.750000000044</v>
      </c>
      <c r="EB19" s="152">
        <v>-69391.435378523238</v>
      </c>
      <c r="EC19" s="152">
        <v>39836.305555555678</v>
      </c>
      <c r="ED19" s="152">
        <v>33001.09639484447</v>
      </c>
    </row>
    <row r="20" spans="1:134" x14ac:dyDescent="0.3">
      <c r="A20" s="139">
        <v>45854.625</v>
      </c>
      <c r="B20" s="76">
        <f t="shared" si="24"/>
        <v>93.96</v>
      </c>
      <c r="C20" s="31">
        <f t="shared" si="9"/>
        <v>13418.530351436475</v>
      </c>
      <c r="D20" s="32">
        <f t="shared" si="10"/>
        <v>-19740</v>
      </c>
      <c r="E20" s="76">
        <f t="shared" si="25"/>
        <v>101.31</v>
      </c>
      <c r="F20" s="31">
        <f t="shared" si="11"/>
        <v>11592.000000000438</v>
      </c>
      <c r="G20" s="32">
        <f t="shared" si="12"/>
        <v>-7027.9787199999992</v>
      </c>
      <c r="H20" s="76">
        <f t="shared" si="26"/>
        <v>121.87</v>
      </c>
      <c r="I20" s="31">
        <f t="shared" si="13"/>
        <v>-8889.2534864662302</v>
      </c>
      <c r="J20" s="32">
        <f t="shared" si="14"/>
        <v>-33952.799999999996</v>
      </c>
      <c r="K20" s="76">
        <f t="shared" si="27"/>
        <v>99.841999999999999</v>
      </c>
      <c r="L20" s="31">
        <f t="shared" si="15"/>
        <v>28240.799999997809</v>
      </c>
      <c r="M20" s="32">
        <f t="shared" si="16"/>
        <v>-15458.570026666668</v>
      </c>
      <c r="N20" s="82">
        <f t="shared" si="17"/>
        <v>44738.792531233397</v>
      </c>
      <c r="O20" s="82"/>
      <c r="P20" s="82"/>
      <c r="Q20" s="82">
        <f>$G$5*SUM($O$14:O20)-$H$5*SUM($P$14:P20)</f>
        <v>0</v>
      </c>
      <c r="R20" s="82">
        <f t="shared" si="18"/>
        <v>44738.792531233397</v>
      </c>
      <c r="S20" s="143"/>
      <c r="U20" s="75">
        <v>45779.625</v>
      </c>
      <c r="V20" s="54">
        <v>92.25</v>
      </c>
      <c r="W20" s="75">
        <v>45779.625</v>
      </c>
      <c r="X20" s="54">
        <v>101.658</v>
      </c>
      <c r="Y20" s="125">
        <v>45779.625</v>
      </c>
      <c r="Z20" s="54">
        <v>120.42</v>
      </c>
      <c r="AA20" s="75">
        <v>45869.625</v>
      </c>
      <c r="AB20" s="54">
        <v>99.549000000000007</v>
      </c>
      <c r="AF20" s="131">
        <v>45874.625</v>
      </c>
      <c r="AG20" s="45">
        <f t="shared" si="28"/>
        <v>80.209999999999994</v>
      </c>
      <c r="AH20" s="46">
        <f t="shared" si="29"/>
        <v>-74580.48477315405</v>
      </c>
      <c r="AI20" s="46">
        <f t="shared" si="30"/>
        <v>-23500</v>
      </c>
      <c r="AJ20" s="45">
        <f t="shared" si="31"/>
        <v>100.4921875</v>
      </c>
      <c r="AK20" s="46">
        <f t="shared" si="32"/>
        <v>128404.01785714286</v>
      </c>
      <c r="AL20" s="47">
        <f t="shared" si="33"/>
        <v>-1042.5511532738092</v>
      </c>
      <c r="AM20" s="45">
        <f t="shared" si="34"/>
        <v>109.9</v>
      </c>
      <c r="AN20" s="46">
        <f t="shared" si="35"/>
        <v>267142.98848159425</v>
      </c>
      <c r="AO20" s="47">
        <f t="shared" si="36"/>
        <v>-24171.428571428572</v>
      </c>
      <c r="AP20" s="45">
        <f t="shared" si="37"/>
        <v>100.4921875</v>
      </c>
      <c r="AQ20" s="46">
        <f t="shared" si="38"/>
        <v>111941.96428571429</v>
      </c>
      <c r="AR20" s="47">
        <f t="shared" si="39"/>
        <v>-908.89074900793457</v>
      </c>
      <c r="AS20" s="45">
        <f t="shared" si="40"/>
        <v>103.4375</v>
      </c>
      <c r="AT20" s="46">
        <f t="shared" si="41"/>
        <v>88727.67857142858</v>
      </c>
      <c r="AU20" s="47">
        <f t="shared" si="42"/>
        <v>380.53943452381009</v>
      </c>
      <c r="AV20" s="45">
        <f t="shared" si="43"/>
        <v>97.59375</v>
      </c>
      <c r="AW20" s="46">
        <f t="shared" si="44"/>
        <v>210937.5</v>
      </c>
      <c r="AX20" s="47">
        <f t="shared" si="45"/>
        <v>1026.2552083333339</v>
      </c>
      <c r="AY20" s="82">
        <f t="shared" si="46"/>
        <v>-56308.46463619671</v>
      </c>
      <c r="AZ20" s="82"/>
      <c r="BA20" s="82"/>
      <c r="BB20" s="82">
        <f>$AO$4*SUM($AZ$14:AZ20)-$AP$4*SUM($BA$14:BA20)</f>
        <v>20692.591163142919</v>
      </c>
      <c r="BC20" s="82">
        <f t="shared" si="19"/>
        <v>-77001.055799339636</v>
      </c>
      <c r="BE20" s="75">
        <v>45777.625</v>
      </c>
      <c r="BF20" s="54">
        <v>78.599999999999994</v>
      </c>
      <c r="BG20" s="75">
        <v>45889.625</v>
      </c>
      <c r="BH20" s="54">
        <v>100.3125</v>
      </c>
      <c r="BI20" s="75">
        <v>45777.625</v>
      </c>
      <c r="BJ20" s="54">
        <v>108</v>
      </c>
      <c r="BK20" s="75">
        <v>45889.625</v>
      </c>
      <c r="BL20" s="54">
        <v>100.3125</v>
      </c>
      <c r="BM20" s="75">
        <v>45777.625</v>
      </c>
      <c r="BN20" s="54">
        <v>103.78125</v>
      </c>
      <c r="BO20" s="75">
        <v>45777.625</v>
      </c>
      <c r="BP20" s="54">
        <v>99.046875</v>
      </c>
      <c r="BR20" s="131">
        <f t="shared" si="20"/>
        <v>45874.625</v>
      </c>
      <c r="BS20" s="45">
        <f t="shared" si="21"/>
        <v>106.9378</v>
      </c>
      <c r="BT20" s="46">
        <f t="shared" si="47"/>
        <v>-160075.00000000265</v>
      </c>
      <c r="BU20" s="46">
        <f t="shared" si="48"/>
        <v>27777.777777777781</v>
      </c>
      <c r="BV20" s="45">
        <f t="shared" si="49"/>
        <v>52.485999999999997</v>
      </c>
      <c r="BW20" s="46">
        <f t="shared" si="50"/>
        <v>-127799.99999999991</v>
      </c>
      <c r="BX20" s="47">
        <f t="shared" si="51"/>
        <v>27777.777777777781</v>
      </c>
      <c r="BY20" s="45">
        <f t="shared" si="52"/>
        <v>-32275.000000002736</v>
      </c>
      <c r="CA20" s="129">
        <v>45779.625</v>
      </c>
      <c r="CB20" s="54">
        <v>104.4299</v>
      </c>
      <c r="CC20" s="129">
        <v>45779.625</v>
      </c>
      <c r="CD20" s="54">
        <v>64.525999999999996</v>
      </c>
      <c r="CF20" s="131">
        <v>45874.625</v>
      </c>
      <c r="CG20" s="45">
        <f t="shared" si="22"/>
        <v>275.041</v>
      </c>
      <c r="CH20" s="46">
        <f t="shared" si="53"/>
        <v>-72681.83999999988</v>
      </c>
      <c r="CI20" s="46">
        <f t="shared" si="54"/>
        <v>23333.333333333336</v>
      </c>
      <c r="CJ20" s="45">
        <f t="shared" si="55"/>
        <v>55.579000000000001</v>
      </c>
      <c r="CK20" s="46">
        <f t="shared" si="56"/>
        <v>-121324.77000000016</v>
      </c>
      <c r="CL20" s="47">
        <f t="shared" si="57"/>
        <v>21000</v>
      </c>
      <c r="CM20" s="45">
        <f t="shared" si="58"/>
        <v>50976.263333333627</v>
      </c>
      <c r="CO20" s="129">
        <v>45779.625</v>
      </c>
      <c r="CP20" s="54">
        <v>333.99900000000002</v>
      </c>
      <c r="CQ20" s="129">
        <v>45779.625</v>
      </c>
      <c r="CR20" s="54">
        <v>64.894000000000005</v>
      </c>
      <c r="CS20" s="54"/>
      <c r="CT20" s="54"/>
      <c r="CU20" s="54"/>
      <c r="CV20" s="54"/>
      <c r="CW20" s="54"/>
      <c r="CX20" s="54"/>
      <c r="CY20" s="54"/>
      <c r="DF20" s="142">
        <v>45875.625</v>
      </c>
      <c r="DG20" s="58">
        <f t="shared" si="4"/>
        <v>58667.197879721061</v>
      </c>
      <c r="DH20" s="58">
        <f t="shared" si="5"/>
        <v>-96976.358097794364</v>
      </c>
      <c r="DI20" s="58">
        <f t="shared" si="6"/>
        <v>-39493.75000000275</v>
      </c>
      <c r="DJ20" s="58">
        <f t="shared" si="7"/>
        <v>36585.57000000024</v>
      </c>
      <c r="DK20" s="58">
        <f t="shared" si="23"/>
        <v>22551.948987515061</v>
      </c>
      <c r="DL20" s="58">
        <f t="shared" si="23"/>
        <v>-19975.302298454728</v>
      </c>
      <c r="DM20" s="58">
        <f t="shared" si="23"/>
        <v>-7218.7500000000146</v>
      </c>
      <c r="DN20" s="58">
        <f t="shared" si="23"/>
        <v>-14390.693333333387</v>
      </c>
      <c r="DO20" s="58">
        <f t="shared" si="8"/>
        <v>22551.948987515061</v>
      </c>
      <c r="DP20" s="58">
        <f t="shared" si="3"/>
        <v>-19975.302298454728</v>
      </c>
      <c r="DQ20" s="58">
        <f t="shared" si="3"/>
        <v>-7218.7500000000146</v>
      </c>
      <c r="DR20" s="58">
        <f t="shared" si="3"/>
        <v>-14390.693333333387</v>
      </c>
      <c r="DS20" s="58">
        <f>SUM(DO$15:DO20)</f>
        <v>50272.869959184667</v>
      </c>
      <c r="DT20" s="58">
        <f>SUM(DP$15:DP20)</f>
        <v>-89366.737676977966</v>
      </c>
      <c r="DU20" s="58">
        <f>SUM(DQ$15:DQ20)</f>
        <v>-24812.500000000058</v>
      </c>
      <c r="DV20" s="58">
        <f>SUM(DR$15:DR20)</f>
        <v>19071.803333333373</v>
      </c>
      <c r="DZ20" s="133">
        <v>45875.625</v>
      </c>
      <c r="EA20" s="152">
        <v>-24812.500000000058</v>
      </c>
      <c r="EB20" s="152">
        <v>-89366.737676977966</v>
      </c>
      <c r="EC20" s="152">
        <v>22704.527777777839</v>
      </c>
      <c r="ED20" s="152">
        <v>59848.654713314958</v>
      </c>
    </row>
    <row r="21" spans="1:134" x14ac:dyDescent="0.3">
      <c r="A21" s="139">
        <v>45855.625</v>
      </c>
      <c r="B21" s="76">
        <f t="shared" si="24"/>
        <v>94.08</v>
      </c>
      <c r="C21" s="31">
        <f t="shared" si="9"/>
        <v>40255.591054309429</v>
      </c>
      <c r="D21" s="32">
        <f t="shared" si="10"/>
        <v>-22207.5</v>
      </c>
      <c r="E21" s="76">
        <f t="shared" si="25"/>
        <v>101.328</v>
      </c>
      <c r="F21" s="31">
        <f t="shared" si="11"/>
        <v>14616.000000000553</v>
      </c>
      <c r="G21" s="32">
        <f t="shared" si="12"/>
        <v>-7906.4760599999991</v>
      </c>
      <c r="H21" s="76">
        <f t="shared" si="26"/>
        <v>120.13</v>
      </c>
      <c r="I21" s="31">
        <f t="shared" si="13"/>
        <v>-524465.95570139936</v>
      </c>
      <c r="J21" s="32">
        <f t="shared" si="14"/>
        <v>-38196.9</v>
      </c>
      <c r="K21" s="76">
        <f t="shared" si="27"/>
        <v>99.9</v>
      </c>
      <c r="L21" s="31">
        <f t="shared" si="15"/>
        <v>48216.000000000196</v>
      </c>
      <c r="M21" s="32">
        <f t="shared" si="16"/>
        <v>-17390.891280000003</v>
      </c>
      <c r="N21" s="82">
        <f t="shared" si="17"/>
        <v>604826.53153570846</v>
      </c>
      <c r="O21" s="82"/>
      <c r="P21" s="82">
        <v>1.9446000000000001</v>
      </c>
      <c r="Q21" s="82">
        <f>$G$5*SUM($O$14:O21)-$H$5*SUM($P$14:P21)</f>
        <v>-576200.5368</v>
      </c>
      <c r="R21" s="82">
        <f t="shared" si="18"/>
        <v>28625.99473570846</v>
      </c>
      <c r="S21" s="143"/>
      <c r="U21" s="75">
        <v>45783.625</v>
      </c>
      <c r="V21" s="54">
        <v>92.25</v>
      </c>
      <c r="W21" s="75">
        <v>45782.625</v>
      </c>
      <c r="X21" s="54">
        <v>101.652</v>
      </c>
      <c r="Y21" s="125">
        <v>45783.625</v>
      </c>
      <c r="Z21" s="54">
        <v>120.4</v>
      </c>
      <c r="AA21" s="75">
        <v>45870.625</v>
      </c>
      <c r="AB21" s="54">
        <v>99.751000000000005</v>
      </c>
      <c r="AF21" s="131">
        <v>45875.625</v>
      </c>
      <c r="AG21" s="45">
        <f t="shared" si="28"/>
        <v>80.290000000000006</v>
      </c>
      <c r="AH21" s="46">
        <f t="shared" si="29"/>
        <v>-49720.323182100845</v>
      </c>
      <c r="AI21" s="46">
        <f t="shared" si="30"/>
        <v>-26437.5</v>
      </c>
      <c r="AJ21" s="45">
        <f t="shared" si="31"/>
        <v>100.5</v>
      </c>
      <c r="AK21" s="46">
        <f t="shared" si="32"/>
        <v>129492.1875</v>
      </c>
      <c r="AL21" s="47">
        <f t="shared" si="33"/>
        <v>-1172.8700474330344</v>
      </c>
      <c r="AM21" s="45">
        <f t="shared" si="34"/>
        <v>109.87</v>
      </c>
      <c r="AN21" s="46">
        <f t="shared" si="35"/>
        <v>260050.69675199257</v>
      </c>
      <c r="AO21" s="47">
        <f t="shared" si="36"/>
        <v>-27192.857142857145</v>
      </c>
      <c r="AP21" s="45">
        <f t="shared" si="37"/>
        <v>100.5</v>
      </c>
      <c r="AQ21" s="46">
        <f t="shared" si="38"/>
        <v>112890.625</v>
      </c>
      <c r="AR21" s="47">
        <f t="shared" si="39"/>
        <v>-1022.5020926339275</v>
      </c>
      <c r="AS21" s="45">
        <f t="shared" si="40"/>
        <v>103.296875</v>
      </c>
      <c r="AT21" s="46">
        <f t="shared" si="41"/>
        <v>81194.196428571435</v>
      </c>
      <c r="AU21" s="47">
        <f t="shared" si="42"/>
        <v>428.10686383928623</v>
      </c>
      <c r="AV21" s="45">
        <f t="shared" si="43"/>
        <v>97</v>
      </c>
      <c r="AW21" s="46">
        <f t="shared" si="44"/>
        <v>166406.25</v>
      </c>
      <c r="AX21" s="47">
        <f t="shared" si="45"/>
        <v>1154.5371093750009</v>
      </c>
      <c r="AY21" s="82">
        <f t="shared" si="46"/>
        <v>-76283.766934651445</v>
      </c>
      <c r="AZ21" s="82"/>
      <c r="BA21" s="82"/>
      <c r="BB21" s="82">
        <f>$AO$4*SUM($AZ$14:AZ21)-$AP$4*SUM($BA$14:BA21)</f>
        <v>20692.591163142919</v>
      </c>
      <c r="BC21" s="82">
        <f t="shared" si="19"/>
        <v>-96976.358097794364</v>
      </c>
      <c r="BE21" s="75">
        <v>45778.625</v>
      </c>
      <c r="BF21" s="54">
        <v>78.3</v>
      </c>
      <c r="BG21" s="75">
        <v>45890.625</v>
      </c>
      <c r="BH21" s="54">
        <v>100.09375</v>
      </c>
      <c r="BI21" s="75">
        <v>45778.625</v>
      </c>
      <c r="BJ21" s="54">
        <v>107.17</v>
      </c>
      <c r="BK21" s="75">
        <v>45890.625</v>
      </c>
      <c r="BL21" s="54">
        <v>100.09375</v>
      </c>
      <c r="BM21" s="75">
        <v>45778.625</v>
      </c>
      <c r="BN21" s="54">
        <v>103.265625</v>
      </c>
      <c r="BO21" s="75">
        <v>45778.625</v>
      </c>
      <c r="BP21" s="54">
        <v>98.515625</v>
      </c>
      <c r="BR21" s="131">
        <f t="shared" si="20"/>
        <v>45875.625</v>
      </c>
      <c r="BS21" s="45">
        <f t="shared" si="21"/>
        <v>107.005</v>
      </c>
      <c r="BT21" s="46">
        <f t="shared" si="47"/>
        <v>-143275.00000000271</v>
      </c>
      <c r="BU21" s="46">
        <f t="shared" si="48"/>
        <v>31250</v>
      </c>
      <c r="BV21" s="45">
        <f t="shared" si="49"/>
        <v>52.058999999999997</v>
      </c>
      <c r="BW21" s="46">
        <f t="shared" si="50"/>
        <v>-103781.24999999996</v>
      </c>
      <c r="BX21" s="47">
        <f t="shared" si="51"/>
        <v>31250</v>
      </c>
      <c r="BY21" s="45">
        <f t="shared" si="52"/>
        <v>-39493.75000000275</v>
      </c>
      <c r="CA21" s="129">
        <v>45782.625</v>
      </c>
      <c r="CB21" s="54">
        <v>104.6127</v>
      </c>
      <c r="CC21" s="129">
        <v>45782.625</v>
      </c>
      <c r="CD21" s="54">
        <v>63.378</v>
      </c>
      <c r="CF21" s="131">
        <v>45875.625</v>
      </c>
      <c r="CG21" s="45">
        <f t="shared" si="22"/>
        <v>276.83699999999999</v>
      </c>
      <c r="CH21" s="46">
        <f t="shared" si="53"/>
        <v>-89276.879999999815</v>
      </c>
      <c r="CI21" s="46">
        <f t="shared" si="54"/>
        <v>26250</v>
      </c>
      <c r="CJ21" s="45">
        <f t="shared" si="55"/>
        <v>55.622999999999998</v>
      </c>
      <c r="CK21" s="46">
        <f t="shared" si="56"/>
        <v>-123237.45000000006</v>
      </c>
      <c r="CL21" s="47">
        <f t="shared" si="57"/>
        <v>23625</v>
      </c>
      <c r="CM21" s="45">
        <f t="shared" si="58"/>
        <v>36585.57000000024</v>
      </c>
      <c r="CO21" s="129">
        <v>45783.625</v>
      </c>
      <c r="CP21" s="54">
        <v>331.04300000000001</v>
      </c>
      <c r="CQ21" s="129">
        <v>45783.625</v>
      </c>
      <c r="CR21" s="54">
        <v>64.090999999999994</v>
      </c>
      <c r="CS21" s="54"/>
      <c r="CT21" s="54"/>
      <c r="CU21" s="54"/>
      <c r="CV21" s="54"/>
      <c r="CW21" s="54"/>
      <c r="CX21" s="54"/>
      <c r="CY21" s="54"/>
      <c r="DF21" s="142">
        <v>45876.625</v>
      </c>
      <c r="DG21" s="58">
        <f t="shared" si="4"/>
        <v>59859.213845091057</v>
      </c>
      <c r="DH21" s="58">
        <f t="shared" si="5"/>
        <v>-109924.38420418699</v>
      </c>
      <c r="DI21" s="58">
        <f t="shared" si="6"/>
        <v>-52362.500000002998</v>
      </c>
      <c r="DJ21" s="58">
        <f t="shared" si="7"/>
        <v>36355.176666666928</v>
      </c>
      <c r="DK21" s="58">
        <f t="shared" si="23"/>
        <v>1192.0159653699957</v>
      </c>
      <c r="DL21" s="58">
        <f t="shared" si="23"/>
        <v>-12948.02610639263</v>
      </c>
      <c r="DM21" s="58">
        <f t="shared" si="23"/>
        <v>-12868.750000000247</v>
      </c>
      <c r="DN21" s="58">
        <f t="shared" si="23"/>
        <v>-230.3933333333116</v>
      </c>
      <c r="DO21" s="58">
        <f t="shared" si="8"/>
        <v>1192.0159653699957</v>
      </c>
      <c r="DP21" s="58">
        <f t="shared" si="3"/>
        <v>-12948.02610639263</v>
      </c>
      <c r="DQ21" s="58">
        <f t="shared" si="3"/>
        <v>-12868.750000000247</v>
      </c>
      <c r="DR21" s="58">
        <f t="shared" si="3"/>
        <v>-230.3933333333116</v>
      </c>
      <c r="DS21" s="58">
        <f>SUM(DO$15:DO21)</f>
        <v>51464.885924554663</v>
      </c>
      <c r="DT21" s="58">
        <f>SUM(DP$15:DP21)</f>
        <v>-102314.7637833706</v>
      </c>
      <c r="DU21" s="58">
        <f>SUM(DQ$15:DQ21)</f>
        <v>-37681.250000000306</v>
      </c>
      <c r="DV21" s="58">
        <f>SUM(DR$15:DR21)</f>
        <v>18841.410000000062</v>
      </c>
      <c r="DZ21" s="133">
        <v>45876.625</v>
      </c>
      <c r="EA21" s="152">
        <v>-37681.250000000306</v>
      </c>
      <c r="EB21" s="152">
        <v>-102314.7637833706</v>
      </c>
      <c r="EC21" s="152">
        <v>22430.250000000073</v>
      </c>
      <c r="ED21" s="152">
        <v>61267.721338755568</v>
      </c>
    </row>
    <row r="22" spans="1:134" x14ac:dyDescent="0.3">
      <c r="A22" s="139">
        <v>45856.625</v>
      </c>
      <c r="B22" s="76">
        <f t="shared" si="24"/>
        <v>94.09</v>
      </c>
      <c r="C22" s="31">
        <f t="shared" si="9"/>
        <v>42492.012779554279</v>
      </c>
      <c r="D22" s="32">
        <f t="shared" si="10"/>
        <v>-24674.999999999996</v>
      </c>
      <c r="E22" s="76">
        <f t="shared" si="25"/>
        <v>101.28</v>
      </c>
      <c r="F22" s="31">
        <f t="shared" si="11"/>
        <v>6552.0000000002483</v>
      </c>
      <c r="G22" s="32">
        <f t="shared" si="12"/>
        <v>-8784.9733999999953</v>
      </c>
      <c r="H22" s="76">
        <f t="shared" si="26"/>
        <v>120.01</v>
      </c>
      <c r="I22" s="31">
        <f t="shared" si="13"/>
        <v>-560022.96964725223</v>
      </c>
      <c r="J22" s="32">
        <f t="shared" si="14"/>
        <v>-42440.999999999993</v>
      </c>
      <c r="K22" s="76">
        <f t="shared" si="27"/>
        <v>99.805999999999997</v>
      </c>
      <c r="L22" s="31">
        <f t="shared" si="15"/>
        <v>15842.399999997338</v>
      </c>
      <c r="M22" s="32">
        <f t="shared" si="16"/>
        <v>-19323.212533333332</v>
      </c>
      <c r="N22" s="82">
        <f t="shared" si="17"/>
        <v>619033.14329347026</v>
      </c>
      <c r="O22" s="82"/>
      <c r="P22" s="82"/>
      <c r="Q22" s="82">
        <f>$G$5*SUM($O$14:O22)-$H$5*SUM($P$14:P22)</f>
        <v>-576200.5368</v>
      </c>
      <c r="R22" s="82">
        <f t="shared" si="18"/>
        <v>42832.606493470259</v>
      </c>
      <c r="S22" s="143"/>
      <c r="U22" s="75">
        <v>45784.625</v>
      </c>
      <c r="V22" s="54">
        <v>92.3</v>
      </c>
      <c r="W22" s="75">
        <v>45783.625</v>
      </c>
      <c r="X22" s="54">
        <v>101.666</v>
      </c>
      <c r="Y22" s="125">
        <v>45785.625</v>
      </c>
      <c r="Z22" s="54">
        <v>120.69</v>
      </c>
      <c r="AA22" s="75">
        <v>45873.625</v>
      </c>
      <c r="AB22" s="54">
        <v>99.884</v>
      </c>
      <c r="AF22" s="131">
        <v>45876.625</v>
      </c>
      <c r="AG22" s="45">
        <f t="shared" si="28"/>
        <v>80.209999999999994</v>
      </c>
      <c r="AH22" s="46">
        <f t="shared" si="29"/>
        <v>-74580.48477315405</v>
      </c>
      <c r="AI22" s="46">
        <f t="shared" si="30"/>
        <v>-29374.999999999996</v>
      </c>
      <c r="AJ22" s="45">
        <f t="shared" si="31"/>
        <v>100.4140625</v>
      </c>
      <c r="AK22" s="46">
        <f t="shared" si="32"/>
        <v>117522.32142857143</v>
      </c>
      <c r="AL22" s="47">
        <f t="shared" si="33"/>
        <v>-1303.1889415922615</v>
      </c>
      <c r="AM22" s="45">
        <f t="shared" si="34"/>
        <v>109.76</v>
      </c>
      <c r="AN22" s="46">
        <f t="shared" si="35"/>
        <v>234045.62707679387</v>
      </c>
      <c r="AO22" s="47">
        <f t="shared" si="36"/>
        <v>-30214.285714285714</v>
      </c>
      <c r="AP22" s="45">
        <f t="shared" si="37"/>
        <v>100.4140625</v>
      </c>
      <c r="AQ22" s="46">
        <f t="shared" si="38"/>
        <v>102455.35714285716</v>
      </c>
      <c r="AR22" s="47">
        <f t="shared" si="39"/>
        <v>-1136.1134362599205</v>
      </c>
      <c r="AS22" s="45">
        <f t="shared" si="40"/>
        <v>103.21875</v>
      </c>
      <c r="AT22" s="46">
        <f t="shared" si="41"/>
        <v>77008.92857142858</v>
      </c>
      <c r="AU22" s="47">
        <f t="shared" si="42"/>
        <v>475.67429315476238</v>
      </c>
      <c r="AV22" s="45">
        <f t="shared" si="43"/>
        <v>96.84375</v>
      </c>
      <c r="AW22" s="46">
        <f t="shared" si="44"/>
        <v>154687.5</v>
      </c>
      <c r="AX22" s="47">
        <f t="shared" si="45"/>
        <v>1282.8190104166679</v>
      </c>
      <c r="AY22" s="82">
        <f t="shared" si="46"/>
        <v>-89231.793041044075</v>
      </c>
      <c r="AZ22" s="82"/>
      <c r="BA22" s="82"/>
      <c r="BB22" s="82">
        <f>$AO$4*SUM($AZ$14:AZ22)-$AP$4*SUM($BA$14:BA22)</f>
        <v>20692.591163142919</v>
      </c>
      <c r="BC22" s="82">
        <f t="shared" si="19"/>
        <v>-109924.38420418699</v>
      </c>
      <c r="BE22" s="75">
        <v>45779.625</v>
      </c>
      <c r="BF22" s="54">
        <v>78.540000000000006</v>
      </c>
      <c r="BG22" s="75">
        <v>45891.625</v>
      </c>
      <c r="BH22" s="54">
        <v>100.515625</v>
      </c>
      <c r="BI22" s="75">
        <v>45779.625</v>
      </c>
      <c r="BJ22" s="54">
        <v>106.91</v>
      </c>
      <c r="BK22" s="75">
        <v>45891.625</v>
      </c>
      <c r="BL22" s="54">
        <v>100.515625</v>
      </c>
      <c r="BM22" s="75">
        <v>45779.625</v>
      </c>
      <c r="BN22" s="54">
        <v>102.515625</v>
      </c>
      <c r="BO22" s="75">
        <v>45779.625</v>
      </c>
      <c r="BP22" s="54">
        <v>97.453125</v>
      </c>
      <c r="BR22" s="131">
        <f t="shared" si="20"/>
        <v>45876.625</v>
      </c>
      <c r="BS22" s="45">
        <f t="shared" si="21"/>
        <v>106.95959999999999</v>
      </c>
      <c r="BT22" s="46">
        <f t="shared" si="47"/>
        <v>-154625.00000000288</v>
      </c>
      <c r="BU22" s="46">
        <f t="shared" si="48"/>
        <v>34722.222222222219</v>
      </c>
      <c r="BV22" s="45">
        <f t="shared" si="49"/>
        <v>52.031999999999996</v>
      </c>
      <c r="BW22" s="46">
        <f t="shared" si="50"/>
        <v>-102262.49999999988</v>
      </c>
      <c r="BX22" s="47">
        <f t="shared" si="51"/>
        <v>34722.222222222219</v>
      </c>
      <c r="BY22" s="45">
        <f t="shared" si="52"/>
        <v>-52362.500000002998</v>
      </c>
      <c r="CA22" s="129">
        <v>45783.625</v>
      </c>
      <c r="CB22" s="54">
        <v>104.3732</v>
      </c>
      <c r="CC22" s="129">
        <v>45783.625</v>
      </c>
      <c r="CD22" s="54">
        <v>64.171999999999997</v>
      </c>
      <c r="CF22" s="131">
        <v>45876.625</v>
      </c>
      <c r="CG22" s="45">
        <f t="shared" si="22"/>
        <v>269.959</v>
      </c>
      <c r="CH22" s="46">
        <f t="shared" si="53"/>
        <v>-25724.159999999927</v>
      </c>
      <c r="CI22" s="46">
        <f t="shared" si="54"/>
        <v>29166.666666666664</v>
      </c>
      <c r="CJ22" s="45">
        <f t="shared" si="55"/>
        <v>54.149000000000001</v>
      </c>
      <c r="CK22" s="46">
        <f t="shared" si="56"/>
        <v>-59162.670000000187</v>
      </c>
      <c r="CL22" s="47">
        <f t="shared" si="57"/>
        <v>26250</v>
      </c>
      <c r="CM22" s="45">
        <f t="shared" si="58"/>
        <v>36355.176666666928</v>
      </c>
      <c r="CO22" s="129">
        <v>45784.625</v>
      </c>
      <c r="CP22" s="54">
        <v>331.15199999999999</v>
      </c>
      <c r="CQ22" s="129">
        <v>45784.625</v>
      </c>
      <c r="CR22" s="54">
        <v>64.108999999999995</v>
      </c>
      <c r="CS22" s="54"/>
      <c r="CT22" s="54"/>
      <c r="CU22" s="54"/>
      <c r="CV22" s="54"/>
      <c r="CW22" s="54"/>
      <c r="CX22" s="54"/>
      <c r="CY22" s="54"/>
      <c r="DF22" s="142">
        <v>45877.625</v>
      </c>
      <c r="DG22" s="58">
        <f t="shared" si="4"/>
        <v>78086.998503698735</v>
      </c>
      <c r="DH22" s="58">
        <f t="shared" si="5"/>
        <v>-71927.555398132303</v>
      </c>
      <c r="DI22" s="58">
        <f t="shared" si="6"/>
        <v>-51950.000000001455</v>
      </c>
      <c r="DJ22" s="58">
        <f t="shared" si="7"/>
        <v>38001.763333333685</v>
      </c>
      <c r="DK22" s="58">
        <f t="shared" si="23"/>
        <v>18227.784658607678</v>
      </c>
      <c r="DL22" s="58">
        <f t="shared" si="23"/>
        <v>37996.828806054691</v>
      </c>
      <c r="DM22" s="58">
        <f t="shared" si="23"/>
        <v>412.5000000015425</v>
      </c>
      <c r="DN22" s="58">
        <f t="shared" si="23"/>
        <v>1646.5866666667571</v>
      </c>
      <c r="DO22" s="58">
        <f t="shared" si="8"/>
        <v>18227.784658607678</v>
      </c>
      <c r="DP22" s="58">
        <f t="shared" si="3"/>
        <v>37996.828806054691</v>
      </c>
      <c r="DQ22" s="58">
        <f t="shared" si="3"/>
        <v>412.5000000015425</v>
      </c>
      <c r="DR22" s="58">
        <f t="shared" si="3"/>
        <v>1646.5866666667571</v>
      </c>
      <c r="DS22" s="58">
        <f>SUM(DO$15:DO22)</f>
        <v>69692.67058316234</v>
      </c>
      <c r="DT22" s="58">
        <f>SUM(DP$15:DP22)</f>
        <v>-64317.934977315905</v>
      </c>
      <c r="DU22" s="58">
        <f>SUM(DQ$15:DQ22)</f>
        <v>-37268.749999998763</v>
      </c>
      <c r="DV22" s="58">
        <f>SUM(DR$15:DR22)</f>
        <v>20487.996666666819</v>
      </c>
      <c r="DZ22" s="133">
        <v>45877.625</v>
      </c>
      <c r="EA22" s="152">
        <v>-37268.749999998763</v>
      </c>
      <c r="EB22" s="152">
        <v>-64317.934977315905</v>
      </c>
      <c r="EC22" s="152">
        <v>24390.472222222423</v>
      </c>
      <c r="ED22" s="152">
        <v>82967.464979955112</v>
      </c>
    </row>
    <row r="23" spans="1:134" x14ac:dyDescent="0.3">
      <c r="A23" s="139">
        <v>45859.625</v>
      </c>
      <c r="B23" s="76">
        <f t="shared" si="24"/>
        <v>94.13</v>
      </c>
      <c r="C23" s="31">
        <f t="shared" si="9"/>
        <v>51437.699680510377</v>
      </c>
      <c r="D23" s="32">
        <f t="shared" si="10"/>
        <v>-32077.499999999996</v>
      </c>
      <c r="E23" s="76">
        <f t="shared" si="25"/>
        <v>101.45</v>
      </c>
      <c r="F23" s="31">
        <f t="shared" si="11"/>
        <v>35112.000000000538</v>
      </c>
      <c r="G23" s="32">
        <f t="shared" si="12"/>
        <v>-11420.465419999993</v>
      </c>
      <c r="H23" s="76">
        <f t="shared" si="26"/>
        <v>120.31</v>
      </c>
      <c r="I23" s="31">
        <f t="shared" si="13"/>
        <v>-471130.43478260998</v>
      </c>
      <c r="J23" s="32">
        <f t="shared" si="14"/>
        <v>-55173.299999999988</v>
      </c>
      <c r="K23" s="76">
        <f t="shared" si="27"/>
        <v>100.142</v>
      </c>
      <c r="L23" s="31">
        <f t="shared" si="15"/>
        <v>131560.79999999685</v>
      </c>
      <c r="M23" s="32">
        <f t="shared" si="16"/>
        <v>-25120.176293333334</v>
      </c>
      <c r="N23" s="82">
        <f t="shared" si="17"/>
        <v>628413.02358978335</v>
      </c>
      <c r="O23" s="82"/>
      <c r="P23" s="82"/>
      <c r="Q23" s="82">
        <f>$G$5*SUM($O$14:O23)-$H$5*SUM($P$14:P23)</f>
        <v>-576200.5368</v>
      </c>
      <c r="R23" s="82">
        <f t="shared" si="18"/>
        <v>52212.486789783346</v>
      </c>
      <c r="S23" s="143"/>
      <c r="U23" s="75">
        <v>45785.625</v>
      </c>
      <c r="V23" s="54">
        <v>92.52</v>
      </c>
      <c r="W23" s="75">
        <v>45784.625</v>
      </c>
      <c r="X23" s="54">
        <v>101.788</v>
      </c>
      <c r="Y23" s="125">
        <v>45786.625</v>
      </c>
      <c r="Z23" s="54">
        <v>120.68</v>
      </c>
      <c r="AA23" s="75">
        <v>45874.625</v>
      </c>
      <c r="AB23" s="54">
        <v>99.923000000000002</v>
      </c>
      <c r="AF23" s="131">
        <v>45877.625</v>
      </c>
      <c r="AG23" s="45">
        <f t="shared" si="28"/>
        <v>80.22</v>
      </c>
      <c r="AH23" s="46">
        <f t="shared" si="29"/>
        <v>-71472.964574270663</v>
      </c>
      <c r="AI23" s="46">
        <f t="shared" si="30"/>
        <v>-32312.499999999996</v>
      </c>
      <c r="AJ23" s="45">
        <f t="shared" si="31"/>
        <v>100.203125</v>
      </c>
      <c r="AK23" s="46">
        <f t="shared" si="32"/>
        <v>88141.74107142858</v>
      </c>
      <c r="AL23" s="47">
        <f t="shared" si="33"/>
        <v>-1433.5078357514903</v>
      </c>
      <c r="AM23" s="45">
        <f t="shared" si="34"/>
        <v>109.41</v>
      </c>
      <c r="AN23" s="46">
        <f t="shared" si="35"/>
        <v>151302.22356479857</v>
      </c>
      <c r="AO23" s="47">
        <f t="shared" si="36"/>
        <v>-33235.71428571429</v>
      </c>
      <c r="AP23" s="45">
        <f t="shared" si="37"/>
        <v>100.203125</v>
      </c>
      <c r="AQ23" s="46">
        <f t="shared" si="38"/>
        <v>76841.51785714287</v>
      </c>
      <c r="AR23" s="47">
        <f t="shared" si="39"/>
        <v>-1249.7247798859116</v>
      </c>
      <c r="AS23" s="45">
        <f t="shared" si="40"/>
        <v>102.90625</v>
      </c>
      <c r="AT23" s="46">
        <f t="shared" si="41"/>
        <v>60267.857142857145</v>
      </c>
      <c r="AU23" s="47">
        <f t="shared" si="42"/>
        <v>523.24172247023762</v>
      </c>
      <c r="AV23" s="45">
        <f t="shared" si="43"/>
        <v>96.375</v>
      </c>
      <c r="AW23" s="46">
        <f t="shared" si="44"/>
        <v>119531.25</v>
      </c>
      <c r="AX23" s="47">
        <f t="shared" si="45"/>
        <v>1411.1009114583339</v>
      </c>
      <c r="AY23" s="82">
        <f t="shared" si="46"/>
        <v>-51234.964234989377</v>
      </c>
      <c r="AZ23" s="82"/>
      <c r="BA23" s="82"/>
      <c r="BB23" s="82">
        <f>$AO$4*SUM($AZ$14:AZ23)-$AP$4*SUM($BA$14:BA23)</f>
        <v>20692.591163142919</v>
      </c>
      <c r="BC23" s="82">
        <f t="shared" si="19"/>
        <v>-71927.555398132303</v>
      </c>
      <c r="BE23" s="75">
        <v>45782.625</v>
      </c>
      <c r="BF23" s="54">
        <v>78.510000000000005</v>
      </c>
      <c r="BG23" s="75">
        <v>45894.625</v>
      </c>
      <c r="BH23" s="54">
        <v>100.3828125</v>
      </c>
      <c r="BI23" s="75">
        <v>45782.625</v>
      </c>
      <c r="BJ23" s="54">
        <v>106.76</v>
      </c>
      <c r="BK23" s="75">
        <v>45894.625</v>
      </c>
      <c r="BL23" s="54">
        <v>100.3828125</v>
      </c>
      <c r="BM23" s="75">
        <v>45782.625</v>
      </c>
      <c r="BN23" s="54">
        <v>102.265625</v>
      </c>
      <c r="BO23" s="75">
        <v>45782.625</v>
      </c>
      <c r="BP23" s="54">
        <v>96.859375</v>
      </c>
      <c r="BR23" s="131">
        <f t="shared" si="20"/>
        <v>45877.625</v>
      </c>
      <c r="BS23" s="45">
        <f t="shared" si="21"/>
        <v>107.1588</v>
      </c>
      <c r="BT23" s="46">
        <f t="shared" si="47"/>
        <v>-104825.00000000173</v>
      </c>
      <c r="BU23" s="46">
        <f t="shared" si="48"/>
        <v>38194.444444444445</v>
      </c>
      <c r="BV23" s="45">
        <f t="shared" si="49"/>
        <v>51.154000000000003</v>
      </c>
      <c r="BW23" s="46">
        <f t="shared" si="50"/>
        <v>-52875.000000000269</v>
      </c>
      <c r="BX23" s="47">
        <f t="shared" si="51"/>
        <v>38194.444444444445</v>
      </c>
      <c r="BY23" s="45">
        <f t="shared" si="52"/>
        <v>-51950.000000001455</v>
      </c>
      <c r="CA23" s="129">
        <v>45784.625</v>
      </c>
      <c r="CB23" s="54">
        <v>104.47369999999999</v>
      </c>
      <c r="CC23" s="129">
        <v>45784.625</v>
      </c>
      <c r="CD23" s="54">
        <v>63.649000000000001</v>
      </c>
      <c r="CF23" s="131">
        <v>45877.625</v>
      </c>
      <c r="CG23" s="45">
        <f t="shared" si="22"/>
        <v>267.15899999999999</v>
      </c>
      <c r="CH23" s="46">
        <f t="shared" si="53"/>
        <v>147.84000000018071</v>
      </c>
      <c r="CI23" s="46">
        <f t="shared" si="54"/>
        <v>32083.333333333332</v>
      </c>
      <c r="CJ23" s="45">
        <f t="shared" si="55"/>
        <v>53.585000000000001</v>
      </c>
      <c r="CK23" s="46">
        <f t="shared" si="56"/>
        <v>-34645.590000000178</v>
      </c>
      <c r="CL23" s="47">
        <f t="shared" si="57"/>
        <v>28875</v>
      </c>
      <c r="CM23" s="45">
        <f t="shared" si="58"/>
        <v>38001.763333333685</v>
      </c>
      <c r="CO23" s="129">
        <v>45785.625</v>
      </c>
      <c r="CP23" s="54">
        <v>326.08800000000002</v>
      </c>
      <c r="CQ23" s="129">
        <v>45785.625</v>
      </c>
      <c r="CR23" s="54">
        <v>62.965000000000003</v>
      </c>
      <c r="CS23" s="54"/>
      <c r="CT23" s="54"/>
      <c r="CU23" s="54"/>
      <c r="CV23" s="54"/>
      <c r="CW23" s="54"/>
      <c r="CX23" s="54"/>
      <c r="CY23" s="54"/>
      <c r="DF23" s="142">
        <v>45880.625</v>
      </c>
      <c r="DG23" s="58">
        <f t="shared" si="4"/>
        <v>72949.474029434496</v>
      </c>
      <c r="DH23" s="58">
        <f t="shared" si="5"/>
        <v>-103066.89901145884</v>
      </c>
      <c r="DI23" s="58">
        <f t="shared" si="6"/>
        <v>-60881.250000002678</v>
      </c>
      <c r="DJ23" s="58">
        <f t="shared" si="7"/>
        <v>38862.063333333441</v>
      </c>
      <c r="DK23" s="58">
        <f t="shared" si="23"/>
        <v>-5137.524474264239</v>
      </c>
      <c r="DL23" s="58">
        <f t="shared" si="23"/>
        <v>-31139.343613326535</v>
      </c>
      <c r="DM23" s="58">
        <f t="shared" si="23"/>
        <v>-8931.2500000012224</v>
      </c>
      <c r="DN23" s="58">
        <f t="shared" si="23"/>
        <v>860.29999999975553</v>
      </c>
      <c r="DO23" s="58">
        <f t="shared" si="8"/>
        <v>-5137.524474264239</v>
      </c>
      <c r="DP23" s="58">
        <f t="shared" si="3"/>
        <v>-31139.343613326535</v>
      </c>
      <c r="DQ23" s="58">
        <f t="shared" si="3"/>
        <v>-8931.2500000012224</v>
      </c>
      <c r="DR23" s="58">
        <f t="shared" si="3"/>
        <v>860.29999999975553</v>
      </c>
      <c r="DS23" s="58">
        <f>SUM(DO$15:DO23)</f>
        <v>64555.146108898101</v>
      </c>
      <c r="DT23" s="58">
        <f>SUM(DP$15:DP23)</f>
        <v>-95457.27859064244</v>
      </c>
      <c r="DU23" s="58">
        <f>SUM(DQ$15:DQ23)</f>
        <v>-46199.999999999985</v>
      </c>
      <c r="DV23" s="58">
        <f>SUM(DR$15:DR23)</f>
        <v>21348.296666666574</v>
      </c>
      <c r="DZ23" s="133">
        <v>45880.625</v>
      </c>
      <c r="EA23" s="152">
        <v>-46199.999999999985</v>
      </c>
      <c r="EB23" s="152">
        <v>-95457.27859064244</v>
      </c>
      <c r="EC23" s="152">
        <v>25414.638888888774</v>
      </c>
      <c r="ED23" s="152">
        <v>76851.364415355027</v>
      </c>
    </row>
    <row r="24" spans="1:134" x14ac:dyDescent="0.3">
      <c r="A24" s="139">
        <v>45860.625</v>
      </c>
      <c r="B24" s="76">
        <f t="shared" si="24"/>
        <v>94.13</v>
      </c>
      <c r="C24" s="31">
        <f t="shared" si="9"/>
        <v>51437.699680510377</v>
      </c>
      <c r="D24" s="32">
        <f t="shared" si="10"/>
        <v>-34545</v>
      </c>
      <c r="E24" s="76">
        <f t="shared" si="25"/>
        <v>101.5</v>
      </c>
      <c r="F24" s="31">
        <f t="shared" si="11"/>
        <v>43512.000000000058</v>
      </c>
      <c r="G24" s="32">
        <f t="shared" si="12"/>
        <v>-12298.962760000002</v>
      </c>
      <c r="H24" s="76">
        <f t="shared" si="26"/>
        <v>120.48</v>
      </c>
      <c r="I24" s="31">
        <f t="shared" si="13"/>
        <v>-420757.99835931201</v>
      </c>
      <c r="J24" s="32">
        <f t="shared" si="14"/>
        <v>-59417.4</v>
      </c>
      <c r="K24" s="76">
        <f t="shared" si="27"/>
        <v>100.247</v>
      </c>
      <c r="L24" s="31">
        <f t="shared" si="15"/>
        <v>167722.79999999818</v>
      </c>
      <c r="M24" s="32">
        <f t="shared" si="16"/>
        <v>-27052.497546666662</v>
      </c>
      <c r="N24" s="82">
        <f t="shared" si="17"/>
        <v>606525.36325315386</v>
      </c>
      <c r="O24" s="82"/>
      <c r="P24" s="82"/>
      <c r="Q24" s="82">
        <f>$G$5*SUM($O$14:O24)-$H$5*SUM($P$14:P24)</f>
        <v>-576200.5368</v>
      </c>
      <c r="R24" s="82">
        <f t="shared" si="18"/>
        <v>30324.826453153859</v>
      </c>
      <c r="S24" s="143"/>
      <c r="U24" s="75">
        <v>45786.625</v>
      </c>
      <c r="V24" s="54">
        <v>92.56</v>
      </c>
      <c r="W24" s="75">
        <v>45785.625</v>
      </c>
      <c r="X24" s="54">
        <v>101.69499999999999</v>
      </c>
      <c r="Y24" s="125">
        <v>45789.625</v>
      </c>
      <c r="Z24" s="54">
        <v>120.3</v>
      </c>
      <c r="AA24" s="75">
        <v>45875.625</v>
      </c>
      <c r="AB24" s="54">
        <v>99.869</v>
      </c>
      <c r="AF24" s="131">
        <v>45880.625</v>
      </c>
      <c r="AG24" s="45">
        <f t="shared" si="28"/>
        <v>80.22</v>
      </c>
      <c r="AH24" s="46">
        <f t="shared" si="29"/>
        <v>-71472.964574270663</v>
      </c>
      <c r="AI24" s="46">
        <f t="shared" si="30"/>
        <v>-41125</v>
      </c>
      <c r="AJ24" s="45">
        <f t="shared" si="31"/>
        <v>100.2109375</v>
      </c>
      <c r="AK24" s="46">
        <f t="shared" si="32"/>
        <v>89229.91071428571</v>
      </c>
      <c r="AL24" s="47">
        <f t="shared" si="33"/>
        <v>-1824.4645182291679</v>
      </c>
      <c r="AM24" s="45">
        <f t="shared" si="34"/>
        <v>109.58499999999999</v>
      </c>
      <c r="AN24" s="46">
        <f t="shared" si="35"/>
        <v>192673.92532079623</v>
      </c>
      <c r="AO24" s="47">
        <f t="shared" si="36"/>
        <v>-42300</v>
      </c>
      <c r="AP24" s="45">
        <f t="shared" si="37"/>
        <v>100.2109375</v>
      </c>
      <c r="AQ24" s="46">
        <f t="shared" si="38"/>
        <v>77790.178571428565</v>
      </c>
      <c r="AR24" s="47">
        <f t="shared" si="39"/>
        <v>-1590.5588107638869</v>
      </c>
      <c r="AS24" s="45">
        <f t="shared" si="40"/>
        <v>102.953125</v>
      </c>
      <c r="AT24" s="46">
        <f t="shared" si="41"/>
        <v>62779.017857142855</v>
      </c>
      <c r="AU24" s="47">
        <f t="shared" si="42"/>
        <v>665.94401041666788</v>
      </c>
      <c r="AV24" s="45">
        <f t="shared" si="43"/>
        <v>96.46875</v>
      </c>
      <c r="AW24" s="46">
        <f t="shared" si="44"/>
        <v>126562.50000000001</v>
      </c>
      <c r="AX24" s="47">
        <f t="shared" si="45"/>
        <v>1795.9466145833339</v>
      </c>
      <c r="AY24" s="82">
        <f t="shared" si="46"/>
        <v>-82374.307848315919</v>
      </c>
      <c r="AZ24" s="82"/>
      <c r="BA24" s="82"/>
      <c r="BB24" s="82">
        <f>$AO$4*SUM($AZ$14:AZ24)-$AP$4*SUM($BA$14:BA24)</f>
        <v>20692.591163142919</v>
      </c>
      <c r="BC24" s="82">
        <f t="shared" si="19"/>
        <v>-103066.89901145884</v>
      </c>
      <c r="BE24" s="75">
        <v>45783.625</v>
      </c>
      <c r="BF24" s="54">
        <v>78.45</v>
      </c>
      <c r="BG24" s="75">
        <v>45895.625</v>
      </c>
      <c r="BH24" s="54">
        <v>100.6015625</v>
      </c>
      <c r="BI24" s="75">
        <v>45783.625</v>
      </c>
      <c r="BJ24" s="54">
        <v>106.97</v>
      </c>
      <c r="BK24" s="75">
        <v>45895.625</v>
      </c>
      <c r="BL24" s="54">
        <v>100.6015625</v>
      </c>
      <c r="BM24" s="75">
        <v>45783.625</v>
      </c>
      <c r="BN24" s="54">
        <v>102.546875</v>
      </c>
      <c r="BO24" s="75">
        <v>45783.625</v>
      </c>
      <c r="BP24" s="54">
        <v>97.15625</v>
      </c>
      <c r="BR24" s="131">
        <f t="shared" si="20"/>
        <v>45880.625</v>
      </c>
      <c r="BS24" s="45">
        <f t="shared" si="21"/>
        <v>107.04949999999999</v>
      </c>
      <c r="BT24" s="46">
        <f t="shared" si="47"/>
        <v>-132150.00000000288</v>
      </c>
      <c r="BU24" s="46">
        <f t="shared" si="48"/>
        <v>48611.111111111117</v>
      </c>
      <c r="BV24" s="45">
        <f t="shared" si="49"/>
        <v>51.481000000000002</v>
      </c>
      <c r="BW24" s="46">
        <f t="shared" si="50"/>
        <v>-71268.750000000189</v>
      </c>
      <c r="BX24" s="47">
        <f t="shared" si="51"/>
        <v>48611.111111111109</v>
      </c>
      <c r="BY24" s="45">
        <f t="shared" si="52"/>
        <v>-60881.250000002678</v>
      </c>
      <c r="CA24" s="129">
        <v>45785.625</v>
      </c>
      <c r="CB24" s="54">
        <v>104.7473</v>
      </c>
      <c r="CC24" s="129">
        <v>45785.625</v>
      </c>
      <c r="CD24" s="54">
        <v>61.73</v>
      </c>
      <c r="CF24" s="131">
        <v>45880.625</v>
      </c>
      <c r="CG24" s="45">
        <f t="shared" si="22"/>
        <v>267.584</v>
      </c>
      <c r="CH24" s="46">
        <f t="shared" si="53"/>
        <v>-3779.1599999999248</v>
      </c>
      <c r="CI24" s="46">
        <f t="shared" si="54"/>
        <v>40833.333333333336</v>
      </c>
      <c r="CJ24" s="45">
        <f t="shared" si="55"/>
        <v>53.674999999999997</v>
      </c>
      <c r="CK24" s="46">
        <f t="shared" si="56"/>
        <v>-38557.890000000021</v>
      </c>
      <c r="CL24" s="47">
        <f t="shared" si="57"/>
        <v>36750</v>
      </c>
      <c r="CM24" s="45">
        <f t="shared" si="58"/>
        <v>38862.063333333441</v>
      </c>
      <c r="CO24" s="129">
        <v>45786.625</v>
      </c>
      <c r="CP24" s="54">
        <v>322.20999999999998</v>
      </c>
      <c r="CQ24" s="129">
        <v>45786.625</v>
      </c>
      <c r="CR24" s="54">
        <v>61.750999999999998</v>
      </c>
      <c r="CS24" s="54"/>
      <c r="CT24" s="54"/>
      <c r="CU24" s="54"/>
      <c r="CV24" s="54"/>
      <c r="CW24" s="54"/>
      <c r="CX24" s="54"/>
      <c r="CY24" s="54"/>
      <c r="DF24" s="142">
        <v>45881.625</v>
      </c>
      <c r="DG24" s="58">
        <f t="shared" si="4"/>
        <v>84862.259589112713</v>
      </c>
      <c r="DH24" s="58">
        <f t="shared" si="5"/>
        <v>-113231.38450396147</v>
      </c>
      <c r="DI24" s="58">
        <f t="shared" si="6"/>
        <v>-65593.750000002066</v>
      </c>
      <c r="DJ24" s="58">
        <f t="shared" si="7"/>
        <v>27264.580000000293</v>
      </c>
      <c r="DK24" s="58">
        <f t="shared" si="23"/>
        <v>11912.785559678217</v>
      </c>
      <c r="DL24" s="58">
        <f t="shared" si="23"/>
        <v>-10164.48549250263</v>
      </c>
      <c r="DM24" s="58">
        <f t="shared" si="23"/>
        <v>-4712.4999999993888</v>
      </c>
      <c r="DN24" s="58">
        <f t="shared" si="23"/>
        <v>-11597.483333333148</v>
      </c>
      <c r="DO24" s="58">
        <f t="shared" si="8"/>
        <v>11912.785559678217</v>
      </c>
      <c r="DP24" s="58">
        <f t="shared" si="3"/>
        <v>-10164.48549250263</v>
      </c>
      <c r="DQ24" s="58">
        <f t="shared" si="3"/>
        <v>-4712.4999999993888</v>
      </c>
      <c r="DR24" s="58">
        <f t="shared" si="3"/>
        <v>-11597.483333333148</v>
      </c>
      <c r="DS24" s="58">
        <f>SUM(DO$15:DO24)</f>
        <v>76467.931668576319</v>
      </c>
      <c r="DT24" s="58">
        <f>SUM(DP$15:DP24)</f>
        <v>-105621.76408314507</v>
      </c>
      <c r="DU24" s="58">
        <f>SUM(DQ$15:DQ24)</f>
        <v>-50912.499999999374</v>
      </c>
      <c r="DV24" s="58">
        <f>SUM(DR$15:DR24)</f>
        <v>9750.8133333334263</v>
      </c>
      <c r="DZ24" s="133">
        <v>45881.625</v>
      </c>
      <c r="EA24" s="152">
        <v>-50912.499999999374</v>
      </c>
      <c r="EB24" s="152">
        <v>-105621.76408314507</v>
      </c>
      <c r="EC24" s="152">
        <v>11608.111111111226</v>
      </c>
      <c r="ED24" s="152">
        <v>91033.251986400457</v>
      </c>
    </row>
    <row r="25" spans="1:134" x14ac:dyDescent="0.3">
      <c r="A25" s="139">
        <v>45861.625</v>
      </c>
      <c r="B25" s="76">
        <f t="shared" si="24"/>
        <v>94.21</v>
      </c>
      <c r="C25" s="31">
        <f t="shared" si="9"/>
        <v>69329.073482427222</v>
      </c>
      <c r="D25" s="32">
        <f t="shared" si="10"/>
        <v>-37012.499999999993</v>
      </c>
      <c r="E25" s="76">
        <f t="shared" si="25"/>
        <v>101.505</v>
      </c>
      <c r="F25" s="31">
        <f t="shared" si="11"/>
        <v>44351.999999999294</v>
      </c>
      <c r="G25" s="32">
        <f t="shared" si="12"/>
        <v>-13177.460099999997</v>
      </c>
      <c r="H25" s="76">
        <f t="shared" si="26"/>
        <v>120.5</v>
      </c>
      <c r="I25" s="31">
        <f t="shared" si="13"/>
        <v>-414831.82936833723</v>
      </c>
      <c r="J25" s="32">
        <f t="shared" si="14"/>
        <v>-63661.499999999993</v>
      </c>
      <c r="K25" s="76">
        <f t="shared" si="27"/>
        <v>100.22499999999999</v>
      </c>
      <c r="L25" s="31">
        <f t="shared" si="15"/>
        <v>160145.99999999627</v>
      </c>
      <c r="M25" s="32">
        <f t="shared" si="16"/>
        <v>-28984.818800000005</v>
      </c>
      <c r="N25" s="82">
        <f t="shared" si="17"/>
        <v>610796.54415076145</v>
      </c>
      <c r="O25" s="82"/>
      <c r="P25" s="82"/>
      <c r="Q25" s="82">
        <f>$G$5*SUM($O$14:O25)-$H$5*SUM($P$14:P25)</f>
        <v>-576200.5368</v>
      </c>
      <c r="R25" s="82">
        <f t="shared" si="18"/>
        <v>34596.007350761443</v>
      </c>
      <c r="S25" s="143"/>
      <c r="U25" s="75">
        <v>45789.625</v>
      </c>
      <c r="V25" s="54">
        <v>92.85</v>
      </c>
      <c r="W25" s="75">
        <v>45786.625</v>
      </c>
      <c r="X25" s="54">
        <v>101.578</v>
      </c>
      <c r="Y25" s="125">
        <v>45790.625</v>
      </c>
      <c r="Z25" s="54">
        <v>120.31</v>
      </c>
      <c r="AA25" s="75">
        <v>45876.625</v>
      </c>
      <c r="AB25" s="54">
        <v>99.838999999999999</v>
      </c>
      <c r="AF25" s="131">
        <v>45881.625</v>
      </c>
      <c r="AG25" s="45">
        <f t="shared" si="28"/>
        <v>80.400000000000006</v>
      </c>
      <c r="AH25" s="46">
        <f t="shared" si="29"/>
        <v>-15537.600994405821</v>
      </c>
      <c r="AI25" s="46">
        <f t="shared" si="30"/>
        <v>-44062.499999999993</v>
      </c>
      <c r="AJ25" s="45">
        <f t="shared" si="31"/>
        <v>100.2421875</v>
      </c>
      <c r="AK25" s="46">
        <f t="shared" si="32"/>
        <v>93582.58928571429</v>
      </c>
      <c r="AL25" s="47">
        <f t="shared" si="33"/>
        <v>-1954.7834123883913</v>
      </c>
      <c r="AM25" s="45">
        <f t="shared" si="34"/>
        <v>109.68</v>
      </c>
      <c r="AN25" s="46">
        <f t="shared" si="35"/>
        <v>215132.84913119691</v>
      </c>
      <c r="AO25" s="47">
        <f t="shared" si="36"/>
        <v>-45321.428571428565</v>
      </c>
      <c r="AP25" s="45">
        <f t="shared" si="37"/>
        <v>100.2421875</v>
      </c>
      <c r="AQ25" s="46">
        <f t="shared" si="38"/>
        <v>81584.821428571435</v>
      </c>
      <c r="AR25" s="47">
        <f t="shared" si="39"/>
        <v>-1704.170154389878</v>
      </c>
      <c r="AS25" s="45">
        <f t="shared" si="40"/>
        <v>102.84375</v>
      </c>
      <c r="AT25" s="46">
        <f t="shared" si="41"/>
        <v>56919.642857142862</v>
      </c>
      <c r="AU25" s="47">
        <f t="shared" si="42"/>
        <v>713.51143973214312</v>
      </c>
      <c r="AV25" s="45">
        <f>VLOOKUP($AF25+$J$1,BO:BP,2)</f>
        <v>95.96875</v>
      </c>
      <c r="AW25" s="46">
        <f t="shared" si="44"/>
        <v>89062.5</v>
      </c>
      <c r="AX25" s="47">
        <f t="shared" si="45"/>
        <v>1924.228515625</v>
      </c>
      <c r="AY25" s="82">
        <f t="shared" si="46"/>
        <v>-92538.793340818549</v>
      </c>
      <c r="AZ25" s="82"/>
      <c r="BA25" s="82"/>
      <c r="BB25" s="82">
        <f>$AO$4*SUM($AZ$14:AZ25)-$AP$4*SUM($BA$14:BA25)</f>
        <v>20692.591163142919</v>
      </c>
      <c r="BC25" s="82">
        <f t="shared" si="19"/>
        <v>-113231.38450396147</v>
      </c>
      <c r="BE25" s="75">
        <v>45784.625</v>
      </c>
      <c r="BF25" s="54">
        <v>78.52</v>
      </c>
      <c r="BG25" s="75">
        <v>45896.625</v>
      </c>
      <c r="BH25" s="54">
        <v>100.765625</v>
      </c>
      <c r="BI25" s="75">
        <v>45784.625</v>
      </c>
      <c r="BJ25" s="54">
        <v>107.19</v>
      </c>
      <c r="BK25" s="75">
        <v>45896.625</v>
      </c>
      <c r="BL25" s="54">
        <v>100.765625</v>
      </c>
      <c r="BM25" s="75">
        <v>45784.625</v>
      </c>
      <c r="BN25" s="54">
        <v>102.828125</v>
      </c>
      <c r="BO25" s="75">
        <v>45784.625</v>
      </c>
      <c r="BP25" s="54">
        <v>97.53125</v>
      </c>
      <c r="BR25" s="131">
        <f t="shared" si="20"/>
        <v>45881.625</v>
      </c>
      <c r="BS25" s="45">
        <f t="shared" si="21"/>
        <v>107.3578</v>
      </c>
      <c r="BT25" s="46">
        <f t="shared" si="47"/>
        <v>-55075.000000002205</v>
      </c>
      <c r="BU25" s="46">
        <f t="shared" si="48"/>
        <v>52083.333333333336</v>
      </c>
      <c r="BV25" s="45">
        <f t="shared" si="49"/>
        <v>50.027000000000001</v>
      </c>
      <c r="BW25" s="46">
        <f t="shared" si="50"/>
        <v>10518.749999999865</v>
      </c>
      <c r="BX25" s="47">
        <f t="shared" si="51"/>
        <v>52083.333333333328</v>
      </c>
      <c r="BY25" s="45">
        <f t="shared" si="52"/>
        <v>-65593.750000002066</v>
      </c>
      <c r="CA25" s="129">
        <v>45786.625</v>
      </c>
      <c r="CB25" s="54">
        <v>104.7522</v>
      </c>
      <c r="CC25" s="129">
        <v>45786.625</v>
      </c>
      <c r="CD25" s="54">
        <v>61.521999999999998</v>
      </c>
      <c r="CF25" s="131">
        <v>45881.625</v>
      </c>
      <c r="CG25" s="45">
        <f t="shared" si="22"/>
        <v>265.14</v>
      </c>
      <c r="CH25" s="46">
        <f t="shared" si="53"/>
        <v>18803.400000000234</v>
      </c>
      <c r="CI25" s="46">
        <f t="shared" si="54"/>
        <v>43750</v>
      </c>
      <c r="CJ25" s="45">
        <f t="shared" si="55"/>
        <v>52.881999999999998</v>
      </c>
      <c r="CK25" s="46">
        <f t="shared" si="56"/>
        <v>-4086.1800000000517</v>
      </c>
      <c r="CL25" s="47">
        <f t="shared" si="57"/>
        <v>39375</v>
      </c>
      <c r="CM25" s="45">
        <f t="shared" si="58"/>
        <v>27264.580000000293</v>
      </c>
      <c r="CO25" s="129">
        <v>45789.625</v>
      </c>
      <c r="CP25" s="54">
        <v>307.27499999999998</v>
      </c>
      <c r="CQ25" s="129">
        <v>45789.625</v>
      </c>
      <c r="CR25" s="54">
        <v>58.206000000000003</v>
      </c>
      <c r="CS25" s="54"/>
      <c r="CT25" s="54"/>
      <c r="CU25" s="54"/>
      <c r="CV25" s="54"/>
      <c r="CW25" s="54"/>
      <c r="CX25" s="54"/>
      <c r="CY25" s="54"/>
      <c r="DF25" s="142">
        <v>45882.625</v>
      </c>
      <c r="DG25" s="58">
        <f t="shared" si="4"/>
        <v>93392.391770840855</v>
      </c>
      <c r="DH25" s="58">
        <f t="shared" si="5"/>
        <v>-106075.77569501661</v>
      </c>
      <c r="DI25" s="58">
        <f t="shared" si="6"/>
        <v>-48462.500000000604</v>
      </c>
      <c r="DJ25" s="58">
        <f t="shared" si="7"/>
        <v>20138.416666667137</v>
      </c>
      <c r="DK25" s="58">
        <f t="shared" si="23"/>
        <v>8530.1321817281423</v>
      </c>
      <c r="DL25" s="58">
        <f t="shared" si="23"/>
        <v>7155.6088089448604</v>
      </c>
      <c r="DM25" s="58">
        <f t="shared" si="23"/>
        <v>17131.250000001462</v>
      </c>
      <c r="DN25" s="58">
        <f t="shared" si="23"/>
        <v>-7126.1633333331556</v>
      </c>
      <c r="DO25" s="58">
        <f t="shared" si="8"/>
        <v>8530.1321817281423</v>
      </c>
      <c r="DP25" s="58">
        <f t="shared" si="3"/>
        <v>7155.6088089448604</v>
      </c>
      <c r="DQ25" s="58">
        <f t="shared" si="3"/>
        <v>17131.250000001462</v>
      </c>
      <c r="DR25" s="58">
        <f t="shared" si="3"/>
        <v>-7126.1633333331556</v>
      </c>
      <c r="DS25" s="58">
        <f>SUM(DO$15:DO25)</f>
        <v>84998.063850304461</v>
      </c>
      <c r="DT25" s="58">
        <f>SUM(DP$15:DP25)</f>
        <v>-98466.15527420021</v>
      </c>
      <c r="DU25" s="58">
        <f>SUM(DQ$15:DQ25)</f>
        <v>-33781.249999997912</v>
      </c>
      <c r="DV25" s="58">
        <f>SUM(DR$15:DR25)</f>
        <v>2624.6500000002707</v>
      </c>
      <c r="DZ25" s="133">
        <v>45882.625</v>
      </c>
      <c r="EA25" s="152">
        <v>-33781.249999997912</v>
      </c>
      <c r="EB25" s="152">
        <v>-98466.15527420021</v>
      </c>
      <c r="EC25" s="152">
        <v>3124.5833333336632</v>
      </c>
      <c r="ED25" s="152">
        <v>101188.17125036253</v>
      </c>
    </row>
    <row r="26" spans="1:134" x14ac:dyDescent="0.3">
      <c r="A26" s="139">
        <v>45862.625</v>
      </c>
      <c r="B26" s="76">
        <f t="shared" si="24"/>
        <v>94.34</v>
      </c>
      <c r="C26" s="31">
        <f t="shared" si="9"/>
        <v>98402.555910540366</v>
      </c>
      <c r="D26" s="32">
        <f t="shared" si="10"/>
        <v>-39480</v>
      </c>
      <c r="E26" s="76">
        <f t="shared" si="25"/>
        <v>101.15300000000001</v>
      </c>
      <c r="F26" s="31">
        <f t="shared" si="11"/>
        <v>-14783.999999998969</v>
      </c>
      <c r="G26" s="32">
        <f t="shared" si="12"/>
        <v>-14055.957439999998</v>
      </c>
      <c r="H26" s="76">
        <f t="shared" si="26"/>
        <v>120.16</v>
      </c>
      <c r="I26" s="31">
        <f t="shared" si="13"/>
        <v>-515576.70221493312</v>
      </c>
      <c r="J26" s="32">
        <f t="shared" si="14"/>
        <v>-67905.599999999991</v>
      </c>
      <c r="K26" s="76">
        <f t="shared" si="27"/>
        <v>99.679000000000002</v>
      </c>
      <c r="L26" s="31">
        <f t="shared" si="15"/>
        <v>-27896.40000000106</v>
      </c>
      <c r="M26" s="32">
        <f t="shared" si="16"/>
        <v>-30917.140053333336</v>
      </c>
      <c r="N26" s="82">
        <f t="shared" si="17"/>
        <v>612431.27551213803</v>
      </c>
      <c r="O26" s="82"/>
      <c r="P26" s="82"/>
      <c r="Q26" s="82">
        <f>$G$5*SUM($O$14:O26)-$H$5*SUM($P$14:P26)</f>
        <v>-576200.5368</v>
      </c>
      <c r="R26" s="82">
        <f t="shared" si="18"/>
        <v>36230.738712138031</v>
      </c>
      <c r="S26" s="143"/>
      <c r="U26" s="75">
        <v>45790.625</v>
      </c>
      <c r="V26" s="54">
        <v>93.02</v>
      </c>
      <c r="W26" s="75">
        <v>45789.625</v>
      </c>
      <c r="X26" s="54">
        <v>101.15600000000001</v>
      </c>
      <c r="Y26" s="125">
        <v>45791.625</v>
      </c>
      <c r="Z26" s="54">
        <v>120.27</v>
      </c>
      <c r="AA26" s="75">
        <v>45877.625</v>
      </c>
      <c r="AB26" s="54">
        <v>99.611000000000004</v>
      </c>
      <c r="AF26" s="131">
        <v>45882.625</v>
      </c>
      <c r="AG26" s="45">
        <f t="shared" si="28"/>
        <v>80.61</v>
      </c>
      <c r="AH26" s="46">
        <f t="shared" si="29"/>
        <v>49720.323182100845</v>
      </c>
      <c r="AI26" s="46">
        <f t="shared" si="30"/>
        <v>-47000</v>
      </c>
      <c r="AJ26" s="45">
        <f t="shared" si="31"/>
        <v>100.4921875</v>
      </c>
      <c r="AK26" s="46">
        <f t="shared" si="32"/>
        <v>128404.01785714286</v>
      </c>
      <c r="AL26" s="47">
        <f t="shared" si="33"/>
        <v>-2085.1023065476184</v>
      </c>
      <c r="AM26" s="45">
        <f t="shared" si="34"/>
        <v>110.26</v>
      </c>
      <c r="AN26" s="46">
        <f t="shared" si="35"/>
        <v>352250.48923679203</v>
      </c>
      <c r="AO26" s="47">
        <f t="shared" si="36"/>
        <v>-48342.857142857145</v>
      </c>
      <c r="AP26" s="45">
        <f t="shared" si="37"/>
        <v>100.4921875</v>
      </c>
      <c r="AQ26" s="46">
        <f t="shared" si="38"/>
        <v>111941.96428571429</v>
      </c>
      <c r="AR26" s="47">
        <f t="shared" si="39"/>
        <v>-1817.7814980158691</v>
      </c>
      <c r="AS26" s="45">
        <f t="shared" si="40"/>
        <v>103.28125</v>
      </c>
      <c r="AT26" s="46">
        <f t="shared" si="41"/>
        <v>80357.142857142855</v>
      </c>
      <c r="AU26" s="47">
        <f t="shared" si="42"/>
        <v>761.07886904762017</v>
      </c>
      <c r="AV26" s="45">
        <f>VLOOKUP($AF26+$J$1,BO:BP,2)</f>
        <v>96.765625</v>
      </c>
      <c r="AW26" s="46">
        <f t="shared" si="44"/>
        <v>148828.125</v>
      </c>
      <c r="AX26" s="47">
        <f t="shared" si="45"/>
        <v>2052.5104166666679</v>
      </c>
      <c r="AY26" s="82">
        <f t="shared" si="46"/>
        <v>-85383.184531873689</v>
      </c>
      <c r="AZ26" s="82"/>
      <c r="BA26" s="82"/>
      <c r="BB26" s="82">
        <f>$AO$4*SUM($AZ$14:AZ26)-$AP$4*SUM($BA$14:BA26)</f>
        <v>20692.591163142919</v>
      </c>
      <c r="BC26" s="82">
        <f t="shared" si="19"/>
        <v>-106075.77569501661</v>
      </c>
      <c r="BE26" s="75">
        <v>45785.625</v>
      </c>
      <c r="BF26" s="54">
        <v>78.5</v>
      </c>
      <c r="BG26" s="75">
        <v>45897.625</v>
      </c>
      <c r="BH26" s="54">
        <v>100.8203125</v>
      </c>
      <c r="BI26" s="75">
        <v>45785.625</v>
      </c>
      <c r="BJ26" s="54">
        <v>106.65</v>
      </c>
      <c r="BK26" s="75">
        <v>45897.625</v>
      </c>
      <c r="BL26" s="54">
        <v>100.8203125</v>
      </c>
      <c r="BM26" s="75">
        <v>45785.625</v>
      </c>
      <c r="BN26" s="54">
        <v>101.96875</v>
      </c>
      <c r="BO26" s="75">
        <v>45785.625</v>
      </c>
      <c r="BP26" s="54">
        <v>96.46875</v>
      </c>
      <c r="BR26" s="131">
        <f t="shared" si="20"/>
        <v>45882.625</v>
      </c>
      <c r="BS26" s="45">
        <f t="shared" si="21"/>
        <v>107.5305</v>
      </c>
      <c r="BT26" s="46">
        <f t="shared" si="47"/>
        <v>-11900.000000000688</v>
      </c>
      <c r="BU26" s="46">
        <f t="shared" si="48"/>
        <v>55555.555555555562</v>
      </c>
      <c r="BV26" s="45">
        <f t="shared" si="49"/>
        <v>49.564</v>
      </c>
      <c r="BW26" s="46">
        <f t="shared" si="50"/>
        <v>36562.49999999992</v>
      </c>
      <c r="BX26" s="47">
        <f t="shared" si="51"/>
        <v>55555.555555555562</v>
      </c>
      <c r="BY26" s="45">
        <f t="shared" si="52"/>
        <v>-48462.500000000604</v>
      </c>
      <c r="CA26" s="129">
        <v>45789.625</v>
      </c>
      <c r="CB26" s="54">
        <v>106.1426</v>
      </c>
      <c r="CC26" s="129">
        <v>45789.625</v>
      </c>
      <c r="CD26" s="54">
        <v>55.463999999999999</v>
      </c>
      <c r="CF26" s="131">
        <v>45882.625</v>
      </c>
      <c r="CG26" s="45">
        <f t="shared" si="22"/>
        <v>260.87599999999998</v>
      </c>
      <c r="CH26" s="46">
        <f t="shared" si="53"/>
        <v>58202.760000000329</v>
      </c>
      <c r="CI26" s="46">
        <f t="shared" si="54"/>
        <v>46666.666666666672</v>
      </c>
      <c r="CJ26" s="45">
        <f t="shared" si="55"/>
        <v>51.805</v>
      </c>
      <c r="CK26" s="46">
        <f t="shared" si="56"/>
        <v>42731.009999999864</v>
      </c>
      <c r="CL26" s="47">
        <f t="shared" si="57"/>
        <v>42000</v>
      </c>
      <c r="CM26" s="45">
        <f t="shared" si="58"/>
        <v>20138.416666667137</v>
      </c>
      <c r="CO26" s="129">
        <v>45790.625</v>
      </c>
      <c r="CP26" s="54">
        <v>296.28399999999999</v>
      </c>
      <c r="CQ26" s="129">
        <v>45790.625</v>
      </c>
      <c r="CR26" s="54">
        <v>55.77</v>
      </c>
      <c r="CS26" s="54"/>
      <c r="CT26" s="54"/>
      <c r="CU26" s="54"/>
      <c r="CV26" s="54"/>
      <c r="CW26" s="54"/>
      <c r="CX26" s="54"/>
      <c r="CY26" s="54"/>
      <c r="DF26" s="142">
        <v>45883.625</v>
      </c>
      <c r="DG26" s="58">
        <f t="shared" si="4"/>
        <v>92854.605181872728</v>
      </c>
      <c r="DH26" s="58">
        <f t="shared" si="5"/>
        <v>-156165.71560617874</v>
      </c>
      <c r="DI26" s="58">
        <f t="shared" si="6"/>
        <v>-58337.500000002605</v>
      </c>
      <c r="DJ26" s="58">
        <f t="shared" si="7"/>
        <v>23134.883333333826</v>
      </c>
      <c r="DK26" s="58">
        <f t="shared" si="23"/>
        <v>-537.78658896812703</v>
      </c>
      <c r="DL26" s="58">
        <f t="shared" si="23"/>
        <v>-50089.939911162131</v>
      </c>
      <c r="DM26" s="58">
        <f t="shared" si="23"/>
        <v>-9875.0000000020009</v>
      </c>
      <c r="DN26" s="58">
        <f t="shared" si="23"/>
        <v>2996.466666666689</v>
      </c>
      <c r="DO26" s="58">
        <f t="shared" si="8"/>
        <v>-537.78658896812703</v>
      </c>
      <c r="DP26" s="58">
        <f t="shared" si="3"/>
        <v>-50089.939911162131</v>
      </c>
      <c r="DQ26" s="58">
        <f t="shared" si="3"/>
        <v>-9875.0000000020009</v>
      </c>
      <c r="DR26" s="58">
        <f t="shared" si="3"/>
        <v>2996.466666666689</v>
      </c>
      <c r="DS26" s="58">
        <f>SUM(DO$15:DO26)</f>
        <v>84460.277261336334</v>
      </c>
      <c r="DT26" s="58">
        <f>SUM(DP$15:DP26)</f>
        <v>-148556.09518536233</v>
      </c>
      <c r="DU26" s="58">
        <f>SUM(DQ$15:DQ26)</f>
        <v>-43656.249999999913</v>
      </c>
      <c r="DV26" s="58">
        <f>SUM(DR$15:DR26)</f>
        <v>5621.1166666669596</v>
      </c>
      <c r="DZ26" s="133">
        <v>45883.625</v>
      </c>
      <c r="EA26" s="152">
        <v>-43656.249999999913</v>
      </c>
      <c r="EB26" s="152">
        <v>-148556.09518536233</v>
      </c>
      <c r="EC26" s="152">
        <v>6691.8055555558967</v>
      </c>
      <c r="ED26" s="152">
        <v>100547.94912063843</v>
      </c>
    </row>
    <row r="27" spans="1:134" x14ac:dyDescent="0.3">
      <c r="A27" s="139">
        <v>45863.625</v>
      </c>
      <c r="B27" s="76">
        <f t="shared" si="24"/>
        <v>94.27</v>
      </c>
      <c r="C27" s="31">
        <f t="shared" si="9"/>
        <v>82747.603833863701</v>
      </c>
      <c r="D27" s="32">
        <f t="shared" si="10"/>
        <v>-41947.499999999993</v>
      </c>
      <c r="E27" s="76">
        <f t="shared" si="25"/>
        <v>101.054</v>
      </c>
      <c r="F27" s="31">
        <f t="shared" si="11"/>
        <v>-31415.999999999596</v>
      </c>
      <c r="G27" s="32">
        <f t="shared" si="12"/>
        <v>-14934.454779999993</v>
      </c>
      <c r="H27" s="76">
        <f t="shared" si="26"/>
        <v>120.06</v>
      </c>
      <c r="I27" s="31">
        <f t="shared" si="13"/>
        <v>-545207.54716981121</v>
      </c>
      <c r="J27" s="32">
        <f t="shared" si="14"/>
        <v>-72149.699999999983</v>
      </c>
      <c r="K27" s="76">
        <f t="shared" si="27"/>
        <v>99.524000000000001</v>
      </c>
      <c r="L27" s="31">
        <f t="shared" si="15"/>
        <v>-81278.400000001449</v>
      </c>
      <c r="M27" s="32">
        <f t="shared" si="16"/>
        <v>-32849.461306666657</v>
      </c>
      <c r="N27" s="82">
        <f t="shared" si="17"/>
        <v>590379.94447700644</v>
      </c>
      <c r="O27" s="82"/>
      <c r="P27" s="82"/>
      <c r="Q27" s="82">
        <f>$G$5*SUM($O$14:O27)-$H$5*SUM($P$14:P27)</f>
        <v>-576200.5368</v>
      </c>
      <c r="R27" s="82">
        <f t="shared" si="18"/>
        <v>14179.407677006442</v>
      </c>
      <c r="S27" s="143"/>
      <c r="U27" s="75">
        <v>45791.625</v>
      </c>
      <c r="V27" s="54">
        <v>92.87</v>
      </c>
      <c r="W27" s="75">
        <v>45790.625</v>
      </c>
      <c r="X27" s="54">
        <v>101.125</v>
      </c>
      <c r="Y27" s="125">
        <v>45792.625</v>
      </c>
      <c r="Z27" s="54">
        <v>120.4</v>
      </c>
      <c r="AA27" s="75">
        <v>45880.625</v>
      </c>
      <c r="AB27" s="54">
        <v>99.561999999999998</v>
      </c>
      <c r="AF27" s="131">
        <v>45883.625</v>
      </c>
      <c r="AG27" s="45">
        <f t="shared" si="28"/>
        <v>80.400000000000006</v>
      </c>
      <c r="AH27" s="46">
        <f t="shared" si="29"/>
        <v>-15537.600994405821</v>
      </c>
      <c r="AI27" s="46">
        <f t="shared" si="30"/>
        <v>-49937.499999999993</v>
      </c>
      <c r="AJ27" s="45">
        <f t="shared" si="31"/>
        <v>100.2734375</v>
      </c>
      <c r="AK27" s="46">
        <f t="shared" si="32"/>
        <v>97935.26785714287</v>
      </c>
      <c r="AL27" s="47">
        <f t="shared" si="33"/>
        <v>-2215.4212007068454</v>
      </c>
      <c r="AM27" s="45">
        <f t="shared" si="34"/>
        <v>109.88</v>
      </c>
      <c r="AN27" s="46">
        <f t="shared" si="35"/>
        <v>262414.79399519501</v>
      </c>
      <c r="AO27" s="47">
        <f t="shared" si="36"/>
        <v>-51364.28571428571</v>
      </c>
      <c r="AP27" s="45">
        <f t="shared" si="37"/>
        <v>100.2734375</v>
      </c>
      <c r="AQ27" s="46">
        <f t="shared" si="38"/>
        <v>85379.46428571429</v>
      </c>
      <c r="AR27" s="47">
        <f t="shared" si="39"/>
        <v>-1931.3928416418676</v>
      </c>
      <c r="AS27" s="45">
        <f t="shared" si="40"/>
        <v>102.859375</v>
      </c>
      <c r="AT27" s="46">
        <f t="shared" si="41"/>
        <v>57756.696428571428</v>
      </c>
      <c r="AU27" s="47">
        <f t="shared" si="42"/>
        <v>808.64629836309541</v>
      </c>
      <c r="AV27" s="45">
        <f t="shared" si="43"/>
        <v>96.015625</v>
      </c>
      <c r="AW27" s="46">
        <f t="shared" si="44"/>
        <v>92578.125</v>
      </c>
      <c r="AX27" s="47">
        <f t="shared" si="45"/>
        <v>2180.7923177083339</v>
      </c>
      <c r="AY27" s="82">
        <f t="shared" si="46"/>
        <v>-135473.12444303583</v>
      </c>
      <c r="AZ27" s="82"/>
      <c r="BA27" s="82"/>
      <c r="BB27" s="82">
        <f>$AO$4*SUM($AZ$14:AZ27)-$AP$4*SUM($BA$14:BA27)</f>
        <v>20692.591163142919</v>
      </c>
      <c r="BC27" s="82">
        <f t="shared" si="19"/>
        <v>-156165.71560617874</v>
      </c>
      <c r="BE27" s="75">
        <v>45786.625</v>
      </c>
      <c r="BF27" s="54">
        <v>78.55</v>
      </c>
      <c r="BG27" s="75">
        <v>45898.625</v>
      </c>
      <c r="BH27" s="54">
        <v>100.8359375</v>
      </c>
      <c r="BI27" s="75">
        <v>45786.625</v>
      </c>
      <c r="BJ27" s="54">
        <v>106.61</v>
      </c>
      <c r="BK27" s="75">
        <v>45898.625</v>
      </c>
      <c r="BL27" s="54">
        <v>100.8359375</v>
      </c>
      <c r="BM27" s="75">
        <v>45786.625</v>
      </c>
      <c r="BN27" s="54">
        <v>102.015625</v>
      </c>
      <c r="BO27" s="75">
        <v>45786.625</v>
      </c>
      <c r="BP27" s="54">
        <v>96.5625</v>
      </c>
      <c r="BR27" s="131">
        <f t="shared" si="20"/>
        <v>45883.625</v>
      </c>
      <c r="BS27" s="45">
        <f t="shared" si="21"/>
        <v>107.40009999999999</v>
      </c>
      <c r="BT27" s="46">
        <f t="shared" si="47"/>
        <v>-44500.000000002874</v>
      </c>
      <c r="BU27" s="46">
        <f t="shared" si="48"/>
        <v>59027.777777777781</v>
      </c>
      <c r="BV27" s="45">
        <f t="shared" si="49"/>
        <v>49.968000000000004</v>
      </c>
      <c r="BW27" s="46">
        <f t="shared" si="50"/>
        <v>13837.499999999727</v>
      </c>
      <c r="BX27" s="47">
        <f t="shared" si="51"/>
        <v>59027.777777777781</v>
      </c>
      <c r="BY27" s="45">
        <f t="shared" si="52"/>
        <v>-58337.500000002605</v>
      </c>
      <c r="CA27" s="129">
        <v>45790.625</v>
      </c>
      <c r="CB27" s="54">
        <v>106.55589999999999</v>
      </c>
      <c r="CC27" s="129">
        <v>45790.625</v>
      </c>
      <c r="CD27" s="54">
        <v>54.054000000000002</v>
      </c>
      <c r="CF27" s="131">
        <v>45883.625</v>
      </c>
      <c r="CG27" s="45">
        <f t="shared" si="22"/>
        <v>260.50799999999998</v>
      </c>
      <c r="CH27" s="46">
        <f t="shared" si="53"/>
        <v>61603.080000000286</v>
      </c>
      <c r="CI27" s="46">
        <f t="shared" si="54"/>
        <v>49583.333333333336</v>
      </c>
      <c r="CJ27" s="45">
        <f t="shared" si="55"/>
        <v>51.789000000000001</v>
      </c>
      <c r="CK27" s="46">
        <f t="shared" si="56"/>
        <v>43426.529999999795</v>
      </c>
      <c r="CL27" s="47">
        <f t="shared" si="57"/>
        <v>44625</v>
      </c>
      <c r="CM27" s="45">
        <f t="shared" si="58"/>
        <v>23134.883333333826</v>
      </c>
      <c r="CO27" s="129">
        <v>45791.625</v>
      </c>
      <c r="CP27" s="54">
        <v>297.67</v>
      </c>
      <c r="CQ27" s="129">
        <v>45791.625</v>
      </c>
      <c r="CR27" s="54">
        <v>56.567999999999998</v>
      </c>
      <c r="CS27" s="54"/>
      <c r="CT27" s="54"/>
      <c r="CU27" s="54"/>
      <c r="CV27" s="54"/>
      <c r="CW27" s="54"/>
      <c r="CX27" s="54"/>
      <c r="CY27" s="54"/>
      <c r="DF27" s="142">
        <v>45884.625</v>
      </c>
      <c r="DG27" s="58">
        <f t="shared" si="4"/>
        <v>11848.02919186512</v>
      </c>
      <c r="DH27" s="58">
        <f t="shared" si="5"/>
        <v>-164665.72077005869</v>
      </c>
      <c r="DI27" s="58">
        <f t="shared" si="6"/>
        <v>-68150.00000000016</v>
      </c>
      <c r="DJ27" s="58">
        <f t="shared" si="7"/>
        <v>24351.390000000567</v>
      </c>
      <c r="DK27" s="58">
        <f t="shared" si="23"/>
        <v>-81006.575990007608</v>
      </c>
      <c r="DL27" s="58">
        <f t="shared" si="23"/>
        <v>-8500.0051638799487</v>
      </c>
      <c r="DM27" s="58">
        <f t="shared" si="23"/>
        <v>-9812.4999999975553</v>
      </c>
      <c r="DN27" s="58">
        <f t="shared" si="23"/>
        <v>1216.5066666667408</v>
      </c>
      <c r="DO27" s="58">
        <f t="shared" si="8"/>
        <v>-81006.575990007608</v>
      </c>
      <c r="DP27" s="58">
        <f t="shared" si="3"/>
        <v>-8500.0051638799487</v>
      </c>
      <c r="DQ27" s="58">
        <f t="shared" si="3"/>
        <v>-9812.4999999975553</v>
      </c>
      <c r="DR27" s="58">
        <f t="shared" si="3"/>
        <v>1216.5066666667408</v>
      </c>
      <c r="DS27" s="58">
        <f>SUM(DO$15:DO27)</f>
        <v>3453.7012713287259</v>
      </c>
      <c r="DT27" s="58">
        <f>SUM(DP$15:DP27)</f>
        <v>-157056.10034924228</v>
      </c>
      <c r="DU27" s="58">
        <f>SUM(DQ$15:DQ27)</f>
        <v>-53468.749999997468</v>
      </c>
      <c r="DV27" s="58">
        <f>SUM(DR$15:DR27)</f>
        <v>6837.6233333337004</v>
      </c>
      <c r="DZ27" s="133">
        <v>45884.625</v>
      </c>
      <c r="EA27" s="152">
        <v>-53468.749999997468</v>
      </c>
      <c r="EB27" s="152">
        <v>-157056.10034924228</v>
      </c>
      <c r="EC27" s="152">
        <v>8140.0277777782176</v>
      </c>
      <c r="ED27" s="152">
        <v>4111.5491325343028</v>
      </c>
    </row>
    <row r="28" spans="1:134" x14ac:dyDescent="0.3">
      <c r="A28" s="139">
        <v>45866.625</v>
      </c>
      <c r="B28" s="76">
        <f t="shared" si="24"/>
        <v>94.37</v>
      </c>
      <c r="C28" s="31">
        <f t="shared" si="9"/>
        <v>105111.82108626094</v>
      </c>
      <c r="D28" s="32">
        <f t="shared" si="10"/>
        <v>-49349.999999999993</v>
      </c>
      <c r="E28" s="76">
        <f t="shared" si="25"/>
        <v>101.17</v>
      </c>
      <c r="F28" s="31">
        <f t="shared" si="11"/>
        <v>-11927.999999999656</v>
      </c>
      <c r="G28" s="32">
        <f t="shared" si="12"/>
        <v>-17569.946799999991</v>
      </c>
      <c r="H28" s="76">
        <f t="shared" si="26"/>
        <v>120.25</v>
      </c>
      <c r="I28" s="31">
        <f t="shared" si="13"/>
        <v>-488908.94175553846</v>
      </c>
      <c r="J28" s="32">
        <f t="shared" si="14"/>
        <v>-84881.999999999985</v>
      </c>
      <c r="K28" s="76">
        <f t="shared" si="27"/>
        <v>99.715000000000003</v>
      </c>
      <c r="L28" s="31">
        <f t="shared" si="15"/>
        <v>-15498.000000000588</v>
      </c>
      <c r="M28" s="32">
        <f t="shared" si="16"/>
        <v>-38646.425066666663</v>
      </c>
      <c r="N28" s="82">
        <f t="shared" si="17"/>
        <v>604906.28457513184</v>
      </c>
      <c r="O28" s="82"/>
      <c r="P28" s="82"/>
      <c r="Q28" s="82">
        <f>$G$5*SUM($O$14:O28)-$H$5*SUM($P$14:P28)</f>
        <v>-576200.5368</v>
      </c>
      <c r="R28" s="82">
        <f t="shared" si="18"/>
        <v>28705.747775131837</v>
      </c>
      <c r="S28" s="143"/>
      <c r="U28" s="75">
        <v>45792.625</v>
      </c>
      <c r="V28" s="54">
        <v>92.74</v>
      </c>
      <c r="W28" s="75">
        <v>45791.625</v>
      </c>
      <c r="X28" s="54">
        <v>101.087</v>
      </c>
      <c r="Y28" s="125">
        <v>45793.625</v>
      </c>
      <c r="Z28" s="54">
        <v>120.73</v>
      </c>
      <c r="AA28" s="75">
        <v>45881.625</v>
      </c>
      <c r="AB28" s="54">
        <v>99.405000000000001</v>
      </c>
      <c r="AF28" s="131">
        <v>45884.625</v>
      </c>
      <c r="AG28" s="45">
        <f t="shared" si="28"/>
        <v>80.459999999999994</v>
      </c>
      <c r="AH28" s="46">
        <f t="shared" si="29"/>
        <v>3107.5201988806089</v>
      </c>
      <c r="AI28" s="46">
        <f t="shared" si="30"/>
        <v>-52875</v>
      </c>
      <c r="AJ28" s="45">
        <f t="shared" si="31"/>
        <v>100.15625</v>
      </c>
      <c r="AK28" s="46">
        <f t="shared" si="32"/>
        <v>81612.72321428571</v>
      </c>
      <c r="AL28" s="47">
        <f t="shared" si="33"/>
        <v>-2345.7400948660688</v>
      </c>
      <c r="AM28" s="45">
        <f t="shared" si="34"/>
        <v>109.74</v>
      </c>
      <c r="AN28" s="46">
        <f t="shared" si="35"/>
        <v>229317.43259039463</v>
      </c>
      <c r="AO28" s="47">
        <f t="shared" si="36"/>
        <v>-54385.71428571429</v>
      </c>
      <c r="AP28" s="45">
        <f t="shared" si="37"/>
        <v>100.15625</v>
      </c>
      <c r="AQ28" s="46">
        <f t="shared" si="38"/>
        <v>71149.55357142858</v>
      </c>
      <c r="AR28" s="47">
        <f t="shared" si="39"/>
        <v>-2045.0041852678551</v>
      </c>
      <c r="AS28" s="45">
        <f t="shared" si="40"/>
        <v>102.609375</v>
      </c>
      <c r="AT28" s="46">
        <f t="shared" si="41"/>
        <v>44363.83928571429</v>
      </c>
      <c r="AU28" s="47">
        <f t="shared" si="42"/>
        <v>856.21372767857247</v>
      </c>
      <c r="AV28" s="45">
        <f t="shared" si="43"/>
        <v>95.359375</v>
      </c>
      <c r="AW28" s="46">
        <f t="shared" si="44"/>
        <v>43359.375</v>
      </c>
      <c r="AX28" s="47">
        <f t="shared" si="45"/>
        <v>2309.0742187500018</v>
      </c>
      <c r="AY28" s="82">
        <f t="shared" si="46"/>
        <v>-143973.12960691578</v>
      </c>
      <c r="AZ28" s="82"/>
      <c r="BA28" s="82"/>
      <c r="BB28" s="82">
        <f>$AO$4*SUM($AZ$14:AZ28)-$AP$4*SUM($BA$14:BA28)</f>
        <v>20692.591163142919</v>
      </c>
      <c r="BC28" s="82">
        <f t="shared" si="19"/>
        <v>-164665.72077005869</v>
      </c>
      <c r="BE28" s="75">
        <v>45789.625</v>
      </c>
      <c r="BF28" s="54">
        <v>79.33</v>
      </c>
      <c r="BG28" s="75">
        <v>45901.625</v>
      </c>
      <c r="BH28" s="54">
        <v>100.8046875</v>
      </c>
      <c r="BI28" s="75">
        <v>45789.625</v>
      </c>
      <c r="BJ28" s="54">
        <v>106.59</v>
      </c>
      <c r="BK28" s="75">
        <v>45901.625</v>
      </c>
      <c r="BL28" s="54">
        <v>100.8046875</v>
      </c>
      <c r="BM28" s="75">
        <v>45789.625</v>
      </c>
      <c r="BN28" s="54">
        <v>101.296875</v>
      </c>
      <c r="BO28" s="75">
        <v>45789.625</v>
      </c>
      <c r="BP28" s="54">
        <v>95.609375</v>
      </c>
      <c r="BR28" s="131">
        <f t="shared" si="20"/>
        <v>45884.625</v>
      </c>
      <c r="BS28" s="45">
        <f t="shared" si="21"/>
        <v>107.37390000000001</v>
      </c>
      <c r="BT28" s="46">
        <f t="shared" si="47"/>
        <v>-51050.000000000044</v>
      </c>
      <c r="BU28" s="46">
        <f t="shared" si="48"/>
        <v>62500</v>
      </c>
      <c r="BV28" s="45">
        <f t="shared" si="49"/>
        <v>49.91</v>
      </c>
      <c r="BW28" s="46">
        <f t="shared" si="50"/>
        <v>17100.000000000116</v>
      </c>
      <c r="BX28" s="47">
        <f t="shared" si="51"/>
        <v>62500</v>
      </c>
      <c r="BY28" s="45">
        <f t="shared" si="52"/>
        <v>-68150.00000000016</v>
      </c>
      <c r="CA28" s="129">
        <v>45791.625</v>
      </c>
      <c r="CB28" s="54">
        <v>106.1994</v>
      </c>
      <c r="CC28" s="129">
        <v>45791.625</v>
      </c>
      <c r="CD28" s="54">
        <v>55.914999999999999</v>
      </c>
      <c r="CF28" s="131">
        <v>45884.625</v>
      </c>
      <c r="CG28" s="45">
        <f t="shared" si="22"/>
        <v>259.67399999999998</v>
      </c>
      <c r="CH28" s="46">
        <f t="shared" si="53"/>
        <v>69309.240000000311</v>
      </c>
      <c r="CI28" s="46">
        <f t="shared" si="54"/>
        <v>52500</v>
      </c>
      <c r="CJ28" s="45">
        <f t="shared" si="55"/>
        <v>51.633000000000003</v>
      </c>
      <c r="CK28" s="46">
        <f t="shared" si="56"/>
        <v>50207.849999999737</v>
      </c>
      <c r="CL28" s="47">
        <f t="shared" si="57"/>
        <v>47250</v>
      </c>
      <c r="CM28" s="45">
        <f t="shared" si="58"/>
        <v>24351.390000000567</v>
      </c>
      <c r="CO28" s="129">
        <v>45792.625</v>
      </c>
      <c r="CP28" s="54">
        <v>301.32</v>
      </c>
      <c r="CQ28" s="129">
        <v>45792.625</v>
      </c>
      <c r="CR28" s="54">
        <v>57.174999999999997</v>
      </c>
      <c r="CS28" s="54"/>
      <c r="CT28" s="54"/>
      <c r="CU28" s="54"/>
      <c r="CV28" s="54"/>
      <c r="CW28" s="54"/>
      <c r="CX28" s="54"/>
      <c r="CY28" s="54"/>
      <c r="DF28" s="142">
        <v>45887.625</v>
      </c>
      <c r="DG28" s="58">
        <f t="shared" si="4"/>
        <v>103534.97440651921</v>
      </c>
      <c r="DH28" s="58">
        <f t="shared" si="5"/>
        <v>-163184.93181381875</v>
      </c>
      <c r="DI28" s="58">
        <f t="shared" si="6"/>
        <v>-66500.000000001164</v>
      </c>
      <c r="DJ28" s="58">
        <f t="shared" si="7"/>
        <v>20064.800000000352</v>
      </c>
      <c r="DK28" s="58">
        <f t="shared" si="23"/>
        <v>91686.945214654086</v>
      </c>
      <c r="DL28" s="58">
        <f t="shared" si="23"/>
        <v>1480.7889562399359</v>
      </c>
      <c r="DM28" s="58">
        <f t="shared" si="23"/>
        <v>1649.9999999989959</v>
      </c>
      <c r="DN28" s="58">
        <f t="shared" si="23"/>
        <v>-4286.5900000002148</v>
      </c>
      <c r="DO28" s="58">
        <f t="shared" si="8"/>
        <v>91686.945214654086</v>
      </c>
      <c r="DP28" s="58">
        <f t="shared" si="3"/>
        <v>1480.7889562399359</v>
      </c>
      <c r="DQ28" s="58">
        <f t="shared" si="3"/>
        <v>1649.9999999989959</v>
      </c>
      <c r="DR28" s="58">
        <f t="shared" si="3"/>
        <v>-4286.5900000002148</v>
      </c>
      <c r="DS28" s="58">
        <f>SUM(DO$15:DO28)</f>
        <v>95140.646485982812</v>
      </c>
      <c r="DT28" s="58">
        <f>SUM(DP$15:DP28)</f>
        <v>-155575.31139300234</v>
      </c>
      <c r="DU28" s="58">
        <f>SUM(DQ$15:DQ28)</f>
        <v>-51818.749999998472</v>
      </c>
      <c r="DV28" s="58">
        <f>SUM(DR$15:DR28)</f>
        <v>2551.0333333334856</v>
      </c>
      <c r="DZ28" s="133">
        <v>45887.625</v>
      </c>
      <c r="EA28" s="152">
        <v>-51818.749999998472</v>
      </c>
      <c r="EB28" s="152">
        <v>-155575.31139300234</v>
      </c>
      <c r="EC28" s="152">
        <v>3036.9444444446417</v>
      </c>
      <c r="ED28" s="152">
        <v>113262.67438807467</v>
      </c>
    </row>
    <row r="29" spans="1:134" x14ac:dyDescent="0.3">
      <c r="A29" s="139">
        <v>45867.625</v>
      </c>
      <c r="B29" s="76">
        <f t="shared" si="24"/>
        <v>94.46</v>
      </c>
      <c r="C29" s="31">
        <f t="shared" si="9"/>
        <v>125239.61661341798</v>
      </c>
      <c r="D29" s="32">
        <f t="shared" si="10"/>
        <v>-51817.5</v>
      </c>
      <c r="E29" s="76">
        <f t="shared" si="25"/>
        <v>101.105</v>
      </c>
      <c r="F29" s="31">
        <f t="shared" si="11"/>
        <v>-22847.999999999272</v>
      </c>
      <c r="G29" s="32">
        <f t="shared" si="12"/>
        <v>-18448.44414</v>
      </c>
      <c r="H29" s="76">
        <f t="shared" si="26"/>
        <v>120.32</v>
      </c>
      <c r="I29" s="31">
        <f t="shared" si="13"/>
        <v>-468167.35028712259</v>
      </c>
      <c r="J29" s="32">
        <f t="shared" si="14"/>
        <v>-89126.1</v>
      </c>
      <c r="K29" s="76">
        <f t="shared" si="27"/>
        <v>99.623999999999995</v>
      </c>
      <c r="L29" s="31">
        <f t="shared" si="15"/>
        <v>-46838.400000003407</v>
      </c>
      <c r="M29" s="32">
        <f t="shared" si="16"/>
        <v>-40578.746319999991</v>
      </c>
      <c r="N29" s="82">
        <f t="shared" si="17"/>
        <v>584594.8647205364</v>
      </c>
      <c r="O29" s="82"/>
      <c r="P29" s="82"/>
      <c r="Q29" s="82">
        <f>$G$5*SUM($O$14:O29)-$H$5*SUM($P$14:P29)</f>
        <v>-576200.5368</v>
      </c>
      <c r="R29" s="82">
        <f t="shared" si="18"/>
        <v>8394.3279205363942</v>
      </c>
      <c r="S29" s="143"/>
      <c r="U29" s="75">
        <v>45793.625</v>
      </c>
      <c r="V29" s="54">
        <v>92.96</v>
      </c>
      <c r="W29" s="75">
        <v>45792.625</v>
      </c>
      <c r="X29" s="54">
        <v>101.241</v>
      </c>
      <c r="Y29" s="125">
        <v>45796.625</v>
      </c>
      <c r="Z29" s="54">
        <v>120.66</v>
      </c>
      <c r="AA29" s="75">
        <v>45882.625</v>
      </c>
      <c r="AB29" s="54">
        <v>99.745000000000005</v>
      </c>
      <c r="AF29" s="131">
        <v>45887.625</v>
      </c>
      <c r="AG29" s="45">
        <f t="shared" si="28"/>
        <v>80.400000000000006</v>
      </c>
      <c r="AH29" s="46">
        <f t="shared" si="29"/>
        <v>-15537.600994405821</v>
      </c>
      <c r="AI29" s="46">
        <f t="shared" si="30"/>
        <v>-61687.499999999993</v>
      </c>
      <c r="AJ29" s="45">
        <f t="shared" si="31"/>
        <v>100.1015625</v>
      </c>
      <c r="AK29" s="46">
        <f t="shared" si="32"/>
        <v>73995.535714285725</v>
      </c>
      <c r="AL29" s="47">
        <f t="shared" si="33"/>
        <v>-2736.69677734375</v>
      </c>
      <c r="AM29" s="45">
        <f t="shared" si="34"/>
        <v>109.54</v>
      </c>
      <c r="AN29" s="46">
        <f t="shared" si="35"/>
        <v>182035.4877263965</v>
      </c>
      <c r="AO29" s="47">
        <f t="shared" si="36"/>
        <v>-63450.000000000007</v>
      </c>
      <c r="AP29" s="45">
        <f t="shared" si="37"/>
        <v>100.1015625</v>
      </c>
      <c r="AQ29" s="46">
        <f t="shared" si="38"/>
        <v>64508.92857142858</v>
      </c>
      <c r="AR29" s="47">
        <f t="shared" si="39"/>
        <v>-2385.8382161458321</v>
      </c>
      <c r="AS29" s="45">
        <f t="shared" si="40"/>
        <v>102.484375</v>
      </c>
      <c r="AT29" s="46">
        <f t="shared" si="41"/>
        <v>37667.410714285717</v>
      </c>
      <c r="AU29" s="47">
        <f t="shared" si="42"/>
        <v>998.916015625</v>
      </c>
      <c r="AV29" s="45">
        <f t="shared" si="43"/>
        <v>95.0625</v>
      </c>
      <c r="AW29" s="46">
        <f t="shared" si="44"/>
        <v>21093.75</v>
      </c>
      <c r="AX29" s="47">
        <f t="shared" si="45"/>
        <v>2693.919921875</v>
      </c>
      <c r="AY29" s="82">
        <f t="shared" si="46"/>
        <v>-142492.34065067582</v>
      </c>
      <c r="AZ29" s="82"/>
      <c r="BA29" s="82"/>
      <c r="BB29" s="82">
        <f>$AO$4*SUM($AZ$14:AZ29)-$AP$4*SUM($BA$14:BA29)</f>
        <v>20692.591163142919</v>
      </c>
      <c r="BC29" s="82">
        <f t="shared" si="19"/>
        <v>-163184.93181381875</v>
      </c>
      <c r="BE29" s="75">
        <v>45790.625</v>
      </c>
      <c r="BF29" s="54">
        <v>79.47</v>
      </c>
      <c r="BG29" s="75">
        <v>45902.625</v>
      </c>
      <c r="BH29" s="54">
        <v>100.65625</v>
      </c>
      <c r="BI29" s="75">
        <v>45790.625</v>
      </c>
      <c r="BJ29" s="54">
        <v>106.68</v>
      </c>
      <c r="BK29" s="75">
        <v>45902.625</v>
      </c>
      <c r="BL29" s="54">
        <v>100.65625</v>
      </c>
      <c r="BM29" s="75">
        <v>45790.625</v>
      </c>
      <c r="BN29" s="54">
        <v>101.171875</v>
      </c>
      <c r="BO29" s="75">
        <v>45790.625</v>
      </c>
      <c r="BP29" s="54">
        <v>95.21875</v>
      </c>
      <c r="BR29" s="131">
        <f t="shared" si="20"/>
        <v>45887.625</v>
      </c>
      <c r="BS29" s="45">
        <f t="shared" si="21"/>
        <v>107.3562</v>
      </c>
      <c r="BT29" s="46">
        <f t="shared" si="47"/>
        <v>-55475.000000001273</v>
      </c>
      <c r="BU29" s="46">
        <f t="shared" si="48"/>
        <v>72916.666666666672</v>
      </c>
      <c r="BV29" s="45">
        <f t="shared" si="49"/>
        <v>50.018000000000001</v>
      </c>
      <c r="BW29" s="46">
        <f t="shared" si="50"/>
        <v>11024.999999999885</v>
      </c>
      <c r="BX29" s="47">
        <f t="shared" si="51"/>
        <v>72916.666666666672</v>
      </c>
      <c r="BY29" s="45">
        <f t="shared" si="52"/>
        <v>-66500.000000001164</v>
      </c>
      <c r="CA29" s="129">
        <v>45792.625</v>
      </c>
      <c r="CB29" s="54">
        <v>106.253</v>
      </c>
      <c r="CC29" s="129">
        <v>45792.625</v>
      </c>
      <c r="CD29" s="54">
        <v>55</v>
      </c>
      <c r="CF29" s="131">
        <v>45887.625</v>
      </c>
      <c r="CG29" s="45">
        <f t="shared" si="22"/>
        <v>260.94299999999998</v>
      </c>
      <c r="CH29" s="46">
        <f t="shared" si="53"/>
        <v>57583.680000000262</v>
      </c>
      <c r="CI29" s="46">
        <f t="shared" si="54"/>
        <v>61250</v>
      </c>
      <c r="CJ29" s="45">
        <f t="shared" si="55"/>
        <v>51.783999999999999</v>
      </c>
      <c r="CK29" s="46">
        <f t="shared" si="56"/>
        <v>43643.879999999903</v>
      </c>
      <c r="CL29" s="47">
        <f t="shared" si="57"/>
        <v>55125</v>
      </c>
      <c r="CM29" s="45">
        <f t="shared" si="58"/>
        <v>20064.800000000352</v>
      </c>
      <c r="CO29" s="129">
        <v>45793.625</v>
      </c>
      <c r="CP29" s="54">
        <v>300.76799999999997</v>
      </c>
      <c r="CQ29" s="129">
        <v>45793.625</v>
      </c>
      <c r="CR29" s="54">
        <v>57.244999999999997</v>
      </c>
      <c r="CS29" s="54"/>
      <c r="CT29" s="54"/>
      <c r="CU29" s="54"/>
      <c r="CV29" s="54"/>
      <c r="CW29" s="54"/>
      <c r="CX29" s="54"/>
      <c r="CY29" s="54"/>
      <c r="DF29" s="142">
        <v>45888.625</v>
      </c>
      <c r="DG29" s="58">
        <f t="shared" si="4"/>
        <v>85874.786876128172</v>
      </c>
      <c r="DH29" s="58">
        <f t="shared" si="5"/>
        <v>-154569.83632223442</v>
      </c>
      <c r="DI29" s="58">
        <f t="shared" si="6"/>
        <v>-78118.750000000029</v>
      </c>
      <c r="DJ29" s="58">
        <f t="shared" si="7"/>
        <v>13971.836666666903</v>
      </c>
      <c r="DK29" s="58">
        <f t="shared" si="23"/>
        <v>-17660.187530391035</v>
      </c>
      <c r="DL29" s="58">
        <f t="shared" si="23"/>
        <v>8615.0954915843322</v>
      </c>
      <c r="DM29" s="58">
        <f t="shared" si="23"/>
        <v>-11618.749999998865</v>
      </c>
      <c r="DN29" s="58">
        <f t="shared" si="23"/>
        <v>-6092.9633333334496</v>
      </c>
      <c r="DO29" s="58">
        <f t="shared" si="8"/>
        <v>-17660.187530391035</v>
      </c>
      <c r="DP29" s="58">
        <f t="shared" si="8"/>
        <v>8615.0954915843322</v>
      </c>
      <c r="DQ29" s="58">
        <f t="shared" si="8"/>
        <v>-11618.749999998865</v>
      </c>
      <c r="DR29" s="58">
        <f t="shared" si="8"/>
        <v>-6092.9633333334496</v>
      </c>
      <c r="DS29" s="58">
        <f>SUM(DO$15:DO29)</f>
        <v>77480.458955591777</v>
      </c>
      <c r="DT29" s="58">
        <f>SUM(DP$15:DP29)</f>
        <v>-146960.21590141801</v>
      </c>
      <c r="DU29" s="58">
        <f>SUM(DQ$15:DQ29)</f>
        <v>-63437.499999997337</v>
      </c>
      <c r="DV29" s="58">
        <f>SUM(DR$15:DR29)</f>
        <v>-3541.9299999999639</v>
      </c>
      <c r="DZ29" s="133">
        <v>45888.625</v>
      </c>
      <c r="EA29" s="152">
        <v>-63437.499999997337</v>
      </c>
      <c r="EB29" s="152">
        <v>-146960.21590141801</v>
      </c>
      <c r="EC29" s="152">
        <v>-4216.5833333332994</v>
      </c>
      <c r="ED29" s="152">
        <v>92238.641613799846</v>
      </c>
    </row>
    <row r="30" spans="1:134" x14ac:dyDescent="0.3">
      <c r="A30" s="140">
        <v>45868.625</v>
      </c>
      <c r="B30" s="76">
        <f t="shared" si="24"/>
        <v>94.48</v>
      </c>
      <c r="C30" s="31">
        <f t="shared" si="9"/>
        <v>129712.46006389835</v>
      </c>
      <c r="D30" s="32">
        <f t="shared" si="10"/>
        <v>-54284.999999999993</v>
      </c>
      <c r="E30" s="76">
        <f t="shared" si="25"/>
        <v>101.048</v>
      </c>
      <c r="F30" s="31">
        <f t="shared" si="11"/>
        <v>-32423.999999999636</v>
      </c>
      <c r="G30" s="32">
        <f t="shared" si="12"/>
        <v>-19326.941479999994</v>
      </c>
      <c r="H30" s="76">
        <f t="shared" si="26"/>
        <v>120.21</v>
      </c>
      <c r="I30" s="31">
        <f t="shared" si="13"/>
        <v>-500761.27973749209</v>
      </c>
      <c r="J30" s="32">
        <f t="shared" si="14"/>
        <v>-93370.199999999983</v>
      </c>
      <c r="K30" s="76">
        <f t="shared" si="27"/>
        <v>99.552999999999997</v>
      </c>
      <c r="L30" s="31">
        <f t="shared" si="15"/>
        <v>-71290.800000002695</v>
      </c>
      <c r="M30" s="32">
        <f t="shared" si="16"/>
        <v>-42511.067573333341</v>
      </c>
      <c r="N30" s="82">
        <f t="shared" si="17"/>
        <v>607508.01370805397</v>
      </c>
      <c r="O30" s="82"/>
      <c r="P30" s="82"/>
      <c r="Q30" s="82">
        <f>$G$5*SUM($O$14:O30)-$H$5*SUM($P$14:P30)</f>
        <v>-576200.5368</v>
      </c>
      <c r="R30" s="82">
        <f t="shared" si="18"/>
        <v>31307.47690805397</v>
      </c>
      <c r="S30" s="143"/>
      <c r="U30" s="75">
        <v>45796.625</v>
      </c>
      <c r="V30" s="54">
        <v>92.89</v>
      </c>
      <c r="W30" s="75">
        <v>45793.625</v>
      </c>
      <c r="X30" s="54">
        <v>101.34</v>
      </c>
      <c r="Y30" s="125">
        <v>45797.625</v>
      </c>
      <c r="Z30" s="54">
        <v>120.68</v>
      </c>
      <c r="AA30" s="75">
        <v>45883.625</v>
      </c>
      <c r="AB30" s="54">
        <v>99.620999999999995</v>
      </c>
      <c r="AF30" s="131">
        <v>45888.625</v>
      </c>
      <c r="AG30" s="45">
        <f t="shared" si="28"/>
        <v>80.38</v>
      </c>
      <c r="AH30" s="46">
        <f t="shared" si="29"/>
        <v>-21752.641392172591</v>
      </c>
      <c r="AI30" s="46">
        <f t="shared" si="30"/>
        <v>-64624.999999999993</v>
      </c>
      <c r="AJ30" s="45">
        <f t="shared" si="31"/>
        <v>100.2421875</v>
      </c>
      <c r="AK30" s="46">
        <f t="shared" si="32"/>
        <v>93582.58928571429</v>
      </c>
      <c r="AL30" s="47">
        <f t="shared" si="33"/>
        <v>-2867.0156715029807</v>
      </c>
      <c r="AM30" s="45">
        <f t="shared" si="34"/>
        <v>109.71</v>
      </c>
      <c r="AN30" s="46">
        <f t="shared" si="35"/>
        <v>222225.14086079292</v>
      </c>
      <c r="AO30" s="47">
        <f t="shared" si="36"/>
        <v>-66471.42857142858</v>
      </c>
      <c r="AP30" s="45">
        <f t="shared" si="37"/>
        <v>100.2421875</v>
      </c>
      <c r="AQ30" s="46">
        <f t="shared" si="38"/>
        <v>81584.821428571435</v>
      </c>
      <c r="AR30" s="47">
        <f t="shared" si="39"/>
        <v>-2499.4495597718233</v>
      </c>
      <c r="AS30" s="45">
        <f t="shared" si="40"/>
        <v>102.765625</v>
      </c>
      <c r="AT30" s="46">
        <f t="shared" si="41"/>
        <v>52734.375</v>
      </c>
      <c r="AU30" s="47">
        <f t="shared" si="42"/>
        <v>1046.4834449404752</v>
      </c>
      <c r="AV30" s="45">
        <f t="shared" si="43"/>
        <v>95.625</v>
      </c>
      <c r="AW30" s="46">
        <f t="shared" si="44"/>
        <v>63281.250000000007</v>
      </c>
      <c r="AX30" s="47">
        <f t="shared" si="45"/>
        <v>2822.2018229166679</v>
      </c>
      <c r="AY30" s="82">
        <f t="shared" si="46"/>
        <v>-133877.24515909149</v>
      </c>
      <c r="AZ30" s="82"/>
      <c r="BA30" s="82"/>
      <c r="BB30" s="82">
        <f>$AO$4*SUM($AZ$14:AZ30)-$AP$4*SUM($BA$14:BA30)</f>
        <v>20692.591163142919</v>
      </c>
      <c r="BC30" s="82">
        <f t="shared" si="19"/>
        <v>-154569.83632223442</v>
      </c>
      <c r="BE30" s="75">
        <v>45791.625</v>
      </c>
      <c r="BF30" s="54">
        <v>79.180000000000007</v>
      </c>
      <c r="BG30" s="75">
        <v>45903.625</v>
      </c>
      <c r="BH30" s="54">
        <v>100.8125</v>
      </c>
      <c r="BI30" s="75">
        <v>45791.625</v>
      </c>
      <c r="BJ30" s="54">
        <v>106.18</v>
      </c>
      <c r="BK30" s="75">
        <v>45903.625</v>
      </c>
      <c r="BL30" s="54">
        <v>100.8125</v>
      </c>
      <c r="BM30" s="75">
        <v>45791.625</v>
      </c>
      <c r="BN30" s="54">
        <v>100.796875</v>
      </c>
      <c r="BO30" s="75">
        <v>45791.625</v>
      </c>
      <c r="BP30" s="54">
        <v>94.59375</v>
      </c>
      <c r="BR30" s="131">
        <f t="shared" si="20"/>
        <v>45888.625</v>
      </c>
      <c r="BS30" s="45">
        <f t="shared" si="21"/>
        <v>107.22490000000001</v>
      </c>
      <c r="BT30" s="46">
        <f t="shared" si="47"/>
        <v>-88300.000000000276</v>
      </c>
      <c r="BU30" s="46">
        <f t="shared" si="48"/>
        <v>76388.888888888891</v>
      </c>
      <c r="BV30" s="45">
        <f t="shared" si="49"/>
        <v>50.395000000000003</v>
      </c>
      <c r="BW30" s="46">
        <f t="shared" si="50"/>
        <v>-10181.250000000253</v>
      </c>
      <c r="BX30" s="47">
        <f t="shared" si="51"/>
        <v>76388.888888888891</v>
      </c>
      <c r="BY30" s="45">
        <f t="shared" si="52"/>
        <v>-78118.750000000029</v>
      </c>
      <c r="CA30" s="129">
        <v>45793.625</v>
      </c>
      <c r="CB30" s="54">
        <v>106.4032</v>
      </c>
      <c r="CC30" s="129">
        <v>45793.625</v>
      </c>
      <c r="CD30" s="54">
        <v>54.555999999999997</v>
      </c>
      <c r="CF30" s="131">
        <v>45888.625</v>
      </c>
      <c r="CG30" s="45">
        <f t="shared" si="22"/>
        <v>260.10500000000002</v>
      </c>
      <c r="CH30" s="46">
        <f t="shared" si="53"/>
        <v>65326.799999999945</v>
      </c>
      <c r="CI30" s="46">
        <f t="shared" si="54"/>
        <v>64166.666666666664</v>
      </c>
      <c r="CJ30" s="45">
        <f t="shared" si="55"/>
        <v>51.459000000000003</v>
      </c>
      <c r="CK30" s="46">
        <f t="shared" si="56"/>
        <v>57771.629999999714</v>
      </c>
      <c r="CL30" s="47">
        <f t="shared" si="57"/>
        <v>57750</v>
      </c>
      <c r="CM30" s="45">
        <f t="shared" si="58"/>
        <v>13971.836666666903</v>
      </c>
      <c r="CO30" s="129">
        <v>45796.625</v>
      </c>
      <c r="CP30" s="54">
        <v>301.44499999999999</v>
      </c>
      <c r="CQ30" s="129">
        <v>45796.625</v>
      </c>
      <c r="CR30" s="54">
        <v>57.45</v>
      </c>
      <c r="CS30" s="54"/>
      <c r="CT30" s="54"/>
      <c r="CU30" s="54"/>
      <c r="CV30" s="54"/>
      <c r="CW30" s="54"/>
      <c r="CX30" s="54"/>
      <c r="CY30" s="54"/>
      <c r="DF30" s="142">
        <v>45889.625</v>
      </c>
      <c r="DG30" s="58">
        <f t="shared" si="4"/>
        <v>57837.401413102634</v>
      </c>
      <c r="DH30" s="58">
        <f t="shared" si="5"/>
        <v>-158276.79946827248</v>
      </c>
      <c r="DI30" s="58">
        <f t="shared" si="6"/>
        <v>-84337.500000000713</v>
      </c>
      <c r="DJ30" s="58">
        <f t="shared" si="7"/>
        <v>7284.1533333335028</v>
      </c>
      <c r="DK30" s="58">
        <f t="shared" si="23"/>
        <v>-28037.385463025537</v>
      </c>
      <c r="DL30" s="58">
        <f t="shared" si="23"/>
        <v>-3706.9631460380624</v>
      </c>
      <c r="DM30" s="58">
        <f t="shared" si="23"/>
        <v>-6218.7500000006839</v>
      </c>
      <c r="DN30" s="58">
        <f t="shared" si="23"/>
        <v>-6687.6833333333998</v>
      </c>
      <c r="DO30" s="58">
        <f t="shared" si="8"/>
        <v>-28037.385463025537</v>
      </c>
      <c r="DP30" s="58">
        <f t="shared" si="8"/>
        <v>-3706.9631460380624</v>
      </c>
      <c r="DQ30" s="58">
        <f t="shared" si="8"/>
        <v>-6218.7500000006839</v>
      </c>
      <c r="DR30" s="58">
        <f t="shared" si="8"/>
        <v>-6687.6833333333998</v>
      </c>
      <c r="DS30" s="58">
        <f>SUM(DO$15:DO30)</f>
        <v>49443.07349256624</v>
      </c>
      <c r="DT30" s="58">
        <f>SUM(DP$15:DP30)</f>
        <v>-150667.17904745607</v>
      </c>
      <c r="DU30" s="58">
        <f>SUM(DQ$15:DQ30)</f>
        <v>-69656.249999998021</v>
      </c>
      <c r="DV30" s="58">
        <f>SUM(DR$15:DR30)</f>
        <v>-10229.613333333364</v>
      </c>
      <c r="DZ30" s="133">
        <v>45889.625</v>
      </c>
      <c r="EA30" s="152">
        <v>-69656.249999998021</v>
      </c>
      <c r="EB30" s="152">
        <v>-150667.17904745607</v>
      </c>
      <c r="EC30" s="152">
        <v>-12178.111111111124</v>
      </c>
      <c r="ED30" s="152">
        <v>58860.801776864566</v>
      </c>
    </row>
    <row r="31" spans="1:134" x14ac:dyDescent="0.3">
      <c r="A31" s="140">
        <v>45869.625</v>
      </c>
      <c r="B31" s="76">
        <f t="shared" si="24"/>
        <v>94.45</v>
      </c>
      <c r="C31" s="31">
        <f t="shared" si="9"/>
        <v>123003.19488817779</v>
      </c>
      <c r="D31" s="32">
        <f t="shared" si="10"/>
        <v>-56752.499999999993</v>
      </c>
      <c r="E31" s="76">
        <f t="shared" si="25"/>
        <v>101.02200000000001</v>
      </c>
      <c r="F31" s="31">
        <f t="shared" si="11"/>
        <v>-36791.999999999003</v>
      </c>
      <c r="G31" s="32">
        <f t="shared" si="12"/>
        <v>-20205.438819999999</v>
      </c>
      <c r="H31" s="76">
        <f t="shared" si="26"/>
        <v>120.26</v>
      </c>
      <c r="I31" s="31">
        <f t="shared" si="13"/>
        <v>-485945.85726005101</v>
      </c>
      <c r="J31" s="32">
        <f t="shared" si="14"/>
        <v>-97614.299999999988</v>
      </c>
      <c r="K31" s="76">
        <f t="shared" si="27"/>
        <v>99.549000000000007</v>
      </c>
      <c r="L31" s="31">
        <f t="shared" si="15"/>
        <v>-72668.399999999485</v>
      </c>
      <c r="M31" s="32">
        <f t="shared" si="16"/>
        <v>-44443.388826666684</v>
      </c>
      <c r="N31" s="82">
        <f t="shared" si="17"/>
        <v>589696.50214156182</v>
      </c>
      <c r="O31" s="82"/>
      <c r="P31" s="82"/>
      <c r="Q31" s="82">
        <f>$G$5*SUM($O$14:O31)-$H$5*SUM($P$14:P31)</f>
        <v>-576200.5368</v>
      </c>
      <c r="R31" s="82">
        <f t="shared" si="18"/>
        <v>13495.965341561823</v>
      </c>
      <c r="S31" s="143"/>
      <c r="U31" s="75">
        <v>45797.625</v>
      </c>
      <c r="V31" s="54">
        <v>93.05</v>
      </c>
      <c r="W31" s="75">
        <v>45796.625</v>
      </c>
      <c r="X31" s="54">
        <v>101.408</v>
      </c>
      <c r="Y31" s="125">
        <v>45798.625</v>
      </c>
      <c r="Z31" s="54">
        <v>120.59</v>
      </c>
      <c r="AA31" s="75">
        <v>45884.625</v>
      </c>
      <c r="AB31" s="54">
        <v>99.375</v>
      </c>
      <c r="AF31" s="131">
        <v>45889.625</v>
      </c>
      <c r="AG31" s="45">
        <f t="shared" si="28"/>
        <v>80.349999999999994</v>
      </c>
      <c r="AH31" s="46">
        <f t="shared" si="29"/>
        <v>-31075.201988814417</v>
      </c>
      <c r="AI31" s="46">
        <f t="shared" si="30"/>
        <v>-67562.499999999985</v>
      </c>
      <c r="AJ31" s="45">
        <f t="shared" si="31"/>
        <v>100.3125</v>
      </c>
      <c r="AK31" s="46">
        <f t="shared" si="32"/>
        <v>103376.11607142857</v>
      </c>
      <c r="AL31" s="47">
        <f t="shared" si="33"/>
        <v>-2997.3345656622041</v>
      </c>
      <c r="AM31" s="45">
        <f t="shared" si="34"/>
        <v>109.76</v>
      </c>
      <c r="AN31" s="46">
        <f t="shared" si="35"/>
        <v>234045.62707679387</v>
      </c>
      <c r="AO31" s="47">
        <f t="shared" si="36"/>
        <v>-69492.857142857145</v>
      </c>
      <c r="AP31" s="45">
        <f t="shared" si="37"/>
        <v>100.3125</v>
      </c>
      <c r="AQ31" s="46">
        <f t="shared" si="38"/>
        <v>90122.767857142855</v>
      </c>
      <c r="AR31" s="47">
        <f t="shared" si="39"/>
        <v>-2613.060903397818</v>
      </c>
      <c r="AS31" s="45">
        <f t="shared" si="40"/>
        <v>102.890625</v>
      </c>
      <c r="AT31" s="46">
        <f t="shared" si="41"/>
        <v>59430.803571428572</v>
      </c>
      <c r="AU31" s="47">
        <f t="shared" si="42"/>
        <v>1094.0508742559523</v>
      </c>
      <c r="AV31" s="45">
        <f t="shared" si="43"/>
        <v>95.78125</v>
      </c>
      <c r="AW31" s="46">
        <f t="shared" si="44"/>
        <v>75000</v>
      </c>
      <c r="AX31" s="47">
        <f t="shared" si="45"/>
        <v>2950.4837239583358</v>
      </c>
      <c r="AY31" s="82">
        <f t="shared" si="46"/>
        <v>-137584.20830512958</v>
      </c>
      <c r="AZ31" s="82"/>
      <c r="BA31" s="82"/>
      <c r="BB31" s="82">
        <f>$AO$4*SUM($AZ$14:AZ31)-$AP$4*SUM($BA$14:BA31)</f>
        <v>20692.591163142919</v>
      </c>
      <c r="BC31" s="82">
        <f t="shared" si="19"/>
        <v>-158276.79946827248</v>
      </c>
      <c r="BE31" s="75">
        <v>45792.625</v>
      </c>
      <c r="BF31" s="54">
        <v>79.33</v>
      </c>
      <c r="BG31" s="75">
        <v>45904.625</v>
      </c>
      <c r="BH31" s="54">
        <v>101.0390625</v>
      </c>
      <c r="BI31" s="75">
        <v>45792.625</v>
      </c>
      <c r="BJ31" s="54">
        <v>106.9</v>
      </c>
      <c r="BK31" s="75">
        <v>45904.625</v>
      </c>
      <c r="BL31" s="54">
        <v>101.0390625</v>
      </c>
      <c r="BM31" s="75">
        <v>45792.625</v>
      </c>
      <c r="BN31" s="54">
        <v>101.453125</v>
      </c>
      <c r="BO31" s="75">
        <v>45792.625</v>
      </c>
      <c r="BP31" s="54">
        <v>95.40625</v>
      </c>
      <c r="BR31" s="131">
        <f t="shared" si="20"/>
        <v>45889.625</v>
      </c>
      <c r="BS31" s="45">
        <f t="shared" si="21"/>
        <v>107.1161</v>
      </c>
      <c r="BT31" s="46">
        <f t="shared" si="47"/>
        <v>-115500.00000000083</v>
      </c>
      <c r="BU31" s="46">
        <f t="shared" si="48"/>
        <v>79861.111111111109</v>
      </c>
      <c r="BV31" s="45">
        <f t="shared" si="49"/>
        <v>50.768000000000001</v>
      </c>
      <c r="BW31" s="46">
        <f t="shared" si="50"/>
        <v>-31162.500000000113</v>
      </c>
      <c r="BX31" s="47">
        <f t="shared" si="51"/>
        <v>79861.111111111109</v>
      </c>
      <c r="BY31" s="45">
        <f t="shared" si="52"/>
        <v>-84337.500000000713</v>
      </c>
      <c r="CA31" s="129">
        <v>45796.625</v>
      </c>
      <c r="CB31" s="54">
        <v>106.25920000000001</v>
      </c>
      <c r="CC31" s="129">
        <v>45796.625</v>
      </c>
      <c r="CD31" s="54">
        <v>55.116999999999997</v>
      </c>
      <c r="CF31" s="131">
        <v>45889.625</v>
      </c>
      <c r="CG31" s="45">
        <f t="shared" si="22"/>
        <v>265.99299999999999</v>
      </c>
      <c r="CH31" s="46">
        <f t="shared" si="53"/>
        <v>10921.680000000151</v>
      </c>
      <c r="CI31" s="46">
        <f t="shared" si="54"/>
        <v>67083.333333333328</v>
      </c>
      <c r="CJ31" s="45">
        <f t="shared" si="55"/>
        <v>52.55</v>
      </c>
      <c r="CK31" s="46">
        <f t="shared" si="56"/>
        <v>10345.859999999981</v>
      </c>
      <c r="CL31" s="47">
        <f t="shared" si="57"/>
        <v>60374.999999999993</v>
      </c>
      <c r="CM31" s="45">
        <f t="shared" si="58"/>
        <v>7284.1533333335028</v>
      </c>
      <c r="CO31" s="129">
        <v>45797.625</v>
      </c>
      <c r="CP31" s="54">
        <v>297.32799999999997</v>
      </c>
      <c r="CQ31" s="129">
        <v>45797.625</v>
      </c>
      <c r="CR31" s="54">
        <v>56.813000000000002</v>
      </c>
      <c r="CS31" s="54"/>
      <c r="CT31" s="54"/>
      <c r="CU31" s="54"/>
      <c r="CV31" s="54"/>
      <c r="CW31" s="54"/>
      <c r="CX31" s="54"/>
      <c r="CY31" s="54"/>
      <c r="DF31" s="142">
        <v>45890.625</v>
      </c>
      <c r="DG31" s="58">
        <f t="shared" si="4"/>
        <v>58334.289548870642</v>
      </c>
      <c r="DH31" s="58">
        <f t="shared" si="5"/>
        <v>-154149.1577847756</v>
      </c>
      <c r="DI31" s="58">
        <f t="shared" si="6"/>
        <v>-77325.000000001251</v>
      </c>
      <c r="DJ31" s="58">
        <f t="shared" si="7"/>
        <v>11414.83000000022</v>
      </c>
      <c r="DK31" s="58">
        <f t="shared" si="23"/>
        <v>496.88813576800749</v>
      </c>
      <c r="DL31" s="58">
        <f t="shared" si="23"/>
        <v>4127.6416834968841</v>
      </c>
      <c r="DM31" s="58">
        <f t="shared" si="23"/>
        <v>7012.4999999994616</v>
      </c>
      <c r="DN31" s="58">
        <f t="shared" si="23"/>
        <v>4130.6766666667172</v>
      </c>
      <c r="DO31" s="58">
        <f t="shared" si="8"/>
        <v>496.88813576800749</v>
      </c>
      <c r="DP31" s="58">
        <f t="shared" si="8"/>
        <v>4127.6416834968841</v>
      </c>
      <c r="DQ31" s="58">
        <f t="shared" si="8"/>
        <v>7012.4999999994616</v>
      </c>
      <c r="DR31" s="58">
        <f t="shared" si="8"/>
        <v>4130.6766666667172</v>
      </c>
      <c r="DS31" s="58">
        <f>SUM(DO$15:DO31)</f>
        <v>49939.961628334248</v>
      </c>
      <c r="DT31" s="58">
        <f>SUM(DP$15:DP31)</f>
        <v>-146539.53736395919</v>
      </c>
      <c r="DU31" s="58">
        <f>SUM(DQ$15:DQ31)</f>
        <v>-62643.749999998559</v>
      </c>
      <c r="DV31" s="58">
        <f>SUM(DR$15:DR31)</f>
        <v>-6098.9366666666465</v>
      </c>
      <c r="DZ31" s="133">
        <v>45890.625</v>
      </c>
      <c r="EA31" s="152">
        <v>-62643.749999998559</v>
      </c>
      <c r="EB31" s="152">
        <v>-146539.53736395919</v>
      </c>
      <c r="EC31" s="152">
        <v>-7260.6388888888614</v>
      </c>
      <c r="ED31" s="152">
        <v>59452.335271826596</v>
      </c>
    </row>
    <row r="32" spans="1:134" x14ac:dyDescent="0.3">
      <c r="A32" s="139">
        <v>45870.625</v>
      </c>
      <c r="B32" s="76">
        <f t="shared" si="24"/>
        <v>94.32</v>
      </c>
      <c r="C32" s="31">
        <f t="shared" si="9"/>
        <v>93929.712460059993</v>
      </c>
      <c r="D32" s="32">
        <f t="shared" si="10"/>
        <v>-59219.999999999993</v>
      </c>
      <c r="E32" s="76">
        <f t="shared" si="25"/>
        <v>101.155</v>
      </c>
      <c r="F32" s="31">
        <f t="shared" si="11"/>
        <v>-14447.999999999753</v>
      </c>
      <c r="G32" s="32">
        <f t="shared" si="12"/>
        <v>-21083.936159999997</v>
      </c>
      <c r="H32" s="76">
        <f t="shared" si="26"/>
        <v>120.22</v>
      </c>
      <c r="I32" s="31">
        <f t="shared" si="13"/>
        <v>-497798.19524200464</v>
      </c>
      <c r="J32" s="32">
        <f t="shared" si="14"/>
        <v>-101858.39999999998</v>
      </c>
      <c r="K32" s="76">
        <f t="shared" si="27"/>
        <v>99.751000000000005</v>
      </c>
      <c r="L32" s="31">
        <f t="shared" si="15"/>
        <v>-3099.6000000001172</v>
      </c>
      <c r="M32" s="32">
        <f t="shared" si="16"/>
        <v>-46375.710079999997</v>
      </c>
      <c r="N32" s="82">
        <f t="shared" si="17"/>
        <v>620422.93378206436</v>
      </c>
      <c r="O32" s="82"/>
      <c r="P32" s="82"/>
      <c r="Q32" s="82">
        <f>$G$5*SUM($O$14:O32)-$H$5*SUM($P$14:P32)</f>
        <v>-576200.5368</v>
      </c>
      <c r="R32" s="82">
        <f t="shared" si="18"/>
        <v>44222.396982064354</v>
      </c>
      <c r="S32" s="143"/>
      <c r="U32" s="75">
        <v>45798.625</v>
      </c>
      <c r="V32" s="54">
        <v>92.95</v>
      </c>
      <c r="W32" s="75">
        <v>45797.625</v>
      </c>
      <c r="X32" s="54">
        <v>101.352</v>
      </c>
      <c r="Y32" s="125">
        <v>45799.625</v>
      </c>
      <c r="Z32" s="54">
        <v>120.57</v>
      </c>
      <c r="AA32" s="75">
        <v>45887.625</v>
      </c>
      <c r="AB32" s="54">
        <v>99.388999999999996</v>
      </c>
      <c r="AF32" s="131">
        <v>45890.625</v>
      </c>
      <c r="AG32" s="45">
        <f t="shared" si="28"/>
        <v>80.2</v>
      </c>
      <c r="AH32" s="46">
        <f t="shared" si="29"/>
        <v>-77688.004972031878</v>
      </c>
      <c r="AI32" s="46">
        <f t="shared" si="30"/>
        <v>-70500</v>
      </c>
      <c r="AJ32" s="45">
        <f t="shared" si="31"/>
        <v>100.09375</v>
      </c>
      <c r="AK32" s="46">
        <f t="shared" si="32"/>
        <v>72907.36607142858</v>
      </c>
      <c r="AL32" s="47">
        <f t="shared" si="33"/>
        <v>-3127.6534598214275</v>
      </c>
      <c r="AM32" s="45">
        <f t="shared" si="34"/>
        <v>109.34</v>
      </c>
      <c r="AN32" s="46">
        <f t="shared" si="35"/>
        <v>134753.54286239838</v>
      </c>
      <c r="AO32" s="47">
        <f t="shared" si="36"/>
        <v>-72514.28571428571</v>
      </c>
      <c r="AP32" s="45">
        <f t="shared" si="37"/>
        <v>100.09375</v>
      </c>
      <c r="AQ32" s="46">
        <f t="shared" si="38"/>
        <v>63560.267857142862</v>
      </c>
      <c r="AR32" s="47">
        <f t="shared" si="39"/>
        <v>-2726.6722470238128</v>
      </c>
      <c r="AS32" s="45">
        <f t="shared" si="40"/>
        <v>102.5625</v>
      </c>
      <c r="AT32" s="46">
        <f t="shared" si="41"/>
        <v>41852.678571428572</v>
      </c>
      <c r="AU32" s="47">
        <f t="shared" si="42"/>
        <v>1141.6183035714312</v>
      </c>
      <c r="AV32" s="45">
        <f t="shared" si="43"/>
        <v>95.3125</v>
      </c>
      <c r="AW32" s="46">
        <f t="shared" si="44"/>
        <v>39843.75</v>
      </c>
      <c r="AX32" s="47">
        <f t="shared" si="45"/>
        <v>3078.765625</v>
      </c>
      <c r="AY32" s="82">
        <f t="shared" si="46"/>
        <v>-133456.56662163266</v>
      </c>
      <c r="AZ32" s="82"/>
      <c r="BA32" s="82"/>
      <c r="BB32" s="82">
        <f>$AO$4*SUM($AZ$14:AZ32)-$AP$4*SUM($BA$14:BA32)</f>
        <v>20692.591163142919</v>
      </c>
      <c r="BC32" s="82">
        <f t="shared" si="19"/>
        <v>-154149.1577847756</v>
      </c>
      <c r="BE32" s="75">
        <v>45793.625</v>
      </c>
      <c r="BF32" s="54">
        <v>79.42</v>
      </c>
      <c r="BG32" s="75">
        <v>45905.625</v>
      </c>
      <c r="BH32" s="54">
        <v>101.25</v>
      </c>
      <c r="BI32" s="75">
        <v>45793.625</v>
      </c>
      <c r="BJ32" s="54">
        <v>107.1</v>
      </c>
      <c r="BK32" s="75">
        <v>45905.625</v>
      </c>
      <c r="BL32" s="54">
        <v>101.25</v>
      </c>
      <c r="BM32" s="75">
        <v>45793.625</v>
      </c>
      <c r="BN32" s="54">
        <v>101.484375</v>
      </c>
      <c r="BO32" s="75">
        <v>45793.625</v>
      </c>
      <c r="BP32" s="54">
        <v>95.59375</v>
      </c>
      <c r="BR32" s="131">
        <f t="shared" si="20"/>
        <v>45890.625</v>
      </c>
      <c r="BS32" s="45">
        <f t="shared" si="21"/>
        <v>106.9358</v>
      </c>
      <c r="BT32" s="46">
        <f t="shared" si="47"/>
        <v>-160575.00000000148</v>
      </c>
      <c r="BU32" s="46">
        <f t="shared" si="48"/>
        <v>83333.333333333343</v>
      </c>
      <c r="BV32" s="45">
        <f t="shared" si="49"/>
        <v>51.694000000000003</v>
      </c>
      <c r="BW32" s="46">
        <f t="shared" si="50"/>
        <v>-83250.000000000218</v>
      </c>
      <c r="BX32" s="47">
        <f t="shared" si="51"/>
        <v>83333.333333333328</v>
      </c>
      <c r="BY32" s="45">
        <f t="shared" si="52"/>
        <v>-77325.000000001251</v>
      </c>
      <c r="CA32" s="129">
        <v>45797.625</v>
      </c>
      <c r="CB32" s="54">
        <v>106.3137</v>
      </c>
      <c r="CC32" s="129">
        <v>45797.625</v>
      </c>
      <c r="CD32" s="54">
        <v>55.078000000000003</v>
      </c>
      <c r="CF32" s="131">
        <v>45890.625</v>
      </c>
      <c r="CG32" s="45">
        <f t="shared" si="22"/>
        <v>266.79599999999999</v>
      </c>
      <c r="CH32" s="46">
        <f t="shared" si="53"/>
        <v>3501.9600000001765</v>
      </c>
      <c r="CI32" s="46">
        <f t="shared" si="54"/>
        <v>70000</v>
      </c>
      <c r="CJ32" s="45">
        <f t="shared" si="55"/>
        <v>52.808999999999997</v>
      </c>
      <c r="CK32" s="46">
        <f t="shared" si="56"/>
        <v>-912.87000000003468</v>
      </c>
      <c r="CL32" s="47">
        <f t="shared" si="57"/>
        <v>63000</v>
      </c>
      <c r="CM32" s="45">
        <f t="shared" si="58"/>
        <v>11414.83000000022</v>
      </c>
      <c r="CO32" s="129">
        <v>45798.625</v>
      </c>
      <c r="CP32" s="54">
        <v>299.49900000000002</v>
      </c>
      <c r="CQ32" s="129">
        <v>45798.625</v>
      </c>
      <c r="CR32" s="54">
        <v>57.048999999999999</v>
      </c>
      <c r="CS32" s="54"/>
      <c r="CT32" s="54"/>
      <c r="CU32" s="54"/>
      <c r="CV32" s="54"/>
      <c r="CW32" s="54"/>
      <c r="CX32" s="54"/>
      <c r="CY32" s="54"/>
      <c r="DF32" s="142">
        <v>45891.625</v>
      </c>
      <c r="DG32" s="58">
        <f t="shared" si="4"/>
        <v>108146.74373968039</v>
      </c>
      <c r="DH32" s="58">
        <f t="shared" si="5"/>
        <v>-85720.775891802739</v>
      </c>
      <c r="DI32" s="58">
        <f t="shared" si="6"/>
        <v>-59200.000000002452</v>
      </c>
      <c r="DJ32" s="58">
        <f t="shared" si="7"/>
        <v>9054.6166666669305</v>
      </c>
      <c r="DK32" s="58">
        <f t="shared" si="23"/>
        <v>49812.454190809745</v>
      </c>
      <c r="DL32" s="58">
        <f t="shared" si="23"/>
        <v>68428.381892972859</v>
      </c>
      <c r="DM32" s="58">
        <f t="shared" si="23"/>
        <v>18124.999999998799</v>
      </c>
      <c r="DN32" s="58">
        <f t="shared" si="23"/>
        <v>-2360.2133333332895</v>
      </c>
      <c r="DO32" s="58">
        <f t="shared" si="8"/>
        <v>49812.454190809745</v>
      </c>
      <c r="DP32" s="58">
        <f t="shared" si="8"/>
        <v>68428.381892972859</v>
      </c>
      <c r="DQ32" s="58">
        <f t="shared" si="8"/>
        <v>18124.999999998799</v>
      </c>
      <c r="DR32" s="58">
        <f t="shared" si="8"/>
        <v>-2360.2133333332895</v>
      </c>
      <c r="DS32" s="58">
        <f>SUM(DO$15:DO32)</f>
        <v>99752.415819143993</v>
      </c>
      <c r="DT32" s="58">
        <f>SUM(DP$15:DP32)</f>
        <v>-78111.155470986327</v>
      </c>
      <c r="DU32" s="58">
        <f>SUM(DQ$15:DQ32)</f>
        <v>-44518.74999999976</v>
      </c>
      <c r="DV32" s="58">
        <f>SUM(DR$15:DR32)</f>
        <v>-8459.149999999936</v>
      </c>
      <c r="DZ32" s="133">
        <v>45891.625</v>
      </c>
      <c r="EA32" s="152">
        <v>-44518.74999999976</v>
      </c>
      <c r="EB32" s="152">
        <v>-78111.155470986327</v>
      </c>
      <c r="EC32" s="152">
        <v>-10070.416666666584</v>
      </c>
      <c r="ED32" s="152">
        <v>118752.87597517157</v>
      </c>
    </row>
    <row r="33" spans="1:134" x14ac:dyDescent="0.3">
      <c r="A33" s="139">
        <v>45873.625</v>
      </c>
      <c r="B33" s="76">
        <f t="shared" si="24"/>
        <v>94.38</v>
      </c>
      <c r="C33" s="31">
        <f t="shared" si="9"/>
        <v>107348.24281150113</v>
      </c>
      <c r="D33" s="32">
        <f t="shared" si="10"/>
        <v>-66622.499999999985</v>
      </c>
      <c r="E33" s="76">
        <f t="shared" si="25"/>
        <v>101.214</v>
      </c>
      <c r="F33" s="31">
        <f t="shared" si="11"/>
        <v>-4536.0000000001719</v>
      </c>
      <c r="G33" s="32">
        <f t="shared" si="12"/>
        <v>-23719.428179999988</v>
      </c>
      <c r="H33" s="76">
        <f t="shared" si="26"/>
        <v>120.41</v>
      </c>
      <c r="I33" s="31">
        <f t="shared" si="13"/>
        <v>-441499.58982773189</v>
      </c>
      <c r="J33" s="32">
        <f t="shared" si="14"/>
        <v>-114590.69999999998</v>
      </c>
      <c r="K33" s="76">
        <f t="shared" si="27"/>
        <v>99.884</v>
      </c>
      <c r="L33" s="31">
        <f t="shared" si="15"/>
        <v>42705.599999998354</v>
      </c>
      <c r="M33" s="32">
        <f t="shared" si="16"/>
        <v>-52172.673839999981</v>
      </c>
      <c r="N33" s="82">
        <f t="shared" si="17"/>
        <v>615604.38697923161</v>
      </c>
      <c r="O33" s="82"/>
      <c r="P33" s="82"/>
      <c r="Q33" s="82">
        <f>$G$5*SUM($O$14:O33)-$H$5*SUM($P$14:P33)</f>
        <v>-576200.5368</v>
      </c>
      <c r="R33" s="82">
        <f t="shared" si="18"/>
        <v>39403.850179231609</v>
      </c>
      <c r="S33" s="143"/>
      <c r="U33" s="75">
        <v>45799.625</v>
      </c>
      <c r="V33" s="54">
        <v>92.82</v>
      </c>
      <c r="W33" s="75">
        <v>45798.625</v>
      </c>
      <c r="X33" s="54">
        <v>101.282</v>
      </c>
      <c r="Y33" s="125">
        <v>45800.625</v>
      </c>
      <c r="Z33" s="54">
        <v>120.79</v>
      </c>
      <c r="AA33" s="75">
        <v>45888.625</v>
      </c>
      <c r="AB33" s="54">
        <v>99.484999999999999</v>
      </c>
      <c r="AF33" s="131">
        <v>45891.625</v>
      </c>
      <c r="AG33" s="45">
        <f t="shared" si="28"/>
        <v>80.849999999999994</v>
      </c>
      <c r="AH33" s="46">
        <f t="shared" si="29"/>
        <v>124300.80795524656</v>
      </c>
      <c r="AI33" s="46">
        <f t="shared" si="30"/>
        <v>-73437.5</v>
      </c>
      <c r="AJ33" s="45">
        <f t="shared" si="31"/>
        <v>100.515625</v>
      </c>
      <c r="AK33" s="46">
        <f t="shared" si="32"/>
        <v>131668.52678571429</v>
      </c>
      <c r="AL33" s="47">
        <f t="shared" si="33"/>
        <v>-3257.972353980651</v>
      </c>
      <c r="AM33" s="45">
        <f t="shared" si="34"/>
        <v>110.2</v>
      </c>
      <c r="AN33" s="46">
        <f t="shared" si="35"/>
        <v>338065.90577759431</v>
      </c>
      <c r="AO33" s="47">
        <f t="shared" si="36"/>
        <v>-75535.71428571429</v>
      </c>
      <c r="AP33" s="45">
        <f t="shared" si="37"/>
        <v>100.515625</v>
      </c>
      <c r="AQ33" s="46">
        <f t="shared" si="38"/>
        <v>114787.94642857143</v>
      </c>
      <c r="AR33" s="47">
        <f t="shared" si="39"/>
        <v>-2840.283590649804</v>
      </c>
      <c r="AS33" s="45">
        <f t="shared" si="40"/>
        <v>103.125</v>
      </c>
      <c r="AT33" s="46">
        <f t="shared" si="41"/>
        <v>71986.607142857145</v>
      </c>
      <c r="AU33" s="47">
        <f t="shared" si="42"/>
        <v>1189.1857328869064</v>
      </c>
      <c r="AV33" s="45">
        <f t="shared" si="43"/>
        <v>95.9375</v>
      </c>
      <c r="AW33" s="46">
        <f t="shared" si="44"/>
        <v>86718.75</v>
      </c>
      <c r="AX33" s="47">
        <f t="shared" si="45"/>
        <v>3207.0475260416679</v>
      </c>
      <c r="AY33" s="82">
        <f t="shared" si="46"/>
        <v>-65028.18472865982</v>
      </c>
      <c r="AZ33" s="82"/>
      <c r="BA33" s="82"/>
      <c r="BB33" s="82">
        <f>$AO$4*SUM($AZ$14:AZ33)-$AP$4*SUM($BA$14:BA33)</f>
        <v>20692.591163142919</v>
      </c>
      <c r="BC33" s="82">
        <f t="shared" si="19"/>
        <v>-85720.775891802739</v>
      </c>
      <c r="BE33" s="75">
        <v>45796.625</v>
      </c>
      <c r="BF33" s="54">
        <v>79.38</v>
      </c>
      <c r="BG33" s="75">
        <v>45908.625</v>
      </c>
      <c r="BH33" s="54">
        <v>101.3828125</v>
      </c>
      <c r="BI33" s="75">
        <v>45796.625</v>
      </c>
      <c r="BJ33" s="54">
        <v>107.11</v>
      </c>
      <c r="BK33" s="75">
        <v>45908.625</v>
      </c>
      <c r="BL33" s="54">
        <v>101.3828125</v>
      </c>
      <c r="BM33" s="75">
        <v>45796.625</v>
      </c>
      <c r="BN33" s="54">
        <v>101.359375</v>
      </c>
      <c r="BO33" s="75">
        <v>45796.625</v>
      </c>
      <c r="BP33" s="54">
        <v>95.28125</v>
      </c>
      <c r="BR33" s="131">
        <f t="shared" si="20"/>
        <v>45891.625</v>
      </c>
      <c r="BS33" s="45">
        <f t="shared" si="21"/>
        <v>107.5735</v>
      </c>
      <c r="BT33" s="46">
        <f t="shared" si="47"/>
        <v>-1150.0000000026489</v>
      </c>
      <c r="BU33" s="46">
        <f t="shared" si="48"/>
        <v>86805.555555555562</v>
      </c>
      <c r="BV33" s="45">
        <f t="shared" si="49"/>
        <v>49.182000000000002</v>
      </c>
      <c r="BW33" s="46">
        <f t="shared" si="50"/>
        <v>58049.999999999804</v>
      </c>
      <c r="BX33" s="47">
        <f t="shared" si="51"/>
        <v>86805.555555555562</v>
      </c>
      <c r="BY33" s="45">
        <f t="shared" si="52"/>
        <v>-59200.000000002452</v>
      </c>
      <c r="CA33" s="129">
        <v>45798.625</v>
      </c>
      <c r="CB33" s="54">
        <v>105.5667</v>
      </c>
      <c r="CC33" s="129">
        <v>45798.625</v>
      </c>
      <c r="CD33" s="54">
        <v>58.378999999999998</v>
      </c>
      <c r="CF33" s="131">
        <v>45891.625</v>
      </c>
      <c r="CG33" s="45">
        <f t="shared" si="22"/>
        <v>261.90800000000002</v>
      </c>
      <c r="CH33" s="46">
        <f t="shared" si="53"/>
        <v>48667.079999999965</v>
      </c>
      <c r="CI33" s="46">
        <f t="shared" si="54"/>
        <v>72916.666666666672</v>
      </c>
      <c r="CJ33" s="45">
        <f t="shared" si="55"/>
        <v>51.709000000000003</v>
      </c>
      <c r="CK33" s="46">
        <f t="shared" si="56"/>
        <v>46904.129999999721</v>
      </c>
      <c r="CL33" s="47">
        <f t="shared" si="57"/>
        <v>65625</v>
      </c>
      <c r="CM33" s="45">
        <f t="shared" si="58"/>
        <v>9054.6166666669305</v>
      </c>
      <c r="CO33" s="129">
        <v>45799.625</v>
      </c>
      <c r="CP33" s="54">
        <v>305.50700000000001</v>
      </c>
      <c r="CQ33" s="129">
        <v>45799.625</v>
      </c>
      <c r="CR33" s="54">
        <v>58.765999999999998</v>
      </c>
      <c r="CS33" s="54"/>
      <c r="CT33" s="54"/>
      <c r="CU33" s="54"/>
      <c r="CV33" s="54"/>
      <c r="CW33" s="54"/>
      <c r="CX33" s="54"/>
      <c r="CY33" s="54"/>
      <c r="DF33" s="142">
        <v>45894.625</v>
      </c>
      <c r="DG33" s="58">
        <f t="shared" si="4"/>
        <v>59738.671999678598</v>
      </c>
      <c r="DH33" s="58">
        <f t="shared" si="5"/>
        <v>-90132.063735566393</v>
      </c>
      <c r="DI33" s="58">
        <f t="shared" si="6"/>
        <v>-65012.500000002794</v>
      </c>
      <c r="DJ33" s="58">
        <f t="shared" si="7"/>
        <v>9929.6166666669305</v>
      </c>
      <c r="DK33" s="58">
        <f t="shared" si="23"/>
        <v>-48408.071740001789</v>
      </c>
      <c r="DL33" s="58">
        <f t="shared" si="23"/>
        <v>-4411.2878437636537</v>
      </c>
      <c r="DM33" s="58">
        <f t="shared" si="23"/>
        <v>-5812.500000000342</v>
      </c>
      <c r="DN33" s="58">
        <f t="shared" si="23"/>
        <v>875</v>
      </c>
      <c r="DO33" s="58">
        <f t="shared" si="8"/>
        <v>-48408.071740001789</v>
      </c>
      <c r="DP33" s="58">
        <f t="shared" si="8"/>
        <v>-4411.2878437636537</v>
      </c>
      <c r="DQ33" s="58">
        <f t="shared" si="8"/>
        <v>-5812.500000000342</v>
      </c>
      <c r="DR33" s="58">
        <f t="shared" si="8"/>
        <v>875</v>
      </c>
      <c r="DS33" s="58">
        <f>SUM(DO$15:DO33)</f>
        <v>51344.344079142204</v>
      </c>
      <c r="DT33" s="58">
        <f>SUM(DP$15:DP33)</f>
        <v>-82522.44331474998</v>
      </c>
      <c r="DU33" s="58">
        <f>SUM(DQ$15:DQ33)</f>
        <v>-50331.250000000102</v>
      </c>
      <c r="DV33" s="58">
        <f>SUM(DR$15:DR33)</f>
        <v>-7584.149999999936</v>
      </c>
      <c r="DZ33" s="133">
        <v>45894.625</v>
      </c>
      <c r="EA33" s="152">
        <v>-50331.250000000102</v>
      </c>
      <c r="EB33" s="152">
        <v>-82522.44331474998</v>
      </c>
      <c r="EC33" s="152">
        <v>-9028.7499999999272</v>
      </c>
      <c r="ED33" s="152">
        <v>61124.219141836045</v>
      </c>
    </row>
    <row r="34" spans="1:134" x14ac:dyDescent="0.3">
      <c r="A34" s="139">
        <v>45874.625</v>
      </c>
      <c r="B34" s="76">
        <f t="shared" si="24"/>
        <v>94.45</v>
      </c>
      <c r="C34" s="31">
        <f t="shared" si="9"/>
        <v>123003.19488817779</v>
      </c>
      <c r="D34" s="32">
        <f t="shared" si="10"/>
        <v>-69090</v>
      </c>
      <c r="E34" s="76">
        <f t="shared" si="25"/>
        <v>101.217</v>
      </c>
      <c r="F34" s="31">
        <f t="shared" si="11"/>
        <v>-4032.0000000001528</v>
      </c>
      <c r="G34" s="32">
        <f t="shared" si="12"/>
        <v>-24597.925520000004</v>
      </c>
      <c r="H34" s="76">
        <f t="shared" si="26"/>
        <v>120.52</v>
      </c>
      <c r="I34" s="31">
        <f t="shared" si="13"/>
        <v>-408905.66037736239</v>
      </c>
      <c r="J34" s="32">
        <f t="shared" si="14"/>
        <v>-118834.8</v>
      </c>
      <c r="K34" s="76">
        <f t="shared" si="27"/>
        <v>99.923000000000002</v>
      </c>
      <c r="L34" s="31">
        <f t="shared" si="15"/>
        <v>56137.199999998862</v>
      </c>
      <c r="M34" s="32">
        <f t="shared" si="16"/>
        <v>-54104.995093333324</v>
      </c>
      <c r="N34" s="82">
        <f t="shared" si="17"/>
        <v>612315.785692206</v>
      </c>
      <c r="O34" s="82"/>
      <c r="P34" s="82"/>
      <c r="Q34" s="82">
        <f>$G$5*SUM($O$14:O34)-$H$5*SUM($P$14:P34)</f>
        <v>-576200.5368</v>
      </c>
      <c r="R34" s="82">
        <f t="shared" si="18"/>
        <v>36115.248892206</v>
      </c>
      <c r="S34" s="143"/>
      <c r="U34" s="75">
        <v>45800.625</v>
      </c>
      <c r="V34" s="54">
        <v>92.47</v>
      </c>
      <c r="W34" s="75">
        <v>45799.625</v>
      </c>
      <c r="X34" s="54">
        <v>101.363</v>
      </c>
      <c r="Y34" s="125">
        <v>45804.625</v>
      </c>
      <c r="Z34" s="54">
        <v>121.1</v>
      </c>
      <c r="AA34" s="75">
        <v>45889.625</v>
      </c>
      <c r="AB34" s="54">
        <v>99.653999999999996</v>
      </c>
      <c r="AF34" s="131">
        <v>45894.625</v>
      </c>
      <c r="AG34" s="45">
        <f t="shared" si="28"/>
        <v>80.69</v>
      </c>
      <c r="AH34" s="46">
        <f t="shared" si="29"/>
        <v>74580.484773151271</v>
      </c>
      <c r="AI34" s="46">
        <f t="shared" si="30"/>
        <v>-82250</v>
      </c>
      <c r="AJ34" s="45">
        <f t="shared" si="31"/>
        <v>100.3828125</v>
      </c>
      <c r="AK34" s="46">
        <f t="shared" si="32"/>
        <v>113169.64285714287</v>
      </c>
      <c r="AL34" s="47">
        <f t="shared" si="33"/>
        <v>-3648.9290364583358</v>
      </c>
      <c r="AM34" s="45">
        <f t="shared" si="34"/>
        <v>109.91</v>
      </c>
      <c r="AN34" s="46">
        <f t="shared" si="35"/>
        <v>269507.08572479105</v>
      </c>
      <c r="AO34" s="47">
        <f t="shared" si="36"/>
        <v>-84600</v>
      </c>
      <c r="AP34" s="45">
        <f t="shared" si="37"/>
        <v>100.3828125</v>
      </c>
      <c r="AQ34" s="46">
        <f t="shared" si="38"/>
        <v>98660.71428571429</v>
      </c>
      <c r="AR34" s="47">
        <f t="shared" si="39"/>
        <v>-3181.1176215277737</v>
      </c>
      <c r="AS34" s="45">
        <f t="shared" si="40"/>
        <v>102.9375</v>
      </c>
      <c r="AT34" s="46">
        <f t="shared" si="41"/>
        <v>61941.96428571429</v>
      </c>
      <c r="AU34" s="47">
        <f t="shared" si="42"/>
        <v>1331.8880208333358</v>
      </c>
      <c r="AV34" s="45">
        <f t="shared" si="43"/>
        <v>95.71875</v>
      </c>
      <c r="AW34" s="46">
        <f t="shared" si="44"/>
        <v>70312.5</v>
      </c>
      <c r="AX34" s="47">
        <f t="shared" si="45"/>
        <v>3591.8932291666679</v>
      </c>
      <c r="AY34" s="82">
        <f t="shared" si="46"/>
        <v>-69439.472572423474</v>
      </c>
      <c r="AZ34" s="82"/>
      <c r="BA34" s="82"/>
      <c r="BB34" s="82">
        <f>$AO$4*SUM($AZ$14:AZ34)-$AP$4*SUM($BA$14:BA34)</f>
        <v>20692.591163142919</v>
      </c>
      <c r="BC34" s="82">
        <f t="shared" si="19"/>
        <v>-90132.063735566393</v>
      </c>
      <c r="BE34" s="75">
        <v>45797.625</v>
      </c>
      <c r="BF34" s="54">
        <v>79.34</v>
      </c>
      <c r="BG34" s="75">
        <v>45909.625</v>
      </c>
      <c r="BH34" s="54">
        <v>101.203125</v>
      </c>
      <c r="BI34" s="75">
        <v>45797.625</v>
      </c>
      <c r="BJ34" s="54">
        <v>106.86</v>
      </c>
      <c r="BK34" s="75">
        <v>45909.625</v>
      </c>
      <c r="BL34" s="54">
        <v>101.203125</v>
      </c>
      <c r="BM34" s="75">
        <v>45797.625</v>
      </c>
      <c r="BN34" s="54">
        <v>101.15625</v>
      </c>
      <c r="BO34" s="75">
        <v>45797.625</v>
      </c>
      <c r="BP34" s="54">
        <v>94.578125</v>
      </c>
      <c r="BR34" s="131">
        <f t="shared" si="20"/>
        <v>45894.625</v>
      </c>
      <c r="BS34" s="45">
        <f t="shared" si="21"/>
        <v>107.43819999999999</v>
      </c>
      <c r="BT34" s="46">
        <f t="shared" si="47"/>
        <v>-34975.000000002867</v>
      </c>
      <c r="BU34" s="46">
        <f t="shared" si="48"/>
        <v>97222.222222222234</v>
      </c>
      <c r="BV34" s="45">
        <f t="shared" si="49"/>
        <v>49.68</v>
      </c>
      <c r="BW34" s="46">
        <f t="shared" si="50"/>
        <v>30037.499999999942</v>
      </c>
      <c r="BX34" s="47">
        <f t="shared" si="51"/>
        <v>97222.222222222219</v>
      </c>
      <c r="BY34" s="45">
        <f t="shared" si="52"/>
        <v>-65012.500000002794</v>
      </c>
      <c r="CA34" s="129">
        <v>45799.625</v>
      </c>
      <c r="CB34" s="54">
        <v>105.6853</v>
      </c>
      <c r="CC34" s="129">
        <v>45799.625</v>
      </c>
      <c r="CD34" s="54">
        <v>57.960999999999999</v>
      </c>
      <c r="CF34" s="131">
        <v>45894.625</v>
      </c>
      <c r="CG34" s="45">
        <f t="shared" si="22"/>
        <v>261.90800000000002</v>
      </c>
      <c r="CH34" s="46">
        <f t="shared" si="53"/>
        <v>48667.079999999965</v>
      </c>
      <c r="CI34" s="46">
        <f t="shared" si="54"/>
        <v>81666.666666666672</v>
      </c>
      <c r="CJ34" s="45">
        <f t="shared" si="55"/>
        <v>51.709000000000003</v>
      </c>
      <c r="CK34" s="46">
        <f t="shared" si="56"/>
        <v>46904.129999999721</v>
      </c>
      <c r="CL34" s="47">
        <f t="shared" si="57"/>
        <v>73500</v>
      </c>
      <c r="CM34" s="45">
        <f t="shared" si="58"/>
        <v>9929.6166666669305</v>
      </c>
      <c r="CO34" s="129">
        <v>45800.625</v>
      </c>
      <c r="CP34" s="54">
        <v>312.83199999999999</v>
      </c>
      <c r="CQ34" s="129">
        <v>45800.625</v>
      </c>
      <c r="CR34" s="54">
        <v>60.347000000000001</v>
      </c>
      <c r="CS34" s="54"/>
      <c r="CT34" s="54"/>
      <c r="CU34" s="54"/>
      <c r="CV34" s="54"/>
      <c r="CW34" s="54"/>
      <c r="CX34" s="54"/>
      <c r="CY34" s="54"/>
      <c r="DF34" s="142">
        <v>45895.625</v>
      </c>
      <c r="DG34" s="58">
        <f t="shared" si="4"/>
        <v>85173.478757272125</v>
      </c>
      <c r="DH34" s="58">
        <f t="shared" si="5"/>
        <v>-52386.564077559517</v>
      </c>
      <c r="DI34" s="58">
        <f t="shared" si="6"/>
        <v>-51393.750000002765</v>
      </c>
      <c r="DJ34" s="58">
        <f t="shared" si="7"/>
        <v>13932.823333333639</v>
      </c>
      <c r="DK34" s="58">
        <f t="shared" si="23"/>
        <v>25434.806757593527</v>
      </c>
      <c r="DL34" s="58">
        <f t="shared" si="23"/>
        <v>37745.499658006876</v>
      </c>
      <c r="DM34" s="58">
        <f t="shared" si="23"/>
        <v>13618.750000000029</v>
      </c>
      <c r="DN34" s="58">
        <f t="shared" si="23"/>
        <v>4003.2066666667088</v>
      </c>
      <c r="DO34" s="58">
        <f t="shared" si="8"/>
        <v>25434.806757593527</v>
      </c>
      <c r="DP34" s="58">
        <f t="shared" si="8"/>
        <v>37745.499658006876</v>
      </c>
      <c r="DQ34" s="58">
        <f t="shared" si="8"/>
        <v>13618.750000000029</v>
      </c>
      <c r="DR34" s="58">
        <f t="shared" si="8"/>
        <v>4003.2066666667088</v>
      </c>
      <c r="DS34" s="58">
        <f>SUM(DO$15:DO34)</f>
        <v>76779.150836735731</v>
      </c>
      <c r="DT34" s="58">
        <f>SUM(DP$15:DP34)</f>
        <v>-44776.943656743104</v>
      </c>
      <c r="DU34" s="58">
        <f>SUM(DQ$15:DQ34)</f>
        <v>-36712.500000000073</v>
      </c>
      <c r="DV34" s="58">
        <f>SUM(DR$15:DR34)</f>
        <v>-3580.9433333332272</v>
      </c>
      <c r="DZ34" s="133">
        <v>45895.625</v>
      </c>
      <c r="EA34" s="152">
        <v>-36712.500000000073</v>
      </c>
      <c r="EB34" s="152">
        <v>-44776.943656743104</v>
      </c>
      <c r="EC34" s="152">
        <v>-4263.0277777776355</v>
      </c>
      <c r="ED34" s="152">
        <v>91403.750996113988</v>
      </c>
    </row>
    <row r="35" spans="1:134" x14ac:dyDescent="0.3">
      <c r="A35" s="139">
        <v>45875.625</v>
      </c>
      <c r="B35" s="76">
        <f t="shared" si="24"/>
        <v>94.47</v>
      </c>
      <c r="C35" s="31">
        <f t="shared" si="9"/>
        <v>127476.03833865817</v>
      </c>
      <c r="D35" s="32">
        <f t="shared" si="10"/>
        <v>-71557.5</v>
      </c>
      <c r="E35" s="76">
        <f t="shared" si="25"/>
        <v>101.197</v>
      </c>
      <c r="F35" s="31">
        <f t="shared" si="11"/>
        <v>-7391.9999999994843</v>
      </c>
      <c r="G35" s="32">
        <f t="shared" si="12"/>
        <v>-25476.422860000002</v>
      </c>
      <c r="H35" s="76">
        <f t="shared" si="26"/>
        <v>120.41</v>
      </c>
      <c r="I35" s="31">
        <f t="shared" si="13"/>
        <v>-441499.58982773189</v>
      </c>
      <c r="J35" s="32">
        <f t="shared" si="14"/>
        <v>-123078.9</v>
      </c>
      <c r="K35" s="76">
        <f t="shared" si="27"/>
        <v>99.869</v>
      </c>
      <c r="L35" s="31">
        <f t="shared" si="15"/>
        <v>37539.599999998158</v>
      </c>
      <c r="M35" s="32">
        <f t="shared" si="16"/>
        <v>-56037.316346666667</v>
      </c>
      <c r="N35" s="82">
        <f t="shared" si="17"/>
        <v>634867.73467972106</v>
      </c>
      <c r="O35" s="82"/>
      <c r="P35" s="82"/>
      <c r="Q35" s="82">
        <f>$G$5*SUM($O$14:O35)-$H$5*SUM($P$14:P35)</f>
        <v>-576200.5368</v>
      </c>
      <c r="R35" s="82">
        <f t="shared" si="18"/>
        <v>58667.197879721061</v>
      </c>
      <c r="S35" s="143"/>
      <c r="U35" s="75">
        <v>45804.625</v>
      </c>
      <c r="V35" s="54">
        <v>93.11</v>
      </c>
      <c r="W35" s="75">
        <v>45800.625</v>
      </c>
      <c r="X35" s="54">
        <v>101.581</v>
      </c>
      <c r="Y35" s="125">
        <v>45805.625</v>
      </c>
      <c r="Z35" s="54">
        <v>120.98</v>
      </c>
      <c r="AA35" s="75">
        <v>45890.625</v>
      </c>
      <c r="AB35" s="54">
        <v>99.468999999999994</v>
      </c>
      <c r="AF35" s="131">
        <v>45895.625</v>
      </c>
      <c r="AG35" s="45">
        <f t="shared" si="28"/>
        <v>80.87</v>
      </c>
      <c r="AH35" s="46">
        <f t="shared" si="29"/>
        <v>130515.84835301332</v>
      </c>
      <c r="AI35" s="46">
        <f t="shared" si="30"/>
        <v>-85187.5</v>
      </c>
      <c r="AJ35" s="45">
        <f t="shared" si="31"/>
        <v>100.6015625</v>
      </c>
      <c r="AK35" s="46">
        <f t="shared" si="32"/>
        <v>143638.39285714287</v>
      </c>
      <c r="AL35" s="47">
        <f t="shared" si="33"/>
        <v>-3779.2479306175519</v>
      </c>
      <c r="AM35" s="45">
        <f t="shared" si="34"/>
        <v>109.99</v>
      </c>
      <c r="AN35" s="46">
        <f t="shared" si="35"/>
        <v>288419.86367039371</v>
      </c>
      <c r="AO35" s="47">
        <f t="shared" si="36"/>
        <v>-87621.42857142858</v>
      </c>
      <c r="AP35" s="45">
        <f t="shared" si="37"/>
        <v>100.6015625</v>
      </c>
      <c r="AQ35" s="46">
        <f t="shared" si="38"/>
        <v>125223.2142857143</v>
      </c>
      <c r="AR35" s="47">
        <f t="shared" si="39"/>
        <v>-3294.7289651537649</v>
      </c>
      <c r="AS35" s="45">
        <f t="shared" si="40"/>
        <v>103.171875</v>
      </c>
      <c r="AT35" s="46">
        <f t="shared" si="41"/>
        <v>74497.767857142855</v>
      </c>
      <c r="AU35" s="47">
        <f t="shared" si="42"/>
        <v>1379.4554501488128</v>
      </c>
      <c r="AV35" s="45">
        <f t="shared" si="43"/>
        <v>95.609375</v>
      </c>
      <c r="AW35" s="46">
        <f t="shared" si="44"/>
        <v>62109.375</v>
      </c>
      <c r="AX35" s="47">
        <f t="shared" si="45"/>
        <v>3720.1751302083358</v>
      </c>
      <c r="AY35" s="82">
        <f t="shared" si="46"/>
        <v>-31693.972914416598</v>
      </c>
      <c r="AZ35" s="82"/>
      <c r="BA35" s="82"/>
      <c r="BB35" s="82">
        <f>$AO$4*SUM($AZ$14:AZ35)-$AP$4*SUM($BA$14:BA35)</f>
        <v>20692.591163142919</v>
      </c>
      <c r="BC35" s="82">
        <f t="shared" si="19"/>
        <v>-52386.564077559517</v>
      </c>
      <c r="BE35" s="75">
        <v>45798.625</v>
      </c>
      <c r="BF35" s="54">
        <v>78.81</v>
      </c>
      <c r="BG35" s="75">
        <v>45910.625</v>
      </c>
      <c r="BH35" s="54">
        <v>101.2734375</v>
      </c>
      <c r="BI35" s="75">
        <v>45798.625</v>
      </c>
      <c r="BJ35" s="54">
        <v>105.66</v>
      </c>
      <c r="BK35" s="75">
        <v>45910.625</v>
      </c>
      <c r="BL35" s="54">
        <v>101.2734375</v>
      </c>
      <c r="BM35" s="75">
        <v>45798.625</v>
      </c>
      <c r="BN35" s="54">
        <v>100.375</v>
      </c>
      <c r="BO35" s="75">
        <v>45798.625</v>
      </c>
      <c r="BP35" s="54">
        <v>92.96875</v>
      </c>
      <c r="BR35" s="131">
        <f t="shared" si="20"/>
        <v>45895.625</v>
      </c>
      <c r="BS35" s="45">
        <f t="shared" si="21"/>
        <v>107.50369999999999</v>
      </c>
      <c r="BT35" s="46">
        <f t="shared" si="47"/>
        <v>-18600.000000002838</v>
      </c>
      <c r="BU35" s="46">
        <f t="shared" si="48"/>
        <v>100694.44444444445</v>
      </c>
      <c r="BV35" s="45">
        <f t="shared" si="49"/>
        <v>49.631</v>
      </c>
      <c r="BW35" s="46">
        <f t="shared" si="50"/>
        <v>32793.749999999913</v>
      </c>
      <c r="BX35" s="47">
        <f t="shared" si="51"/>
        <v>100694.44444444447</v>
      </c>
      <c r="BY35" s="45">
        <f t="shared" si="52"/>
        <v>-51393.750000002765</v>
      </c>
      <c r="CA35" s="129">
        <v>45804.625</v>
      </c>
      <c r="CB35" s="54">
        <v>106.0853</v>
      </c>
      <c r="CC35" s="129">
        <v>45804.625</v>
      </c>
      <c r="CD35" s="54">
        <v>55.93</v>
      </c>
      <c r="CF35" s="131">
        <v>45895.625</v>
      </c>
      <c r="CG35" s="45">
        <f t="shared" si="22"/>
        <v>267.59399999999999</v>
      </c>
      <c r="CH35" s="46">
        <f t="shared" si="53"/>
        <v>-3871.5599999998412</v>
      </c>
      <c r="CI35" s="46">
        <f t="shared" si="54"/>
        <v>84583.333333333343</v>
      </c>
      <c r="CJ35" s="45">
        <f t="shared" si="55"/>
        <v>53.003</v>
      </c>
      <c r="CK35" s="46">
        <f t="shared" si="56"/>
        <v>-9346.0500000001484</v>
      </c>
      <c r="CL35" s="47">
        <f t="shared" si="57"/>
        <v>76125.000000000015</v>
      </c>
      <c r="CM35" s="45">
        <f t="shared" si="58"/>
        <v>13932.823333333639</v>
      </c>
      <c r="CO35" s="129">
        <v>45804.625</v>
      </c>
      <c r="CP35" s="54">
        <v>300.76</v>
      </c>
      <c r="CQ35" s="129">
        <v>45804.625</v>
      </c>
      <c r="CR35" s="54">
        <v>57.875</v>
      </c>
      <c r="CS35" s="54"/>
      <c r="CT35" s="54"/>
      <c r="CU35" s="54"/>
      <c r="CV35" s="54"/>
      <c r="CW35" s="54"/>
      <c r="CX35" s="54"/>
      <c r="CY35" s="54"/>
      <c r="DF35" s="142">
        <v>45896.625</v>
      </c>
      <c r="DG35" s="58">
        <f t="shared" si="4"/>
        <v>118314.18966822419</v>
      </c>
      <c r="DH35" s="58">
        <f t="shared" si="5"/>
        <v>-34760.238823513122</v>
      </c>
      <c r="DI35" s="58">
        <f t="shared" si="6"/>
        <v>-54181.25000000227</v>
      </c>
      <c r="DJ35" s="58">
        <f t="shared" si="7"/>
        <v>29940.47000000051</v>
      </c>
      <c r="DK35" s="58">
        <f t="shared" si="23"/>
        <v>33140.710910952068</v>
      </c>
      <c r="DL35" s="58">
        <f t="shared" si="23"/>
        <v>17626.325254046395</v>
      </c>
      <c r="DM35" s="58">
        <f t="shared" si="23"/>
        <v>-2787.4999999995052</v>
      </c>
      <c r="DN35" s="58">
        <f t="shared" si="23"/>
        <v>16007.646666666871</v>
      </c>
      <c r="DO35" s="58">
        <f t="shared" si="8"/>
        <v>33140.710910952068</v>
      </c>
      <c r="DP35" s="58">
        <f t="shared" si="8"/>
        <v>17626.325254046395</v>
      </c>
      <c r="DQ35" s="58">
        <f t="shared" si="8"/>
        <v>-2787.4999999995052</v>
      </c>
      <c r="DR35" s="58">
        <f t="shared" si="8"/>
        <v>16007.646666666871</v>
      </c>
      <c r="DS35" s="58">
        <f>SUM(DO$15:DO35)</f>
        <v>109919.8617476878</v>
      </c>
      <c r="DT35" s="58">
        <f>SUM(DP$15:DP35)</f>
        <v>-27150.618402696709</v>
      </c>
      <c r="DU35" s="58">
        <f>SUM(DQ$15:DQ35)</f>
        <v>-39499.999999999578</v>
      </c>
      <c r="DV35" s="58">
        <f>SUM(DR$15:DR35)</f>
        <v>12426.703333333644</v>
      </c>
      <c r="DZ35" s="133">
        <v>45896.625</v>
      </c>
      <c r="EA35" s="152">
        <v>-39499.999999999578</v>
      </c>
      <c r="EB35" s="152">
        <v>-27150.618402696709</v>
      </c>
      <c r="EC35" s="152">
        <v>14793.694444444816</v>
      </c>
      <c r="ED35" s="152">
        <v>130856.97827105701</v>
      </c>
    </row>
    <row r="36" spans="1:134" x14ac:dyDescent="0.3">
      <c r="A36" s="139">
        <v>45876.625</v>
      </c>
      <c r="B36" s="76">
        <f t="shared" si="24"/>
        <v>94.64</v>
      </c>
      <c r="C36" s="31">
        <f t="shared" si="9"/>
        <v>165495.20766773206</v>
      </c>
      <c r="D36" s="32">
        <f t="shared" si="10"/>
        <v>-74024.999999999985</v>
      </c>
      <c r="E36" s="76">
        <f t="shared" si="25"/>
        <v>101.16500000000001</v>
      </c>
      <c r="F36" s="31">
        <f t="shared" si="11"/>
        <v>-12767.999999998892</v>
      </c>
      <c r="G36" s="32">
        <f t="shared" si="12"/>
        <v>-26354.920199999993</v>
      </c>
      <c r="H36" s="76">
        <f t="shared" si="26"/>
        <v>120.52</v>
      </c>
      <c r="I36" s="31">
        <f t="shared" si="13"/>
        <v>-408905.66037736239</v>
      </c>
      <c r="J36" s="32">
        <f t="shared" si="14"/>
        <v>-127322.99999999999</v>
      </c>
      <c r="K36" s="76">
        <f t="shared" si="27"/>
        <v>99.838999999999999</v>
      </c>
      <c r="L36" s="31">
        <f t="shared" si="15"/>
        <v>27207.599999997768</v>
      </c>
      <c r="M36" s="32">
        <f t="shared" si="16"/>
        <v>-57969.637600000009</v>
      </c>
      <c r="N36" s="82">
        <f t="shared" si="17"/>
        <v>636059.75064509106</v>
      </c>
      <c r="O36" s="82"/>
      <c r="P36" s="82"/>
      <c r="Q36" s="82">
        <f>$G$5*SUM($O$14:O36)-$H$5*SUM($P$14:P36)</f>
        <v>-576200.5368</v>
      </c>
      <c r="R36" s="82">
        <f t="shared" si="18"/>
        <v>59859.213845091057</v>
      </c>
      <c r="S36" s="143"/>
      <c r="U36" s="75">
        <v>45805.625</v>
      </c>
      <c r="V36" s="54">
        <v>93.01</v>
      </c>
      <c r="W36" s="75">
        <v>45803.625</v>
      </c>
      <c r="X36" s="54">
        <v>101.53100000000001</v>
      </c>
      <c r="Y36" s="125">
        <v>45806.625</v>
      </c>
      <c r="Z36" s="54">
        <v>121.25</v>
      </c>
      <c r="AA36" s="75">
        <v>45891.625</v>
      </c>
      <c r="AB36" s="54">
        <v>99.596000000000004</v>
      </c>
      <c r="AF36" s="131">
        <v>45896.625</v>
      </c>
      <c r="AG36" s="45">
        <f t="shared" si="28"/>
        <v>80.97</v>
      </c>
      <c r="AH36" s="46">
        <f t="shared" si="29"/>
        <v>161591.05034182497</v>
      </c>
      <c r="AI36" s="46">
        <f t="shared" si="30"/>
        <v>-88124.999999999985</v>
      </c>
      <c r="AJ36" s="45">
        <f t="shared" si="31"/>
        <v>100.765625</v>
      </c>
      <c r="AK36" s="46">
        <f t="shared" si="32"/>
        <v>166489.95535714287</v>
      </c>
      <c r="AL36" s="47">
        <f t="shared" si="33"/>
        <v>-3909.5668247767826</v>
      </c>
      <c r="AM36" s="45">
        <f t="shared" si="34"/>
        <v>110.03</v>
      </c>
      <c r="AN36" s="46">
        <f t="shared" si="35"/>
        <v>297876.25264319219</v>
      </c>
      <c r="AO36" s="47">
        <f t="shared" si="36"/>
        <v>-90642.85714285713</v>
      </c>
      <c r="AP36" s="45">
        <f t="shared" si="37"/>
        <v>100.765625</v>
      </c>
      <c r="AQ36" s="46">
        <f t="shared" si="38"/>
        <v>145145.08928571429</v>
      </c>
      <c r="AR36" s="47">
        <f t="shared" si="39"/>
        <v>-3408.340308779756</v>
      </c>
      <c r="AS36" s="45">
        <f t="shared" si="40"/>
        <v>103.34375</v>
      </c>
      <c r="AT36" s="46">
        <f t="shared" si="41"/>
        <v>83705.357142857145</v>
      </c>
      <c r="AU36" s="47">
        <f t="shared" si="42"/>
        <v>1427.0228794642862</v>
      </c>
      <c r="AV36" s="45">
        <f t="shared" si="43"/>
        <v>95.46875</v>
      </c>
      <c r="AW36" s="46">
        <f t="shared" si="44"/>
        <v>51562.5</v>
      </c>
      <c r="AX36" s="47">
        <f t="shared" si="45"/>
        <v>3848.45703125</v>
      </c>
      <c r="AY36" s="82">
        <f t="shared" si="46"/>
        <v>-14067.647660370203</v>
      </c>
      <c r="AZ36" s="82"/>
      <c r="BA36" s="82"/>
      <c r="BB36" s="82">
        <f>$AO$4*SUM($AZ$14:AZ36)-$AP$4*SUM($BA$14:BA36)</f>
        <v>20692.591163142919</v>
      </c>
      <c r="BC36" s="82">
        <f t="shared" si="19"/>
        <v>-34760.238823513122</v>
      </c>
      <c r="BE36" s="75">
        <v>45799.625</v>
      </c>
      <c r="BF36" s="54">
        <v>78.97</v>
      </c>
      <c r="BG36" s="75">
        <v>45911.625</v>
      </c>
      <c r="BH36" s="54">
        <v>101.2734375</v>
      </c>
      <c r="BI36" s="75">
        <v>45799.625</v>
      </c>
      <c r="BJ36" s="54">
        <v>106.2</v>
      </c>
      <c r="BK36" s="75">
        <v>45911.625</v>
      </c>
      <c r="BL36" s="54">
        <v>101.2734375</v>
      </c>
      <c r="BM36" s="75">
        <v>45799.625</v>
      </c>
      <c r="BN36" s="54">
        <v>100.75</v>
      </c>
      <c r="BO36" s="75">
        <v>45799.625</v>
      </c>
      <c r="BP36" s="54">
        <v>93.40625</v>
      </c>
      <c r="BR36" s="131">
        <f t="shared" si="20"/>
        <v>45896.625</v>
      </c>
      <c r="BS36" s="45">
        <f t="shared" si="21"/>
        <v>107.3715</v>
      </c>
      <c r="BT36" s="46">
        <f t="shared" si="47"/>
        <v>-51650.00000000219</v>
      </c>
      <c r="BU36" s="46">
        <f t="shared" si="48"/>
        <v>104166.66666666667</v>
      </c>
      <c r="BV36" s="45">
        <f t="shared" si="49"/>
        <v>50.168999999999997</v>
      </c>
      <c r="BW36" s="46">
        <f t="shared" si="50"/>
        <v>2531.250000000096</v>
      </c>
      <c r="BX36" s="47">
        <f t="shared" si="51"/>
        <v>104166.66666666666</v>
      </c>
      <c r="BY36" s="45">
        <f t="shared" si="52"/>
        <v>-54181.25000000227</v>
      </c>
      <c r="CA36" s="129">
        <v>45805.625</v>
      </c>
      <c r="CB36" s="54">
        <v>106.0368</v>
      </c>
      <c r="CC36" s="129">
        <v>45805.625</v>
      </c>
      <c r="CD36" s="54">
        <v>56.25</v>
      </c>
      <c r="CF36" s="131">
        <v>45896.625</v>
      </c>
      <c r="CG36" s="45">
        <f t="shared" si="22"/>
        <v>274.23899999999998</v>
      </c>
      <c r="CH36" s="46">
        <f t="shared" si="53"/>
        <v>-65271.35999999968</v>
      </c>
      <c r="CI36" s="46">
        <f t="shared" si="54"/>
        <v>87500</v>
      </c>
      <c r="CJ36" s="45">
        <f t="shared" si="55"/>
        <v>54.777000000000001</v>
      </c>
      <c r="CK36" s="46">
        <f t="shared" si="56"/>
        <v>-86461.830000000191</v>
      </c>
      <c r="CL36" s="47">
        <f t="shared" si="57"/>
        <v>78750</v>
      </c>
      <c r="CM36" s="45">
        <f t="shared" si="58"/>
        <v>29940.47000000051</v>
      </c>
      <c r="CO36" s="129">
        <v>45805.625</v>
      </c>
      <c r="CP36" s="54">
        <v>299.834</v>
      </c>
      <c r="CQ36" s="129">
        <v>45805.625</v>
      </c>
      <c r="CR36" s="54">
        <v>57.68</v>
      </c>
      <c r="CS36" s="54"/>
      <c r="CT36" s="54"/>
      <c r="CU36" s="54"/>
      <c r="CV36" s="54"/>
      <c r="CW36" s="54"/>
      <c r="CX36" s="54"/>
      <c r="CY36" s="54"/>
      <c r="DF36" s="142">
        <v>45897.625</v>
      </c>
      <c r="DG36" s="58">
        <f t="shared" si="4"/>
        <v>91989.905052010901</v>
      </c>
      <c r="DH36" s="58">
        <f t="shared" si="5"/>
        <v>-5295.7810672111409</v>
      </c>
      <c r="DI36" s="58">
        <f t="shared" si="6"/>
        <v>-53037.500000003376</v>
      </c>
      <c r="DJ36" s="58">
        <f t="shared" si="7"/>
        <v>117141.47666666674</v>
      </c>
      <c r="DK36" s="58">
        <f t="shared" si="23"/>
        <v>-26324.284616213292</v>
      </c>
      <c r="DL36" s="58">
        <f t="shared" si="23"/>
        <v>29464.457756301981</v>
      </c>
      <c r="DM36" s="58">
        <f t="shared" si="23"/>
        <v>1143.7499999988941</v>
      </c>
      <c r="DN36" s="58">
        <f t="shared" si="23"/>
        <v>87201.006666666231</v>
      </c>
      <c r="DO36" s="58">
        <f t="shared" si="8"/>
        <v>-26324.284616213292</v>
      </c>
      <c r="DP36" s="58">
        <f t="shared" si="8"/>
        <v>29464.457756301981</v>
      </c>
      <c r="DQ36" s="58">
        <f t="shared" si="8"/>
        <v>1143.7499999988941</v>
      </c>
      <c r="DR36" s="58">
        <f t="shared" si="8"/>
        <v>87201.006666666231</v>
      </c>
      <c r="DS36" s="58">
        <f>SUM(DO$15:DO36)</f>
        <v>83595.577131474507</v>
      </c>
      <c r="DT36" s="58">
        <f>SUM(DP$15:DP36)</f>
        <v>2313.8393536052718</v>
      </c>
      <c r="DU36" s="58">
        <f>SUM(DQ$15:DQ36)</f>
        <v>-38356.250000000684</v>
      </c>
      <c r="DV36" s="58">
        <f>SUM(DR$15:DR36)</f>
        <v>99627.709999999875</v>
      </c>
      <c r="DZ36" s="133">
        <v>45897.625</v>
      </c>
      <c r="EA36" s="152">
        <v>-38356.250000000684</v>
      </c>
      <c r="EB36" s="152">
        <v>2313.8393536052718</v>
      </c>
      <c r="EC36" s="152">
        <v>118604.41666666654</v>
      </c>
      <c r="ED36" s="152">
        <v>99518.544204136473</v>
      </c>
    </row>
    <row r="37" spans="1:134" x14ac:dyDescent="0.3">
      <c r="A37" s="139">
        <v>45877.625</v>
      </c>
      <c r="B37" s="76">
        <f t="shared" si="24"/>
        <v>94.67</v>
      </c>
      <c r="C37" s="31">
        <f t="shared" si="9"/>
        <v>172204.47284344796</v>
      </c>
      <c r="D37" s="32">
        <f t="shared" si="10"/>
        <v>-76492.5</v>
      </c>
      <c r="E37" s="76">
        <f t="shared" si="25"/>
        <v>101.039</v>
      </c>
      <c r="F37" s="31">
        <f t="shared" si="11"/>
        <v>-33935.999999999694</v>
      </c>
      <c r="G37" s="32">
        <f t="shared" si="12"/>
        <v>-27233.417539999995</v>
      </c>
      <c r="H37" s="76">
        <f t="shared" si="26"/>
        <v>120.29</v>
      </c>
      <c r="I37" s="31">
        <f t="shared" si="13"/>
        <v>-477056.60377358482</v>
      </c>
      <c r="J37" s="32">
        <f t="shared" si="14"/>
        <v>-131567.1</v>
      </c>
      <c r="K37" s="76">
        <f t="shared" si="27"/>
        <v>99.611000000000004</v>
      </c>
      <c r="L37" s="31">
        <f t="shared" si="15"/>
        <v>-51315.600000000311</v>
      </c>
      <c r="M37" s="32">
        <f t="shared" si="16"/>
        <v>-59901.958853333359</v>
      </c>
      <c r="N37" s="82">
        <f t="shared" si="17"/>
        <v>654287.53530369874</v>
      </c>
      <c r="O37" s="82"/>
      <c r="P37" s="82"/>
      <c r="Q37" s="82">
        <f>$G$5*SUM($O$14:O37)-$H$5*SUM($P$14:P37)</f>
        <v>-576200.5368</v>
      </c>
      <c r="R37" s="82">
        <f t="shared" si="18"/>
        <v>78086.998503698735</v>
      </c>
      <c r="S37" s="143"/>
      <c r="U37" s="75">
        <v>45806.625</v>
      </c>
      <c r="V37" s="54">
        <v>93.33</v>
      </c>
      <c r="W37" s="75">
        <v>45804.625</v>
      </c>
      <c r="X37" s="54">
        <v>101.529</v>
      </c>
      <c r="Y37" s="125">
        <v>45810.625</v>
      </c>
      <c r="Z37" s="54">
        <v>121.27</v>
      </c>
      <c r="AA37" s="75">
        <v>45894.625</v>
      </c>
      <c r="AB37" s="54">
        <v>99.394999999999996</v>
      </c>
      <c r="AF37" s="131">
        <v>45897.625</v>
      </c>
      <c r="AG37" s="45">
        <f t="shared" si="28"/>
        <v>81.010000000000005</v>
      </c>
      <c r="AH37" s="46">
        <f t="shared" si="29"/>
        <v>174021.13113735296</v>
      </c>
      <c r="AI37" s="46">
        <f t="shared" si="30"/>
        <v>-91062.5</v>
      </c>
      <c r="AJ37" s="45">
        <f t="shared" si="31"/>
        <v>100.8203125</v>
      </c>
      <c r="AK37" s="46">
        <f t="shared" si="32"/>
        <v>174107.14285714287</v>
      </c>
      <c r="AL37" s="47">
        <f t="shared" si="33"/>
        <v>-4039.885718936006</v>
      </c>
      <c r="AM37" s="45">
        <f t="shared" si="34"/>
        <v>110.2</v>
      </c>
      <c r="AN37" s="46">
        <f t="shared" si="35"/>
        <v>338065.90577759431</v>
      </c>
      <c r="AO37" s="47">
        <f t="shared" si="36"/>
        <v>-93664.285714285725</v>
      </c>
      <c r="AP37" s="45">
        <f t="shared" si="37"/>
        <v>100.8203125</v>
      </c>
      <c r="AQ37" s="46">
        <f t="shared" si="38"/>
        <v>151785.71428571429</v>
      </c>
      <c r="AR37" s="47">
        <f t="shared" si="39"/>
        <v>-3521.9516524057472</v>
      </c>
      <c r="AS37" s="45">
        <f t="shared" si="40"/>
        <v>103.59375</v>
      </c>
      <c r="AT37" s="46">
        <f t="shared" si="41"/>
        <v>97098.214285714275</v>
      </c>
      <c r="AU37" s="47">
        <f t="shared" si="42"/>
        <v>1474.5903087797597</v>
      </c>
      <c r="AV37" s="45">
        <f t="shared" si="43"/>
        <v>96.0625</v>
      </c>
      <c r="AW37" s="46">
        <f t="shared" si="44"/>
        <v>96093.75</v>
      </c>
      <c r="AX37" s="47">
        <f t="shared" si="45"/>
        <v>3976.7389322916679</v>
      </c>
      <c r="AY37" s="82">
        <f t="shared" si="46"/>
        <v>15396.810095931778</v>
      </c>
      <c r="AZ37" s="82"/>
      <c r="BA37" s="82"/>
      <c r="BB37" s="82">
        <f>$AO$4*SUM($AZ$14:AZ37)-$AP$4*SUM($BA$14:BA37)</f>
        <v>20692.591163142919</v>
      </c>
      <c r="BC37" s="82">
        <f t="shared" si="19"/>
        <v>-5295.7810672111409</v>
      </c>
      <c r="BE37" s="75">
        <v>45800.625</v>
      </c>
      <c r="BF37" s="54">
        <v>78.95</v>
      </c>
      <c r="BG37" s="75">
        <v>45912.625</v>
      </c>
      <c r="BH37" s="54">
        <v>101.1015625</v>
      </c>
      <c r="BI37" s="75">
        <v>45800.625</v>
      </c>
      <c r="BJ37" s="54">
        <v>106.28</v>
      </c>
      <c r="BK37" s="75">
        <v>45912.625</v>
      </c>
      <c r="BL37" s="54">
        <v>101.1015625</v>
      </c>
      <c r="BM37" s="75">
        <v>45804.625</v>
      </c>
      <c r="BN37" s="54">
        <v>101.5</v>
      </c>
      <c r="BO37" s="75">
        <v>45804.625</v>
      </c>
      <c r="BP37" s="54">
        <v>94.90625</v>
      </c>
      <c r="BR37" s="131">
        <f t="shared" si="20"/>
        <v>45897.625</v>
      </c>
      <c r="BS37" s="45">
        <f t="shared" si="21"/>
        <v>107.40689999999999</v>
      </c>
      <c r="BT37" s="46">
        <f t="shared" si="47"/>
        <v>-42800.000000003281</v>
      </c>
      <c r="BU37" s="46">
        <f t="shared" si="48"/>
        <v>107638.88888888891</v>
      </c>
      <c r="BV37" s="45">
        <f t="shared" si="49"/>
        <v>50.031999999999996</v>
      </c>
      <c r="BW37" s="46">
        <f t="shared" si="50"/>
        <v>10237.500000000122</v>
      </c>
      <c r="BX37" s="47">
        <f t="shared" si="51"/>
        <v>107638.88888888888</v>
      </c>
      <c r="BY37" s="45">
        <f t="shared" si="52"/>
        <v>-53037.500000003376</v>
      </c>
      <c r="CA37" s="129">
        <v>45806.625</v>
      </c>
      <c r="CB37" s="54">
        <v>106.0986</v>
      </c>
      <c r="CC37" s="129">
        <v>45806.625</v>
      </c>
      <c r="CD37" s="54">
        <v>56.234999999999999</v>
      </c>
      <c r="CF37" s="131">
        <v>45897.625</v>
      </c>
      <c r="CG37" s="45">
        <f t="shared" si="22"/>
        <v>264.39100000000002</v>
      </c>
      <c r="CH37" s="46">
        <f t="shared" si="53"/>
        <v>25724.159999999927</v>
      </c>
      <c r="CI37" s="46">
        <f t="shared" si="54"/>
        <v>90416.666666666672</v>
      </c>
      <c r="CJ37" s="45">
        <f t="shared" si="55"/>
        <v>54.683</v>
      </c>
      <c r="CK37" s="46">
        <f t="shared" si="56"/>
        <v>-82375.65000000014</v>
      </c>
      <c r="CL37" s="47">
        <f t="shared" si="57"/>
        <v>81375</v>
      </c>
      <c r="CM37" s="45">
        <f t="shared" si="58"/>
        <v>117141.47666666674</v>
      </c>
      <c r="CO37" s="129">
        <v>45806.625</v>
      </c>
      <c r="CP37" s="54">
        <v>297.57499999999999</v>
      </c>
      <c r="CQ37" s="129">
        <v>45806.625</v>
      </c>
      <c r="CR37" s="54">
        <v>57.243000000000002</v>
      </c>
      <c r="CS37" s="54"/>
      <c r="CT37" s="54"/>
      <c r="CU37" s="54"/>
      <c r="CV37" s="54"/>
      <c r="CW37" s="54"/>
      <c r="CX37" s="54"/>
      <c r="CY37" s="54"/>
      <c r="DF37" s="142">
        <v>45898.625</v>
      </c>
      <c r="DG37" s="58">
        <f t="shared" si="4"/>
        <v>103340.73462514067</v>
      </c>
      <c r="DH37" s="58">
        <f t="shared" si="5"/>
        <v>-23535.50059971217</v>
      </c>
      <c r="DI37" s="58">
        <f t="shared" si="6"/>
        <v>-53081.250000002627</v>
      </c>
      <c r="DJ37" s="58">
        <f t="shared" si="7"/>
        <v>119408.82333333394</v>
      </c>
      <c r="DK37" s="58">
        <f t="shared" si="23"/>
        <v>11350.829573129769</v>
      </c>
      <c r="DL37" s="58">
        <f t="shared" si="23"/>
        <v>-18239.719532501029</v>
      </c>
      <c r="DM37" s="58">
        <f t="shared" si="23"/>
        <v>-43.749999999250576</v>
      </c>
      <c r="DN37" s="58">
        <f t="shared" si="23"/>
        <v>2267.346666667203</v>
      </c>
      <c r="DO37" s="58">
        <f t="shared" si="8"/>
        <v>11350.829573129769</v>
      </c>
      <c r="DP37" s="58">
        <f t="shared" si="8"/>
        <v>-18239.719532501029</v>
      </c>
      <c r="DQ37" s="58">
        <f t="shared" si="8"/>
        <v>-43.749999999250576</v>
      </c>
      <c r="DR37" s="58">
        <f t="shared" si="8"/>
        <v>2267.346666667203</v>
      </c>
      <c r="DS37" s="58">
        <f>SUM(DO$15:DO37)</f>
        <v>94946.406704604276</v>
      </c>
      <c r="DT37" s="58">
        <f>SUM(DP$15:DP37)</f>
        <v>-15925.880178895757</v>
      </c>
      <c r="DU37" s="58">
        <f>SUM(DQ$15:DQ37)</f>
        <v>-38399.999999999935</v>
      </c>
      <c r="DV37" s="58">
        <f>SUM(DR$15:DR37)</f>
        <v>101895.05666666708</v>
      </c>
      <c r="DZ37" s="133">
        <v>45898.625</v>
      </c>
      <c r="EA37" s="152">
        <v>-38399.999999999935</v>
      </c>
      <c r="EB37" s="152">
        <v>-15925.880178895757</v>
      </c>
      <c r="EC37" s="152">
        <v>121303.63888888937</v>
      </c>
      <c r="ED37" s="152">
        <v>113031.43655310024</v>
      </c>
    </row>
    <row r="38" spans="1:134" x14ac:dyDescent="0.3">
      <c r="A38" s="139">
        <v>45880.625</v>
      </c>
      <c r="B38" s="76">
        <f t="shared" si="24"/>
        <v>94.66</v>
      </c>
      <c r="C38" s="31">
        <f t="shared" si="9"/>
        <v>169968.05111820778</v>
      </c>
      <c r="D38" s="32">
        <f t="shared" si="10"/>
        <v>-83894.999999999985</v>
      </c>
      <c r="E38" s="76">
        <f t="shared" si="25"/>
        <v>101.004</v>
      </c>
      <c r="F38" s="31">
        <f t="shared" si="11"/>
        <v>-39815.99999999912</v>
      </c>
      <c r="G38" s="32">
        <f t="shared" si="12"/>
        <v>-29868.909559999986</v>
      </c>
      <c r="H38" s="76">
        <f t="shared" si="26"/>
        <v>120.27</v>
      </c>
      <c r="I38" s="31">
        <f t="shared" si="13"/>
        <v>-482982.77276456362</v>
      </c>
      <c r="J38" s="32">
        <f t="shared" si="14"/>
        <v>-144299.39999999997</v>
      </c>
      <c r="K38" s="76">
        <f t="shared" si="27"/>
        <v>99.561999999999998</v>
      </c>
      <c r="L38" s="31">
        <f t="shared" si="15"/>
        <v>-68191.200000002587</v>
      </c>
      <c r="M38" s="32">
        <f t="shared" si="16"/>
        <v>-65698.922613333314</v>
      </c>
      <c r="N38" s="82">
        <f t="shared" si="17"/>
        <v>649150.0108294345</v>
      </c>
      <c r="O38" s="82"/>
      <c r="P38" s="82"/>
      <c r="Q38" s="82">
        <f>$G$5*SUM($O$14:O38)-$H$5*SUM($P$14:P38)</f>
        <v>-576200.5368</v>
      </c>
      <c r="R38" s="82">
        <f t="shared" si="18"/>
        <v>72949.474029434496</v>
      </c>
      <c r="S38" s="143"/>
      <c r="U38" s="75">
        <v>45807.625</v>
      </c>
      <c r="V38" s="54">
        <v>93.44</v>
      </c>
      <c r="W38" s="75">
        <v>45805.625</v>
      </c>
      <c r="X38" s="54">
        <v>101.491</v>
      </c>
      <c r="Y38" s="125">
        <v>45811.625</v>
      </c>
      <c r="Z38" s="54">
        <v>121.47</v>
      </c>
      <c r="AA38" s="75">
        <v>45895.625</v>
      </c>
      <c r="AB38" s="54">
        <v>99.643000000000001</v>
      </c>
      <c r="AF38" s="131">
        <v>45898.625</v>
      </c>
      <c r="AG38" s="45">
        <f t="shared" si="28"/>
        <v>80.86</v>
      </c>
      <c r="AH38" s="46">
        <f t="shared" si="29"/>
        <v>127408.32815413272</v>
      </c>
      <c r="AI38" s="46">
        <f t="shared" si="30"/>
        <v>-94000</v>
      </c>
      <c r="AJ38" s="45">
        <f t="shared" si="31"/>
        <v>100.8359375</v>
      </c>
      <c r="AK38" s="46">
        <f t="shared" si="32"/>
        <v>176283.48214285716</v>
      </c>
      <c r="AL38" s="47">
        <f t="shared" si="33"/>
        <v>-4170.2046130952367</v>
      </c>
      <c r="AM38" s="45">
        <f t="shared" si="34"/>
        <v>109.83</v>
      </c>
      <c r="AN38" s="46">
        <f t="shared" si="35"/>
        <v>250594.30777919406</v>
      </c>
      <c r="AO38" s="47">
        <f t="shared" si="36"/>
        <v>-96685.71428571429</v>
      </c>
      <c r="AP38" s="45">
        <f t="shared" si="37"/>
        <v>100.8359375</v>
      </c>
      <c r="AQ38" s="46">
        <f t="shared" si="38"/>
        <v>153683.03571428574</v>
      </c>
      <c r="AR38" s="47">
        <f t="shared" si="39"/>
        <v>-3635.5629960317383</v>
      </c>
      <c r="AS38" s="45">
        <f t="shared" si="40"/>
        <v>103.453125</v>
      </c>
      <c r="AT38" s="46">
        <f t="shared" si="41"/>
        <v>89564.732142857145</v>
      </c>
      <c r="AU38" s="47">
        <f t="shared" si="42"/>
        <v>1522.1577380952403</v>
      </c>
      <c r="AV38" s="45">
        <f t="shared" si="43"/>
        <v>95.375</v>
      </c>
      <c r="AW38" s="46">
        <f t="shared" si="44"/>
        <v>44531.25</v>
      </c>
      <c r="AX38" s="47">
        <f t="shared" si="45"/>
        <v>4105.0208333333358</v>
      </c>
      <c r="AY38" s="82">
        <f t="shared" si="46"/>
        <v>-2842.9094365692508</v>
      </c>
      <c r="AZ38" s="82"/>
      <c r="BA38" s="82"/>
      <c r="BB38" s="82">
        <f>$AO$4*SUM($AZ$14:AZ38)-$AP$4*SUM($BA$14:BA38)</f>
        <v>20692.591163142919</v>
      </c>
      <c r="BC38" s="82">
        <f t="shared" si="19"/>
        <v>-23535.50059971217</v>
      </c>
      <c r="BE38" s="75">
        <v>45804.625</v>
      </c>
      <c r="BF38" s="54">
        <v>79.430000000000007</v>
      </c>
      <c r="BG38" s="75">
        <v>45915.625</v>
      </c>
      <c r="BH38" s="54">
        <v>101.1953125</v>
      </c>
      <c r="BI38" s="75">
        <v>45804.625</v>
      </c>
      <c r="BJ38" s="54">
        <v>107.24</v>
      </c>
      <c r="BK38" s="75">
        <v>45915.625</v>
      </c>
      <c r="BL38" s="54">
        <v>101.1953125</v>
      </c>
      <c r="BM38" s="75">
        <v>45805.625</v>
      </c>
      <c r="BN38" s="54">
        <v>101.1875</v>
      </c>
      <c r="BO38" s="75">
        <v>45805.625</v>
      </c>
      <c r="BP38" s="54">
        <v>94.4375</v>
      </c>
      <c r="BR38" s="131">
        <f t="shared" si="20"/>
        <v>45898.625</v>
      </c>
      <c r="BS38" s="45">
        <f t="shared" si="21"/>
        <v>107.20489999999999</v>
      </c>
      <c r="BT38" s="46">
        <f t="shared" si="47"/>
        <v>-93300.000000002823</v>
      </c>
      <c r="BU38" s="46">
        <f t="shared" si="48"/>
        <v>111111.11111111112</v>
      </c>
      <c r="BV38" s="45">
        <f t="shared" si="49"/>
        <v>50.929000000000002</v>
      </c>
      <c r="BW38" s="46">
        <f t="shared" si="50"/>
        <v>-40218.750000000196</v>
      </c>
      <c r="BX38" s="47">
        <f t="shared" si="51"/>
        <v>111111.11111111112</v>
      </c>
      <c r="BY38" s="45">
        <f t="shared" si="52"/>
        <v>-53081.250000002627</v>
      </c>
      <c r="CA38" s="129">
        <v>45807.625</v>
      </c>
      <c r="CB38" s="54">
        <v>106.17010000000001</v>
      </c>
      <c r="CC38" s="129">
        <v>45807.625</v>
      </c>
      <c r="CD38" s="54">
        <v>55.927</v>
      </c>
      <c r="CF38" s="131">
        <v>45898.625</v>
      </c>
      <c r="CG38" s="45">
        <f t="shared" si="22"/>
        <v>267.71499999999997</v>
      </c>
      <c r="CH38" s="46">
        <f t="shared" si="53"/>
        <v>-4989.5999999996639</v>
      </c>
      <c r="CI38" s="46">
        <f t="shared" si="54"/>
        <v>93333.333333333343</v>
      </c>
      <c r="CJ38" s="45">
        <f t="shared" si="55"/>
        <v>55.435000000000002</v>
      </c>
      <c r="CK38" s="46">
        <f t="shared" si="56"/>
        <v>-115065.09000000024</v>
      </c>
      <c r="CL38" s="47">
        <f t="shared" si="57"/>
        <v>84000</v>
      </c>
      <c r="CM38" s="45">
        <f t="shared" si="58"/>
        <v>119408.82333333394</v>
      </c>
      <c r="CO38" s="129">
        <v>45807.625</v>
      </c>
      <c r="CP38" s="54">
        <v>300.33600000000001</v>
      </c>
      <c r="CQ38" s="129">
        <v>45807.625</v>
      </c>
      <c r="CR38" s="54">
        <v>57.917000000000002</v>
      </c>
      <c r="CS38" s="54"/>
      <c r="CT38" s="54"/>
      <c r="CU38" s="54"/>
      <c r="CV38" s="54"/>
      <c r="CW38" s="54"/>
      <c r="CX38" s="54"/>
      <c r="CY38" s="54"/>
      <c r="DF38" s="142">
        <v>45901.625</v>
      </c>
      <c r="DG38" s="58">
        <f t="shared" si="4"/>
        <v>101941.24341650866</v>
      </c>
      <c r="DH38" s="58">
        <f t="shared" si="5"/>
        <v>-31690.419242755361</v>
      </c>
      <c r="DI38" s="58">
        <f t="shared" si="6"/>
        <v>-53081.250000002619</v>
      </c>
      <c r="DJ38" s="58">
        <f t="shared" si="7"/>
        <v>119576.96333333373</v>
      </c>
      <c r="DK38" s="58">
        <f t="shared" si="23"/>
        <v>-1399.491208632011</v>
      </c>
      <c r="DL38" s="58">
        <f t="shared" si="23"/>
        <v>-8154.918643043191</v>
      </c>
      <c r="DM38" s="58">
        <f t="shared" si="23"/>
        <v>0</v>
      </c>
      <c r="DN38" s="58">
        <f t="shared" si="23"/>
        <v>168.13999999978114</v>
      </c>
      <c r="DO38" s="58">
        <f t="shared" si="8"/>
        <v>-1399.491208632011</v>
      </c>
      <c r="DP38" s="58">
        <f t="shared" si="8"/>
        <v>-8154.918643043191</v>
      </c>
      <c r="DQ38" s="58">
        <f t="shared" si="8"/>
        <v>0</v>
      </c>
      <c r="DR38" s="58">
        <f t="shared" si="8"/>
        <v>168.13999999978114</v>
      </c>
      <c r="DS38" s="58">
        <f>SUM(DO$15:DO38)</f>
        <v>93546.915495972265</v>
      </c>
      <c r="DT38" s="58">
        <f>SUM(DP$15:DP38)</f>
        <v>-24080.798821938948</v>
      </c>
      <c r="DU38" s="58">
        <f>SUM(DQ$15:DQ38)</f>
        <v>-38399.999999999935</v>
      </c>
      <c r="DV38" s="58">
        <f>SUM(DR$15:DR38)</f>
        <v>102063.19666666686</v>
      </c>
      <c r="DZ38" s="133">
        <v>45901.625</v>
      </c>
      <c r="EA38" s="152">
        <v>-38399.999999999935</v>
      </c>
      <c r="EB38" s="152">
        <v>-24080.798821938948</v>
      </c>
      <c r="EC38" s="152">
        <v>121503.80555555577</v>
      </c>
      <c r="ED38" s="152">
        <v>111365.37559044315</v>
      </c>
    </row>
    <row r="39" spans="1:134" x14ac:dyDescent="0.3">
      <c r="A39" s="139">
        <v>45881.625</v>
      </c>
      <c r="B39" s="76">
        <f t="shared" si="24"/>
        <v>94.75</v>
      </c>
      <c r="C39" s="31">
        <f t="shared" si="9"/>
        <v>190095.84664536483</v>
      </c>
      <c r="D39" s="32">
        <f t="shared" si="10"/>
        <v>-86362.5</v>
      </c>
      <c r="E39" s="76">
        <f t="shared" si="25"/>
        <v>100.947</v>
      </c>
      <c r="F39" s="31">
        <f t="shared" si="11"/>
        <v>-49391.999999999483</v>
      </c>
      <c r="G39" s="32">
        <f t="shared" si="12"/>
        <v>-30747.406900000002</v>
      </c>
      <c r="H39" s="76">
        <f t="shared" si="26"/>
        <v>120.15</v>
      </c>
      <c r="I39" s="31">
        <f t="shared" si="13"/>
        <v>-518539.78671041649</v>
      </c>
      <c r="J39" s="32">
        <f t="shared" si="14"/>
        <v>-148543.5</v>
      </c>
      <c r="K39" s="76">
        <f t="shared" si="27"/>
        <v>99.405000000000001</v>
      </c>
      <c r="L39" s="31">
        <f t="shared" si="15"/>
        <v>-122262.00000000137</v>
      </c>
      <c r="M39" s="32">
        <f t="shared" si="16"/>
        <v>-67631.243866666671</v>
      </c>
      <c r="N39" s="82">
        <f t="shared" si="17"/>
        <v>661062.79638911271</v>
      </c>
      <c r="O39" s="82"/>
      <c r="P39" s="82"/>
      <c r="Q39" s="82">
        <f>$G$5*SUM($O$14:O39)-$H$5*SUM($P$14:P39)</f>
        <v>-576200.5368</v>
      </c>
      <c r="R39" s="82">
        <f t="shared" si="18"/>
        <v>84862.259589112713</v>
      </c>
      <c r="S39" s="143"/>
      <c r="U39" s="75">
        <v>45810.625</v>
      </c>
      <c r="V39" s="54">
        <v>93.5</v>
      </c>
      <c r="W39" s="75">
        <v>45806.625</v>
      </c>
      <c r="X39" s="54">
        <v>101.58</v>
      </c>
      <c r="Y39" s="125">
        <v>45812.625</v>
      </c>
      <c r="Z39" s="54">
        <v>121.35</v>
      </c>
      <c r="AA39" s="75">
        <v>45896.625</v>
      </c>
      <c r="AB39" s="54">
        <v>99.801000000000002</v>
      </c>
      <c r="AF39" s="131">
        <v>45901.625</v>
      </c>
      <c r="AG39" s="45">
        <f t="shared" si="28"/>
        <v>80.86</v>
      </c>
      <c r="AH39" s="46">
        <f>(AG39/$AG$14-1)*$AG$5</f>
        <v>127408.32815413272</v>
      </c>
      <c r="AI39" s="46">
        <f>-1*(AF39-$AF$14)/360*$AG$5*$AG$7</f>
        <v>-102812.49999999999</v>
      </c>
      <c r="AJ39" s="45">
        <f t="shared" si="31"/>
        <v>100.8046875</v>
      </c>
      <c r="AK39" s="46">
        <f>(AJ39-$AJ$14)/100*$AH$5</f>
        <v>171930.80357142858</v>
      </c>
      <c r="AL39" s="47">
        <f>(AF39-$AF$14)/360*$AH$5*$AH$6-(AF39-$AF$14)/360*$AH$5*$AH$7*$AJ$14/100</f>
        <v>-4561.1612955729142</v>
      </c>
      <c r="AM39" s="45">
        <f t="shared" si="34"/>
        <v>109.83</v>
      </c>
      <c r="AN39" s="46">
        <f>(AM39/$AM$14-1)*$AI$5</f>
        <v>250594.30777919406</v>
      </c>
      <c r="AO39" s="47">
        <f>-1*(AF39-$AF$14)/360*$AI$5*$AI$7</f>
        <v>-105750.00000000001</v>
      </c>
      <c r="AP39" s="45">
        <f t="shared" si="37"/>
        <v>100.8046875</v>
      </c>
      <c r="AQ39" s="46">
        <f>(AP39-$AP$14)/100*$AJ$5</f>
        <v>149888.39285714287</v>
      </c>
      <c r="AR39" s="47">
        <f>(AF39-$AF$14)/360*$AJ$5*$AJ$6-(AF39-$AF$14)/360*$AJ$5*$AJ$7*$AP$14/100</f>
        <v>-3976.3970269097263</v>
      </c>
      <c r="AS39" s="45">
        <f t="shared" si="40"/>
        <v>103.40625</v>
      </c>
      <c r="AT39" s="46">
        <f>(AS39-$AS$14)/100*$AK$5</f>
        <v>87053.571428571435</v>
      </c>
      <c r="AU39" s="47">
        <f>(AF39-$AF$14)/360*$AK$5*$AK$6-(AF39-$AF$14)/360*$AK$5*$AK$7*$AS$14/100</f>
        <v>1664.8600260416679</v>
      </c>
      <c r="AV39" s="45">
        <f t="shared" si="43"/>
        <v>95.28125</v>
      </c>
      <c r="AW39" s="46">
        <f>(AV39-$AV$14)/100*$AL$5</f>
        <v>37500</v>
      </c>
      <c r="AX39" s="47">
        <f>(AF39-$AF$14)/360*$AL$5*$AL$6-(AF39-$AF$14)/360*$AL$5*$AL$7*$AV$14/100</f>
        <v>4489.8665364583321</v>
      </c>
      <c r="AY39" s="82">
        <f>AH39+AI39-AK39-AL39-AN39-AO39+AQ39+AR39+AT39+AU39+AW39+AX39</f>
        <v>-10997.828079612442</v>
      </c>
      <c r="AZ39" s="82"/>
      <c r="BA39" s="82"/>
      <c r="BB39" s="82">
        <f>$AO$4*SUM($AZ$14:AZ39)-$AP$4*SUM($BA$14:BA39)</f>
        <v>20692.591163142919</v>
      </c>
      <c r="BC39" s="82">
        <f t="shared" si="19"/>
        <v>-31690.419242755361</v>
      </c>
      <c r="BE39" s="75">
        <v>45805.625</v>
      </c>
      <c r="BF39" s="54">
        <v>79.38</v>
      </c>
      <c r="BG39" s="75">
        <v>45916.625</v>
      </c>
      <c r="BH39" s="54">
        <v>101.2578125</v>
      </c>
      <c r="BI39" s="75">
        <v>45805.625</v>
      </c>
      <c r="BJ39" s="54">
        <v>106.98</v>
      </c>
      <c r="BK39" s="75">
        <v>45916.625</v>
      </c>
      <c r="BL39" s="54">
        <v>101.2578125</v>
      </c>
      <c r="BM39" s="75">
        <v>45806.625</v>
      </c>
      <c r="BN39" s="54">
        <v>101.59375</v>
      </c>
      <c r="BO39" s="75">
        <v>45806.625</v>
      </c>
      <c r="BP39" s="54">
        <v>95.25</v>
      </c>
      <c r="BR39" s="131">
        <f t="shared" si="20"/>
        <v>45901.625</v>
      </c>
      <c r="BS39" s="45">
        <f t="shared" si="21"/>
        <v>107.20489999999999</v>
      </c>
      <c r="BT39" s="46">
        <f t="shared" si="47"/>
        <v>-93300.000000002823</v>
      </c>
      <c r="BU39" s="46">
        <f t="shared" si="48"/>
        <v>121527.77777777778</v>
      </c>
      <c r="BV39" s="45">
        <f t="shared" si="49"/>
        <v>50.929000000000002</v>
      </c>
      <c r="BW39" s="46">
        <f t="shared" si="50"/>
        <v>-40218.750000000196</v>
      </c>
      <c r="BX39" s="47">
        <f t="shared" si="51"/>
        <v>121527.77777777778</v>
      </c>
      <c r="BY39" s="45">
        <f t="shared" si="52"/>
        <v>-53081.250000002619</v>
      </c>
      <c r="CA39" s="129">
        <v>45810.625</v>
      </c>
      <c r="CB39" s="54">
        <v>106.27670000000001</v>
      </c>
      <c r="CC39" s="129">
        <v>45810.625</v>
      </c>
      <c r="CD39" s="54">
        <v>55.593000000000004</v>
      </c>
      <c r="CF39" s="131">
        <v>45901.625</v>
      </c>
      <c r="CG39" s="45">
        <f t="shared" si="22"/>
        <v>268.10199999999998</v>
      </c>
      <c r="CH39" s="46">
        <f t="shared" si="53"/>
        <v>-8565.4799999996685</v>
      </c>
      <c r="CI39" s="46">
        <f t="shared" si="54"/>
        <v>102083.33333333334</v>
      </c>
      <c r="CJ39" s="45">
        <f t="shared" si="55"/>
        <v>55.500999999999998</v>
      </c>
      <c r="CK39" s="46">
        <f t="shared" si="56"/>
        <v>-117934.11000000003</v>
      </c>
      <c r="CL39" s="47">
        <f t="shared" si="57"/>
        <v>91875</v>
      </c>
      <c r="CM39" s="45">
        <f t="shared" si="58"/>
        <v>119576.96333333373</v>
      </c>
      <c r="CO39" s="129">
        <v>45810.625</v>
      </c>
      <c r="CP39" s="54">
        <v>299.81799999999998</v>
      </c>
      <c r="CQ39" s="129">
        <v>45810.625</v>
      </c>
      <c r="CR39" s="54">
        <v>57.789000000000001</v>
      </c>
      <c r="CS39" s="54"/>
      <c r="CT39" s="54"/>
      <c r="CU39" s="54"/>
      <c r="CV39" s="54"/>
      <c r="CW39" s="54"/>
      <c r="CX39" s="54"/>
      <c r="CY39" s="54"/>
      <c r="DF39" s="142">
        <v>45902.625</v>
      </c>
      <c r="DG39" s="58">
        <f t="shared" si="4"/>
        <v>108374.72226849105</v>
      </c>
      <c r="DH39" s="58">
        <f t="shared" si="5"/>
        <v>-79923.289010284454</v>
      </c>
      <c r="DI39" s="58">
        <f t="shared" si="6"/>
        <v>-49256.250000000582</v>
      </c>
      <c r="DJ39" s="58">
        <f t="shared" si="7"/>
        <v>125080.41000000009</v>
      </c>
      <c r="DK39" s="58">
        <f t="shared" si="23"/>
        <v>6433.4788519823924</v>
      </c>
      <c r="DL39" s="58">
        <f t="shared" si="23"/>
        <v>-48232.86976752909</v>
      </c>
      <c r="DM39" s="58">
        <f t="shared" si="23"/>
        <v>3825.0000000020373</v>
      </c>
      <c r="DN39" s="58">
        <f t="shared" si="23"/>
        <v>5503.4466666663648</v>
      </c>
      <c r="DO39" s="58">
        <f t="shared" si="8"/>
        <v>6433.4788519823924</v>
      </c>
      <c r="DP39" s="58">
        <f t="shared" si="8"/>
        <v>-48232.86976752909</v>
      </c>
      <c r="DQ39" s="58">
        <f t="shared" si="8"/>
        <v>3825.0000000020373</v>
      </c>
      <c r="DR39" s="58">
        <f t="shared" si="8"/>
        <v>5503.4466666663648</v>
      </c>
      <c r="DS39" s="58">
        <f>SUM(DO$15:DO39)</f>
        <v>99980.394347954658</v>
      </c>
      <c r="DT39" s="58">
        <f>SUM(DP$15:DP39)</f>
        <v>-72313.668589468041</v>
      </c>
      <c r="DU39" s="58">
        <f>SUM(DQ$15:DQ39)</f>
        <v>-34574.999999997897</v>
      </c>
      <c r="DV39" s="58">
        <f>SUM(DR$15:DR39)</f>
        <v>107566.64333333322</v>
      </c>
      <c r="DZ39" s="133">
        <v>45902.625</v>
      </c>
      <c r="EA39" s="152">
        <v>-34574.999999997897</v>
      </c>
      <c r="EB39" s="152">
        <v>-72313.668589468041</v>
      </c>
      <c r="EC39" s="152">
        <v>128055.52777777766</v>
      </c>
      <c r="ED39" s="152">
        <v>119024.27898566017</v>
      </c>
    </row>
    <row r="40" spans="1:134" x14ac:dyDescent="0.3">
      <c r="A40" s="139">
        <v>45882.625</v>
      </c>
      <c r="B40" s="76">
        <f t="shared" si="24"/>
        <v>94.88</v>
      </c>
      <c r="C40" s="31">
        <f t="shared" si="9"/>
        <v>219169.32907347797</v>
      </c>
      <c r="D40" s="32">
        <f t="shared" si="10"/>
        <v>-88830</v>
      </c>
      <c r="E40" s="76">
        <f t="shared" si="25"/>
        <v>101.11799999999999</v>
      </c>
      <c r="F40" s="31">
        <f t="shared" si="11"/>
        <v>-20664.000000000782</v>
      </c>
      <c r="G40" s="32">
        <f t="shared" si="12"/>
        <v>-31625.904239999996</v>
      </c>
      <c r="H40" s="76">
        <f t="shared" si="26"/>
        <v>120.52</v>
      </c>
      <c r="I40" s="31">
        <f t="shared" si="13"/>
        <v>-408905.66037736239</v>
      </c>
      <c r="J40" s="32">
        <f t="shared" si="14"/>
        <v>-152787.6</v>
      </c>
      <c r="K40" s="76">
        <f t="shared" si="27"/>
        <v>99.745000000000005</v>
      </c>
      <c r="L40" s="31">
        <f t="shared" si="15"/>
        <v>-5166.0000000001955</v>
      </c>
      <c r="M40" s="32">
        <f t="shared" si="16"/>
        <v>-69563.565120000014</v>
      </c>
      <c r="N40" s="82">
        <f t="shared" si="17"/>
        <v>669592.92857084086</v>
      </c>
      <c r="O40" s="82"/>
      <c r="P40" s="82"/>
      <c r="Q40" s="82">
        <f>$G$5*SUM($O$14:O40)-$H$5*SUM($P$14:P40)</f>
        <v>-576200.5368</v>
      </c>
      <c r="R40" s="82">
        <f t="shared" si="18"/>
        <v>93392.391770840855</v>
      </c>
      <c r="S40" s="143"/>
      <c r="U40" s="75">
        <v>45811.625</v>
      </c>
      <c r="V40" s="54">
        <v>93.62</v>
      </c>
      <c r="W40" s="75">
        <v>45807.625</v>
      </c>
      <c r="X40" s="54">
        <v>101.56</v>
      </c>
      <c r="Y40" s="125">
        <v>45813.625</v>
      </c>
      <c r="Z40" s="54">
        <v>121.02</v>
      </c>
      <c r="AA40" s="75">
        <v>45897.625</v>
      </c>
      <c r="AB40" s="54">
        <v>99.775999999999996</v>
      </c>
      <c r="AF40" s="131">
        <v>45902.625</v>
      </c>
      <c r="AG40" s="45">
        <f t="shared" si="28"/>
        <v>80.39</v>
      </c>
      <c r="AH40" s="46">
        <f t="shared" si="29"/>
        <v>-18645.121193289204</v>
      </c>
      <c r="AI40" s="46">
        <f t="shared" ref="AI40:AI50" si="59">-1*(AF40-$AF$14)/360*$AG$5*$AG$7</f>
        <v>-105750</v>
      </c>
      <c r="AJ40" s="45">
        <f t="shared" si="31"/>
        <v>100.65625</v>
      </c>
      <c r="AK40" s="46">
        <f t="shared" si="32"/>
        <v>151255.58035714284</v>
      </c>
      <c r="AL40" s="47">
        <f t="shared" ref="AL40:AL50" si="60">(AF40-$AF$14)/360*$AH$5*$AH$6-(AF40-$AF$14)/360*$AH$5*$AH$7*$AJ$14/100</f>
        <v>-4691.4801897321377</v>
      </c>
      <c r="AM40" s="45">
        <f t="shared" si="34"/>
        <v>109.05</v>
      </c>
      <c r="AN40" s="46">
        <f t="shared" si="35"/>
        <v>66194.722809600804</v>
      </c>
      <c r="AO40" s="47">
        <f t="shared" ref="AO40:AO50" si="61">-1*(AF40-$AF$14)/360*$AI$5*$AI$7</f>
        <v>-108771.42857142858</v>
      </c>
      <c r="AP40" s="45">
        <f t="shared" si="37"/>
        <v>100.65625</v>
      </c>
      <c r="AQ40" s="46">
        <f t="shared" si="38"/>
        <v>131863.83928571429</v>
      </c>
      <c r="AR40" s="47">
        <f t="shared" ref="AR40:AR50" si="62">(AF40-$AF$14)/360*$AJ$5*$AJ$6-(AF40-$AF$14)/360*$AJ$5*$AJ$7*$AP$14/100</f>
        <v>-4090.0083705357101</v>
      </c>
      <c r="AS40" s="45">
        <f t="shared" si="40"/>
        <v>103.09375</v>
      </c>
      <c r="AT40" s="46">
        <f t="shared" si="41"/>
        <v>70312.5</v>
      </c>
      <c r="AU40" s="47">
        <f t="shared" ref="AU40:AU50" si="63">(AF40-$AF$14)/360*$AK$5*$AK$6-(AF40-$AF$14)/360*$AK$5*$AK$7*$AS$14/100</f>
        <v>1712.4274553571449</v>
      </c>
      <c r="AV40" s="45">
        <f t="shared" si="43"/>
        <v>94.6875</v>
      </c>
      <c r="AW40" s="46">
        <f t="shared" si="44"/>
        <v>-7031.25</v>
      </c>
      <c r="AX40" s="47">
        <f t="shared" ref="AX40:AX50" si="64">(AF40-$AF$14)/360*$AL$5*$AL$6-(AF40-$AF$14)/360*$AL$5*$AL$7*$AV$14/100</f>
        <v>4618.1484375000036</v>
      </c>
      <c r="AY40" s="82">
        <f t="shared" ref="AY40:AY50" si="65">AH40+AI40-AK40-AL40-AN40-AO40+AQ40+AR40+AT40+AU40+AW40+AX40</f>
        <v>-30996.858790836366</v>
      </c>
      <c r="AZ40" s="82">
        <v>0.38332100000000002</v>
      </c>
      <c r="BA40" s="82">
        <v>0.384434</v>
      </c>
      <c r="BB40" s="82">
        <f>$AO$4*SUM($AZ$14:AZ40)-$AP$4*SUM($BA$14:BA40)</f>
        <v>48926.430219448084</v>
      </c>
      <c r="BC40" s="82">
        <f t="shared" si="19"/>
        <v>-79923.289010284454</v>
      </c>
      <c r="BE40" s="75">
        <v>45806.625</v>
      </c>
      <c r="BF40" s="54">
        <v>79.5</v>
      </c>
      <c r="BG40" s="75">
        <v>45917.625</v>
      </c>
      <c r="BH40" s="54">
        <v>101.0546875</v>
      </c>
      <c r="BI40" s="75">
        <v>45806.625</v>
      </c>
      <c r="BJ40" s="54">
        <v>107.46</v>
      </c>
      <c r="BK40" s="75">
        <v>45917.625</v>
      </c>
      <c r="BL40" s="54">
        <v>101.0546875</v>
      </c>
      <c r="BM40" s="75">
        <v>45807.625</v>
      </c>
      <c r="BN40" s="54">
        <v>101.921875</v>
      </c>
      <c r="BO40" s="75">
        <v>45807.625</v>
      </c>
      <c r="BP40" s="54">
        <v>95.40625</v>
      </c>
      <c r="BR40" s="131">
        <f t="shared" si="20"/>
        <v>45902.625</v>
      </c>
      <c r="BS40" s="45">
        <f t="shared" si="21"/>
        <v>107.1491</v>
      </c>
      <c r="BT40" s="46">
        <f t="shared" si="47"/>
        <v>-107250.00000000051</v>
      </c>
      <c r="BU40" s="46">
        <f t="shared" si="48"/>
        <v>125000</v>
      </c>
      <c r="BV40" s="45">
        <f t="shared" si="49"/>
        <v>51.244999999999997</v>
      </c>
      <c r="BW40" s="46">
        <f t="shared" si="50"/>
        <v>-57993.749999999935</v>
      </c>
      <c r="BX40" s="47">
        <f t="shared" si="51"/>
        <v>125000</v>
      </c>
      <c r="BY40" s="45">
        <f t="shared" si="52"/>
        <v>-49256.250000000582</v>
      </c>
      <c r="CA40" s="129">
        <v>45811.625</v>
      </c>
      <c r="CB40" s="54">
        <v>106.4064</v>
      </c>
      <c r="CC40" s="129">
        <v>45811.625</v>
      </c>
      <c r="CD40" s="54">
        <v>54.945999999999998</v>
      </c>
      <c r="CF40" s="131">
        <v>45902.625</v>
      </c>
      <c r="CG40" s="45">
        <f t="shared" si="22"/>
        <v>274.209</v>
      </c>
      <c r="CH40" s="46">
        <f t="shared" si="53"/>
        <v>-64994.159999999931</v>
      </c>
      <c r="CI40" s="46">
        <f t="shared" si="54"/>
        <v>105000</v>
      </c>
      <c r="CJ40" s="45">
        <f t="shared" si="55"/>
        <v>56.918999999999997</v>
      </c>
      <c r="CK40" s="46">
        <f t="shared" si="56"/>
        <v>-179574.57</v>
      </c>
      <c r="CL40" s="47">
        <f t="shared" si="57"/>
        <v>94500</v>
      </c>
      <c r="CM40" s="45">
        <f t="shared" si="58"/>
        <v>125080.41000000009</v>
      </c>
      <c r="CO40" s="129">
        <v>45811.625</v>
      </c>
      <c r="CP40" s="54">
        <v>296.63099999999997</v>
      </c>
      <c r="CQ40" s="129">
        <v>45811.625</v>
      </c>
      <c r="CR40" s="54">
        <v>56.976999999999997</v>
      </c>
      <c r="CS40" s="54"/>
      <c r="CT40" s="54"/>
      <c r="CU40" s="54"/>
      <c r="CV40" s="54"/>
      <c r="CW40" s="54"/>
      <c r="CX40" s="54"/>
      <c r="CY40" s="54"/>
      <c r="DF40" s="142">
        <v>45903.625</v>
      </c>
      <c r="DG40" s="58">
        <f t="shared" si="4"/>
        <v>89249.721130337333</v>
      </c>
      <c r="DH40" s="58">
        <f t="shared" si="5"/>
        <v>-72648.57284771376</v>
      </c>
      <c r="DI40" s="58">
        <f t="shared" si="6"/>
        <v>-65387.499999999905</v>
      </c>
      <c r="DJ40" s="58">
        <f t="shared" si="7"/>
        <v>118790.25666666706</v>
      </c>
      <c r="DK40" s="58">
        <f t="shared" si="23"/>
        <v>-19125.001138153719</v>
      </c>
      <c r="DL40" s="58">
        <f t="shared" si="23"/>
        <v>7274.716162570694</v>
      </c>
      <c r="DM40" s="58">
        <f t="shared" si="23"/>
        <v>-16131.249999999323</v>
      </c>
      <c r="DN40" s="58">
        <f t="shared" si="23"/>
        <v>-6290.1533333330299</v>
      </c>
      <c r="DO40" s="58">
        <f t="shared" si="8"/>
        <v>-19125.001138153719</v>
      </c>
      <c r="DP40" s="58">
        <f t="shared" si="8"/>
        <v>7274.716162570694</v>
      </c>
      <c r="DQ40" s="58">
        <f t="shared" si="8"/>
        <v>-16131.249999999323</v>
      </c>
      <c r="DR40" s="58">
        <f t="shared" si="8"/>
        <v>-6290.1533333330299</v>
      </c>
      <c r="DS40" s="58">
        <f>SUM(DO$15:DO40)</f>
        <v>80855.393209800939</v>
      </c>
      <c r="DT40" s="58">
        <f>SUM(DP$15:DP40)</f>
        <v>-65038.952426897347</v>
      </c>
      <c r="DU40" s="58">
        <f>SUM(DQ$15:DQ40)</f>
        <v>-50706.249999997221</v>
      </c>
      <c r="DV40" s="58">
        <f>SUM(DR$15:DR40)</f>
        <v>101276.49000000019</v>
      </c>
      <c r="DZ40" s="133">
        <v>45903.625</v>
      </c>
      <c r="EA40" s="152">
        <v>-50706.249999997221</v>
      </c>
      <c r="EB40" s="152">
        <v>-65038.952426897347</v>
      </c>
      <c r="EC40" s="152">
        <v>120567.25000000026</v>
      </c>
      <c r="ED40" s="152">
        <v>96256.420487858355</v>
      </c>
    </row>
    <row r="41" spans="1:134" ht="15" thickBot="1" x14ac:dyDescent="0.35">
      <c r="A41" s="141">
        <v>45883.625</v>
      </c>
      <c r="B41" s="76">
        <f t="shared" si="24"/>
        <v>94.94</v>
      </c>
      <c r="C41" s="31">
        <f t="shared" si="9"/>
        <v>232587.85942491909</v>
      </c>
      <c r="D41" s="32">
        <f t="shared" si="10"/>
        <v>-91297.5</v>
      </c>
      <c r="E41" s="76">
        <f t="shared" si="25"/>
        <v>101.057</v>
      </c>
      <c r="F41" s="31">
        <f t="shared" si="11"/>
        <v>-30911.999999999578</v>
      </c>
      <c r="G41" s="32">
        <f t="shared" si="12"/>
        <v>-32504.401580000005</v>
      </c>
      <c r="H41" s="76">
        <f t="shared" si="26"/>
        <v>120.46</v>
      </c>
      <c r="I41" s="31">
        <f t="shared" si="13"/>
        <v>-426684.16735029087</v>
      </c>
      <c r="J41" s="32">
        <f t="shared" si="14"/>
        <v>-157031.69999999998</v>
      </c>
      <c r="K41" s="76">
        <f t="shared" si="27"/>
        <v>99.620999999999995</v>
      </c>
      <c r="L41" s="31">
        <f t="shared" si="15"/>
        <v>-47871.600000003447</v>
      </c>
      <c r="M41" s="32">
        <f t="shared" si="16"/>
        <v>-71495.886373333342</v>
      </c>
      <c r="N41" s="82">
        <f t="shared" si="17"/>
        <v>669055.14198187273</v>
      </c>
      <c r="O41" s="82"/>
      <c r="P41" s="82"/>
      <c r="Q41" s="82">
        <f>$G$5*SUM($O$14:O41)-$H$5*SUM($P$14:P41)</f>
        <v>-576200.5368</v>
      </c>
      <c r="R41" s="82">
        <f t="shared" si="18"/>
        <v>92854.605181872728</v>
      </c>
      <c r="S41" s="143"/>
      <c r="U41" s="75">
        <v>45812.625</v>
      </c>
      <c r="V41" s="54">
        <v>93.7</v>
      </c>
      <c r="W41" s="75">
        <v>45810.625</v>
      </c>
      <c r="X41" s="54">
        <v>101.574</v>
      </c>
      <c r="Y41" s="125">
        <v>45814.625</v>
      </c>
      <c r="Z41" s="54">
        <v>121.27</v>
      </c>
      <c r="AA41" s="75">
        <v>45898.625</v>
      </c>
      <c r="AB41" s="54">
        <v>99.783000000000001</v>
      </c>
      <c r="AF41" s="131">
        <v>45903.625</v>
      </c>
      <c r="AG41" s="45">
        <f t="shared" si="28"/>
        <v>80.61</v>
      </c>
      <c r="AH41" s="46">
        <f t="shared" si="29"/>
        <v>49720.323182100845</v>
      </c>
      <c r="AI41" s="46">
        <f t="shared" si="59"/>
        <v>-108687.5</v>
      </c>
      <c r="AJ41" s="45">
        <f t="shared" si="31"/>
        <v>100.8125</v>
      </c>
      <c r="AK41" s="46">
        <f t="shared" si="32"/>
        <v>173018.97321428574</v>
      </c>
      <c r="AL41" s="47">
        <f t="shared" si="60"/>
        <v>-4821.7990838913611</v>
      </c>
      <c r="AM41" s="45">
        <f t="shared" si="34"/>
        <v>109.7</v>
      </c>
      <c r="AN41" s="46">
        <f t="shared" si="35"/>
        <v>219861.04361759615</v>
      </c>
      <c r="AO41" s="47">
        <f t="shared" si="61"/>
        <v>-111792.85714285714</v>
      </c>
      <c r="AP41" s="45">
        <f t="shared" si="37"/>
        <v>100.8125</v>
      </c>
      <c r="AQ41" s="46">
        <f t="shared" si="38"/>
        <v>150837.05357142858</v>
      </c>
      <c r="AR41" s="47">
        <f t="shared" si="62"/>
        <v>-4203.6197141617013</v>
      </c>
      <c r="AS41" s="45">
        <f t="shared" si="40"/>
        <v>103.46875</v>
      </c>
      <c r="AT41" s="46">
        <f t="shared" si="41"/>
        <v>90401.785714285725</v>
      </c>
      <c r="AU41" s="47">
        <f t="shared" si="63"/>
        <v>1759.994884672622</v>
      </c>
      <c r="AV41" s="45">
        <f t="shared" si="43"/>
        <v>95.6875</v>
      </c>
      <c r="AW41" s="46">
        <f t="shared" si="44"/>
        <v>67968.75</v>
      </c>
      <c r="AX41" s="47">
        <f t="shared" si="64"/>
        <v>4746.4303385416679</v>
      </c>
      <c r="AY41" s="82">
        <f t="shared" si="65"/>
        <v>-23722.142628265679</v>
      </c>
      <c r="AZ41" s="82"/>
      <c r="BA41" s="82"/>
      <c r="BB41" s="82">
        <f>$AO$4*SUM($AZ$14:AZ41)-$AP$4*SUM($BA$14:BA41)</f>
        <v>48926.430219448084</v>
      </c>
      <c r="BC41" s="82">
        <f t="shared" si="19"/>
        <v>-72648.57284771376</v>
      </c>
      <c r="BE41" s="75">
        <v>45807.625</v>
      </c>
      <c r="BF41" s="54">
        <v>79.569999999999993</v>
      </c>
      <c r="BG41" s="75">
        <v>45918.625</v>
      </c>
      <c r="BH41" s="54">
        <v>100.90625</v>
      </c>
      <c r="BI41" s="75">
        <v>45807.625</v>
      </c>
      <c r="BJ41" s="54">
        <v>107.77</v>
      </c>
      <c r="BK41" s="75">
        <v>45918.625</v>
      </c>
      <c r="BL41" s="54">
        <v>100.90625</v>
      </c>
      <c r="BM41" s="75">
        <v>45810.625</v>
      </c>
      <c r="BN41" s="54">
        <v>101.484375</v>
      </c>
      <c r="BO41" s="75">
        <v>45810.625</v>
      </c>
      <c r="BP41" s="54">
        <v>94.46875</v>
      </c>
      <c r="BR41" s="131">
        <f t="shared" si="20"/>
        <v>45903.625</v>
      </c>
      <c r="BS41" s="45">
        <f t="shared" si="21"/>
        <v>107.15860000000001</v>
      </c>
      <c r="BT41" s="46">
        <f t="shared" si="47"/>
        <v>-104874.99999999983</v>
      </c>
      <c r="BU41" s="46">
        <f t="shared" si="48"/>
        <v>128472.22222222223</v>
      </c>
      <c r="BV41" s="45">
        <f t="shared" si="49"/>
        <v>50.915999999999997</v>
      </c>
      <c r="BW41" s="46">
        <f t="shared" si="50"/>
        <v>-39487.499999999905</v>
      </c>
      <c r="BX41" s="47">
        <f t="shared" si="51"/>
        <v>128472.22222222222</v>
      </c>
      <c r="BY41" s="45">
        <f t="shared" si="52"/>
        <v>-65387.499999999905</v>
      </c>
      <c r="CA41" s="129">
        <v>45812.625</v>
      </c>
      <c r="CB41" s="54">
        <v>106.3698</v>
      </c>
      <c r="CC41" s="129">
        <v>45812.625</v>
      </c>
      <c r="CD41" s="54">
        <v>55.19</v>
      </c>
      <c r="CF41" s="131">
        <v>45903.625</v>
      </c>
      <c r="CG41" s="45">
        <f t="shared" si="22"/>
        <v>267.14</v>
      </c>
      <c r="CH41" s="46">
        <f t="shared" si="53"/>
        <v>323.40000000023116</v>
      </c>
      <c r="CI41" s="46">
        <f t="shared" si="54"/>
        <v>107916.66666666666</v>
      </c>
      <c r="CJ41" s="45">
        <f t="shared" si="55"/>
        <v>55.265000000000001</v>
      </c>
      <c r="CK41" s="46">
        <f t="shared" si="56"/>
        <v>-107675.19000000016</v>
      </c>
      <c r="CL41" s="47">
        <f t="shared" si="57"/>
        <v>97125</v>
      </c>
      <c r="CM41" s="45">
        <f t="shared" si="58"/>
        <v>118790.25666666706</v>
      </c>
      <c r="CO41" s="129">
        <v>45812.625</v>
      </c>
      <c r="CP41" s="54">
        <v>293.44900000000001</v>
      </c>
      <c r="CQ41" s="129">
        <v>45812.625</v>
      </c>
      <c r="CR41" s="54">
        <v>56.475999999999999</v>
      </c>
      <c r="CS41" s="54"/>
      <c r="CT41" s="54"/>
      <c r="CU41" s="54"/>
      <c r="CV41" s="54"/>
      <c r="CW41" s="54"/>
      <c r="CX41" s="54"/>
      <c r="CY41" s="54"/>
      <c r="DF41" s="142">
        <v>45904.625</v>
      </c>
      <c r="DG41" s="58">
        <f t="shared" si="4"/>
        <v>76174.585920097074</v>
      </c>
      <c r="DH41" s="58">
        <f t="shared" si="5"/>
        <v>-115308.73324460247</v>
      </c>
      <c r="DI41" s="58">
        <f t="shared" si="6"/>
        <v>-83256.250000000669</v>
      </c>
      <c r="DJ41" s="58">
        <f t="shared" si="7"/>
        <v>102473.44333333359</v>
      </c>
      <c r="DK41" s="58">
        <f t="shared" si="23"/>
        <v>-13075.13521024026</v>
      </c>
      <c r="DL41" s="58">
        <f t="shared" si="23"/>
        <v>-42660.160396888707</v>
      </c>
      <c r="DM41" s="58">
        <f t="shared" si="23"/>
        <v>-17868.750000000764</v>
      </c>
      <c r="DN41" s="58">
        <f t="shared" si="23"/>
        <v>-16316.81333333347</v>
      </c>
      <c r="DO41" s="58">
        <f t="shared" si="8"/>
        <v>-13075.13521024026</v>
      </c>
      <c r="DP41" s="58">
        <f t="shared" si="8"/>
        <v>-42660.160396888707</v>
      </c>
      <c r="DQ41" s="58">
        <f t="shared" si="8"/>
        <v>-17868.750000000764</v>
      </c>
      <c r="DR41" s="58">
        <f t="shared" si="8"/>
        <v>-16316.81333333347</v>
      </c>
      <c r="DS41" s="58">
        <f>SUM(DO$15:DO41)</f>
        <v>67780.257999560679</v>
      </c>
      <c r="DT41" s="58">
        <f>SUM(DP$15:DP41)</f>
        <v>-107699.11282378605</v>
      </c>
      <c r="DU41" s="58">
        <f>SUM(DQ$15:DQ41)</f>
        <v>-68574.999999997992</v>
      </c>
      <c r="DV41" s="58">
        <f>SUM(DR$15:DR41)</f>
        <v>84959.676666666724</v>
      </c>
      <c r="DZ41" s="133">
        <v>45904.625</v>
      </c>
      <c r="EA41" s="152">
        <v>-68574.999999997992</v>
      </c>
      <c r="EB41" s="152">
        <v>-107699.11282378605</v>
      </c>
      <c r="EC41" s="152">
        <v>101142.47222222234</v>
      </c>
      <c r="ED41" s="152">
        <v>80690.783332810155</v>
      </c>
    </row>
    <row r="42" spans="1:134" x14ac:dyDescent="0.3">
      <c r="A42" s="142">
        <v>45884.625</v>
      </c>
      <c r="B42" s="76">
        <f t="shared" si="24"/>
        <v>94.87</v>
      </c>
      <c r="C42" s="31">
        <f t="shared" si="9"/>
        <v>216932.90734824244</v>
      </c>
      <c r="D42" s="32">
        <f t="shared" si="10"/>
        <v>-93764.999999999985</v>
      </c>
      <c r="E42" s="76">
        <f t="shared" si="25"/>
        <v>100.946</v>
      </c>
      <c r="F42" s="31">
        <f t="shared" si="11"/>
        <v>-49560.000000000284</v>
      </c>
      <c r="G42" s="32">
        <f t="shared" si="12"/>
        <v>-33382.898919999978</v>
      </c>
      <c r="H42" s="76">
        <f t="shared" si="26"/>
        <v>120.46</v>
      </c>
      <c r="I42" s="31">
        <f t="shared" si="13"/>
        <v>-426684.16735029087</v>
      </c>
      <c r="J42" s="32">
        <f t="shared" si="14"/>
        <v>-161275.79999999999</v>
      </c>
      <c r="K42" s="76">
        <f t="shared" si="27"/>
        <v>99.375</v>
      </c>
      <c r="L42" s="31">
        <f t="shared" si="15"/>
        <v>-132594.00000000178</v>
      </c>
      <c r="M42" s="32">
        <f t="shared" si="16"/>
        <v>-73428.207626666655</v>
      </c>
      <c r="N42" s="82">
        <f t="shared" si="17"/>
        <v>588048.56599186512</v>
      </c>
      <c r="O42" s="82"/>
      <c r="P42" s="82"/>
      <c r="Q42" s="82">
        <f>$G$5*SUM($O$14:O42)-$H$5*SUM($P$14:P42)</f>
        <v>-576200.5368</v>
      </c>
      <c r="R42" s="82">
        <f t="shared" si="18"/>
        <v>11848.02919186512</v>
      </c>
      <c r="S42" s="143"/>
      <c r="U42" s="75">
        <v>45813.625</v>
      </c>
      <c r="V42" s="54">
        <v>93.55</v>
      </c>
      <c r="W42" s="75">
        <v>45811.625</v>
      </c>
      <c r="X42" s="54">
        <v>101.60599999999999</v>
      </c>
      <c r="Y42" s="125">
        <v>45817.625</v>
      </c>
      <c r="Z42" s="54">
        <v>121.32</v>
      </c>
      <c r="AA42" s="75">
        <v>45901.625</v>
      </c>
      <c r="AB42" s="54">
        <v>99.632000000000005</v>
      </c>
      <c r="AF42" s="131">
        <v>45904.625</v>
      </c>
      <c r="AG42" s="45">
        <f t="shared" si="28"/>
        <v>80.819999999999993</v>
      </c>
      <c r="AH42" s="46">
        <f t="shared" si="29"/>
        <v>114978.24735860474</v>
      </c>
      <c r="AI42" s="46">
        <f t="shared" si="59"/>
        <v>-111625</v>
      </c>
      <c r="AJ42" s="45">
        <f t="shared" si="31"/>
        <v>101.0390625</v>
      </c>
      <c r="AK42" s="46">
        <f t="shared" si="32"/>
        <v>204575.89285714284</v>
      </c>
      <c r="AL42" s="47">
        <f t="shared" si="60"/>
        <v>-4952.1179780505845</v>
      </c>
      <c r="AM42" s="45">
        <f t="shared" si="34"/>
        <v>110.45</v>
      </c>
      <c r="AN42" s="46">
        <f t="shared" si="35"/>
        <v>397168.33685759339</v>
      </c>
      <c r="AO42" s="47">
        <f t="shared" si="61"/>
        <v>-114814.28571428572</v>
      </c>
      <c r="AP42" s="45">
        <f t="shared" si="37"/>
        <v>101.0390625</v>
      </c>
      <c r="AQ42" s="46">
        <f t="shared" si="38"/>
        <v>178348.21428571429</v>
      </c>
      <c r="AR42" s="47">
        <f t="shared" si="62"/>
        <v>-4317.2310577876997</v>
      </c>
      <c r="AS42" s="45">
        <f t="shared" si="40"/>
        <v>103.9375</v>
      </c>
      <c r="AT42" s="46">
        <f t="shared" si="41"/>
        <v>115513.39285714286</v>
      </c>
      <c r="AU42" s="47">
        <f t="shared" si="63"/>
        <v>1807.562313988099</v>
      </c>
      <c r="AV42" s="45">
        <f t="shared" si="43"/>
        <v>96.328125</v>
      </c>
      <c r="AW42" s="46">
        <f t="shared" si="44"/>
        <v>116015.625</v>
      </c>
      <c r="AX42" s="47">
        <f t="shared" si="64"/>
        <v>4874.7122395833321</v>
      </c>
      <c r="AY42" s="82">
        <f t="shared" si="65"/>
        <v>-66382.303025154382</v>
      </c>
      <c r="AZ42" s="82"/>
      <c r="BA42" s="82"/>
      <c r="BB42" s="82">
        <f>$AO$4*SUM($AZ$14:AZ42)-$AP$4*SUM($BA$14:BA42)</f>
        <v>48926.430219448084</v>
      </c>
      <c r="BC42" s="82">
        <f t="shared" si="19"/>
        <v>-115308.73324460247</v>
      </c>
      <c r="BE42" s="75">
        <v>45810.625</v>
      </c>
      <c r="BF42" s="54">
        <v>79.180000000000007</v>
      </c>
      <c r="BG42" s="75">
        <v>45919.625</v>
      </c>
      <c r="BH42" s="54">
        <v>100.890625</v>
      </c>
      <c r="BI42" s="75">
        <v>45810.625</v>
      </c>
      <c r="BJ42" s="54">
        <v>107.07</v>
      </c>
      <c r="BK42" s="75">
        <v>45919.625</v>
      </c>
      <c r="BL42" s="54">
        <v>100.890625</v>
      </c>
      <c r="BM42" s="75">
        <v>45811.625</v>
      </c>
      <c r="BN42" s="54">
        <v>101.375</v>
      </c>
      <c r="BO42" s="75">
        <v>45811.625</v>
      </c>
      <c r="BP42" s="54">
        <v>94.359375</v>
      </c>
      <c r="BR42" s="131">
        <f t="shared" si="20"/>
        <v>45904.625</v>
      </c>
      <c r="BS42" s="45">
        <f t="shared" si="21"/>
        <v>107.4136</v>
      </c>
      <c r="BT42" s="46">
        <f t="shared" si="47"/>
        <v>-41125.000000000968</v>
      </c>
      <c r="BU42" s="46">
        <f t="shared" si="48"/>
        <v>131944.44444444447</v>
      </c>
      <c r="BV42" s="45">
        <f t="shared" si="49"/>
        <v>49.465000000000003</v>
      </c>
      <c r="BW42" s="46">
        <f t="shared" si="50"/>
        <v>42131.249999999731</v>
      </c>
      <c r="BX42" s="47">
        <f t="shared" si="51"/>
        <v>131944.44444444444</v>
      </c>
      <c r="BY42" s="45">
        <f t="shared" si="52"/>
        <v>-83256.250000000669</v>
      </c>
      <c r="CA42" s="129">
        <v>45813.625</v>
      </c>
      <c r="CB42" s="54">
        <v>106.2727</v>
      </c>
      <c r="CC42" s="129">
        <v>45813.625</v>
      </c>
      <c r="CD42" s="54">
        <v>55.59</v>
      </c>
      <c r="CF42" s="131">
        <v>45904.625</v>
      </c>
      <c r="CG42" s="45">
        <f t="shared" si="22"/>
        <v>264.74099999999999</v>
      </c>
      <c r="CH42" s="46">
        <f t="shared" si="53"/>
        <v>22490.160000000244</v>
      </c>
      <c r="CI42" s="46">
        <f t="shared" si="54"/>
        <v>110833.33333333333</v>
      </c>
      <c r="CJ42" s="45">
        <f t="shared" si="55"/>
        <v>54.372999999999998</v>
      </c>
      <c r="CK42" s="46">
        <f t="shared" si="56"/>
        <v>-68899.950000000026</v>
      </c>
      <c r="CL42" s="47">
        <f t="shared" si="57"/>
        <v>99750</v>
      </c>
      <c r="CM42" s="45">
        <f t="shared" si="58"/>
        <v>102473.44333333359</v>
      </c>
      <c r="CO42" s="129">
        <v>45813.625</v>
      </c>
      <c r="CP42" s="54">
        <v>293.76400000000001</v>
      </c>
      <c r="CQ42" s="129">
        <v>45813.625</v>
      </c>
      <c r="CR42" s="54">
        <v>56.481999999999999</v>
      </c>
      <c r="CS42" s="54"/>
      <c r="CT42" s="54"/>
      <c r="CU42" s="54"/>
      <c r="CV42" s="54"/>
      <c r="CW42" s="54"/>
      <c r="CX42" s="54"/>
      <c r="CY42" s="54"/>
      <c r="DF42" s="142">
        <v>45905.625</v>
      </c>
      <c r="DG42" s="58">
        <f t="shared" si="4"/>
        <v>62415.506412564195</v>
      </c>
      <c r="DH42" s="58">
        <f t="shared" si="5"/>
        <v>-140217.46080827035</v>
      </c>
      <c r="DI42" s="58">
        <f t="shared" si="6"/>
        <v>-86331.250000000728</v>
      </c>
      <c r="DJ42" s="58">
        <f t="shared" si="7"/>
        <v>101580.92000000033</v>
      </c>
      <c r="DK42" s="58">
        <f t="shared" si="23"/>
        <v>-13759.079507532879</v>
      </c>
      <c r="DL42" s="58">
        <f t="shared" si="23"/>
        <v>-24908.727563667882</v>
      </c>
      <c r="DM42" s="58">
        <f t="shared" si="23"/>
        <v>-3075.0000000000582</v>
      </c>
      <c r="DN42" s="58">
        <f t="shared" si="23"/>
        <v>-892.52333333325805</v>
      </c>
      <c r="DO42" s="58">
        <f t="shared" si="8"/>
        <v>-13759.079507532879</v>
      </c>
      <c r="DP42" s="58">
        <f t="shared" si="8"/>
        <v>-24908.727563667882</v>
      </c>
      <c r="DQ42" s="58">
        <f t="shared" si="8"/>
        <v>-3075.0000000000582</v>
      </c>
      <c r="DR42" s="58">
        <f t="shared" si="8"/>
        <v>-892.52333333325805</v>
      </c>
      <c r="DS42" s="58">
        <f>SUM(DO$15:DO42)</f>
        <v>54021.178492027801</v>
      </c>
      <c r="DT42" s="58">
        <f>SUM(DP$15:DP42)</f>
        <v>-132607.84038745394</v>
      </c>
      <c r="DU42" s="58">
        <f>SUM(DQ$15:DQ42)</f>
        <v>-71649.99999999805</v>
      </c>
      <c r="DV42" s="58">
        <f>SUM(DR$15:DR42)</f>
        <v>84067.153333333466</v>
      </c>
      <c r="DZ42" s="133">
        <v>45905.625</v>
      </c>
      <c r="EA42" s="152">
        <v>-71649.99999999805</v>
      </c>
      <c r="EB42" s="152">
        <v>-132607.84038745394</v>
      </c>
      <c r="EC42" s="152">
        <v>100079.94444444464</v>
      </c>
      <c r="ED42" s="152">
        <v>64310.926776223583</v>
      </c>
    </row>
    <row r="43" spans="1:134" x14ac:dyDescent="0.3">
      <c r="A43" s="142">
        <v>45887.625</v>
      </c>
      <c r="B43" s="76">
        <f t="shared" si="24"/>
        <v>94.83</v>
      </c>
      <c r="C43" s="31">
        <f t="shared" si="9"/>
        <v>207987.2204472817</v>
      </c>
      <c r="D43" s="32">
        <f t="shared" si="10"/>
        <v>-101167.5</v>
      </c>
      <c r="E43" s="76">
        <f t="shared" si="25"/>
        <v>100.953</v>
      </c>
      <c r="F43" s="31">
        <f t="shared" si="11"/>
        <v>-48383.999999999447</v>
      </c>
      <c r="G43" s="32">
        <f t="shared" si="12"/>
        <v>-36018.390939999997</v>
      </c>
      <c r="H43" s="76">
        <f t="shared" si="26"/>
        <v>120.14</v>
      </c>
      <c r="I43" s="31">
        <f t="shared" si="13"/>
        <v>-521502.87120590796</v>
      </c>
      <c r="J43" s="32">
        <f t="shared" si="14"/>
        <v>-174008.09999999998</v>
      </c>
      <c r="K43" s="76">
        <f t="shared" si="27"/>
        <v>99.388999999999996</v>
      </c>
      <c r="L43" s="31">
        <f t="shared" si="15"/>
        <v>-127772.40000000322</v>
      </c>
      <c r="M43" s="32">
        <f t="shared" si="16"/>
        <v>-79225.171386666669</v>
      </c>
      <c r="N43" s="82">
        <f t="shared" si="17"/>
        <v>679735.51120651921</v>
      </c>
      <c r="O43" s="82"/>
      <c r="P43" s="82"/>
      <c r="Q43" s="82">
        <f>$G$5*SUM($O$14:O43)-$H$5*SUM($P$14:P43)</f>
        <v>-576200.5368</v>
      </c>
      <c r="R43" s="82">
        <f t="shared" si="18"/>
        <v>103534.97440651921</v>
      </c>
      <c r="S43" s="143"/>
      <c r="U43" s="75">
        <v>45814.625</v>
      </c>
      <c r="V43" s="54">
        <v>93.7</v>
      </c>
      <c r="W43" s="75">
        <v>45812.625</v>
      </c>
      <c r="X43" s="54">
        <v>101.54</v>
      </c>
      <c r="Y43" s="125">
        <v>45818.625</v>
      </c>
      <c r="Z43" s="54">
        <v>121.52</v>
      </c>
      <c r="AA43" s="75">
        <v>45902.625</v>
      </c>
      <c r="AB43" s="54">
        <v>99.481999999999999</v>
      </c>
      <c r="AF43" s="131">
        <v>45905.625</v>
      </c>
      <c r="AG43" s="45">
        <f t="shared" si="28"/>
        <v>80.87</v>
      </c>
      <c r="AH43" s="46">
        <f t="shared" si="29"/>
        <v>130515.84835301332</v>
      </c>
      <c r="AI43" s="46">
        <f t="shared" si="59"/>
        <v>-114562.5</v>
      </c>
      <c r="AJ43" s="45">
        <f t="shared" si="31"/>
        <v>101.25</v>
      </c>
      <c r="AK43" s="46">
        <f t="shared" si="32"/>
        <v>233956.47321428571</v>
      </c>
      <c r="AL43" s="47">
        <f t="shared" si="60"/>
        <v>-5082.4368722098152</v>
      </c>
      <c r="AM43" s="45">
        <f t="shared" si="34"/>
        <v>111.17</v>
      </c>
      <c r="AN43" s="46">
        <f t="shared" si="35"/>
        <v>567383.33836798894</v>
      </c>
      <c r="AO43" s="47">
        <f t="shared" si="61"/>
        <v>-117835.71428571429</v>
      </c>
      <c r="AP43" s="45">
        <f t="shared" si="37"/>
        <v>101.25</v>
      </c>
      <c r="AQ43" s="46">
        <f t="shared" si="38"/>
        <v>203962.05357142858</v>
      </c>
      <c r="AR43" s="47">
        <f t="shared" si="62"/>
        <v>-4430.8424014136908</v>
      </c>
      <c r="AS43" s="45">
        <f t="shared" si="40"/>
        <v>104.5</v>
      </c>
      <c r="AT43" s="46">
        <f t="shared" si="41"/>
        <v>145647.32142857142</v>
      </c>
      <c r="AU43" s="47">
        <f t="shared" si="63"/>
        <v>1855.1297433035688</v>
      </c>
      <c r="AV43" s="45">
        <f t="shared" si="43"/>
        <v>97.703125</v>
      </c>
      <c r="AW43" s="46">
        <f t="shared" si="44"/>
        <v>219140.625</v>
      </c>
      <c r="AX43" s="47">
        <f t="shared" si="64"/>
        <v>5002.994140625</v>
      </c>
      <c r="AY43" s="82">
        <f t="shared" si="65"/>
        <v>-91291.030588822265</v>
      </c>
      <c r="AZ43" s="82"/>
      <c r="BA43" s="82"/>
      <c r="BB43" s="82">
        <f>$AO$4*SUM($AZ$14:AZ43)-$AP$4*SUM($BA$14:BA43)</f>
        <v>48926.430219448084</v>
      </c>
      <c r="BC43" s="82">
        <f t="shared" si="19"/>
        <v>-140217.46080827035</v>
      </c>
      <c r="BE43" s="75">
        <v>45811.625</v>
      </c>
      <c r="BF43" s="54">
        <v>79.33</v>
      </c>
      <c r="BG43" s="75">
        <v>45922.625</v>
      </c>
      <c r="BH43" s="54">
        <v>100.7734375</v>
      </c>
      <c r="BI43" s="75">
        <v>45811.625</v>
      </c>
      <c r="BJ43" s="54">
        <v>107.12</v>
      </c>
      <c r="BK43" s="75">
        <v>45922.625</v>
      </c>
      <c r="BL43" s="54">
        <v>100.7734375</v>
      </c>
      <c r="BM43" s="75">
        <v>45812.625</v>
      </c>
      <c r="BN43" s="54">
        <v>102.15625</v>
      </c>
      <c r="BO43" s="75">
        <v>45812.625</v>
      </c>
      <c r="BP43" s="54">
        <v>95.84375</v>
      </c>
      <c r="BR43" s="131">
        <f t="shared" si="20"/>
        <v>45905.625</v>
      </c>
      <c r="BS43" s="45">
        <f t="shared" si="21"/>
        <v>107.2762</v>
      </c>
      <c r="BT43" s="46">
        <f t="shared" si="47"/>
        <v>-75475.000000000844</v>
      </c>
      <c r="BU43" s="46">
        <f t="shared" si="48"/>
        <v>135416.66666666669</v>
      </c>
      <c r="BV43" s="45">
        <f t="shared" si="49"/>
        <v>50.021000000000001</v>
      </c>
      <c r="BW43" s="46">
        <f t="shared" si="50"/>
        <v>10856.24999999988</v>
      </c>
      <c r="BX43" s="47">
        <f t="shared" si="51"/>
        <v>135416.66666666669</v>
      </c>
      <c r="BY43" s="45">
        <f t="shared" si="52"/>
        <v>-86331.250000000728</v>
      </c>
      <c r="CA43" s="129">
        <v>45814.625</v>
      </c>
      <c r="CB43" s="54">
        <v>106.61709999999999</v>
      </c>
      <c r="CC43" s="129">
        <v>45814.625</v>
      </c>
      <c r="CD43" s="54">
        <v>54.094999999999999</v>
      </c>
      <c r="CF43" s="131">
        <v>45905.625</v>
      </c>
      <c r="CG43" s="45">
        <f t="shared" si="22"/>
        <v>263.56599999999997</v>
      </c>
      <c r="CH43" s="46">
        <f t="shared" si="53"/>
        <v>33347.160000000345</v>
      </c>
      <c r="CI43" s="46">
        <f t="shared" si="54"/>
        <v>113750</v>
      </c>
      <c r="CJ43" s="45">
        <f t="shared" si="55"/>
        <v>54.095999999999997</v>
      </c>
      <c r="CK43" s="46">
        <f t="shared" si="56"/>
        <v>-56858.759999999987</v>
      </c>
      <c r="CL43" s="47">
        <f t="shared" si="57"/>
        <v>102375</v>
      </c>
      <c r="CM43" s="45">
        <f t="shared" si="58"/>
        <v>101580.92000000033</v>
      </c>
      <c r="CO43" s="129">
        <v>45814.625</v>
      </c>
      <c r="CP43" s="54">
        <v>289.697</v>
      </c>
      <c r="CQ43" s="129">
        <v>45814.625</v>
      </c>
      <c r="CR43" s="54">
        <v>55.588999999999999</v>
      </c>
      <c r="CS43" s="54"/>
      <c r="CT43" s="54"/>
      <c r="CU43" s="54"/>
      <c r="CV43" s="54"/>
      <c r="CW43" s="54"/>
      <c r="CX43" s="54"/>
      <c r="CY43" s="54"/>
      <c r="DF43" s="142">
        <v>45908.625</v>
      </c>
      <c r="DG43" s="58">
        <f t="shared" si="4"/>
        <v>55098.211442927597</v>
      </c>
      <c r="DH43" s="58">
        <f t="shared" si="5"/>
        <v>-122631.32372182162</v>
      </c>
      <c r="DI43" s="58">
        <f t="shared" si="6"/>
        <v>-97068.750000000873</v>
      </c>
      <c r="DJ43" s="58">
        <f t="shared" si="7"/>
        <v>92132.320000000444</v>
      </c>
      <c r="DK43" s="58">
        <f t="shared" si="23"/>
        <v>-7317.2949696365977</v>
      </c>
      <c r="DL43" s="58">
        <f t="shared" si="23"/>
        <v>17586.137086448725</v>
      </c>
      <c r="DM43" s="58">
        <f t="shared" si="23"/>
        <v>-10737.500000000146</v>
      </c>
      <c r="DN43" s="58">
        <f t="shared" si="23"/>
        <v>-9448.5999999998894</v>
      </c>
      <c r="DO43" s="58">
        <f t="shared" si="8"/>
        <v>-7317.2949696365977</v>
      </c>
      <c r="DP43" s="58">
        <f t="shared" si="8"/>
        <v>17586.137086448725</v>
      </c>
      <c r="DQ43" s="58">
        <f t="shared" si="8"/>
        <v>-10737.500000000146</v>
      </c>
      <c r="DR43" s="58">
        <f t="shared" si="8"/>
        <v>-9448.5999999998894</v>
      </c>
      <c r="DS43" s="58">
        <f>SUM(DO$15:DO43)</f>
        <v>46703.883522391203</v>
      </c>
      <c r="DT43" s="58">
        <f>SUM(DP$15:DP43)</f>
        <v>-115021.70330100521</v>
      </c>
      <c r="DU43" s="58">
        <f>SUM(DQ$15:DQ43)</f>
        <v>-82387.499999998196</v>
      </c>
      <c r="DV43" s="58">
        <f>SUM(DR$15:DR43)</f>
        <v>74618.553333333577</v>
      </c>
      <c r="DZ43" s="133">
        <v>45908.625</v>
      </c>
      <c r="EA43" s="152">
        <v>-82387.499999998196</v>
      </c>
      <c r="EB43" s="152">
        <v>-115021.70330100521</v>
      </c>
      <c r="EC43" s="152">
        <v>88831.611111111444</v>
      </c>
      <c r="ED43" s="152">
        <v>55599.861336180009</v>
      </c>
    </row>
    <row r="44" spans="1:134" x14ac:dyDescent="0.3">
      <c r="A44" s="142">
        <v>45888.625</v>
      </c>
      <c r="B44" s="76">
        <f t="shared" si="24"/>
        <v>94.8</v>
      </c>
      <c r="C44" s="31">
        <f t="shared" si="9"/>
        <v>201277.95527156579</v>
      </c>
      <c r="D44" s="32">
        <f t="shared" si="10"/>
        <v>-103635</v>
      </c>
      <c r="E44" s="76">
        <f t="shared" si="25"/>
        <v>100.99</v>
      </c>
      <c r="F44" s="31">
        <f t="shared" si="11"/>
        <v>-42168.0000000008</v>
      </c>
      <c r="G44" s="32">
        <f t="shared" si="12"/>
        <v>-36896.888279999999</v>
      </c>
      <c r="H44" s="76">
        <f t="shared" si="26"/>
        <v>120.27</v>
      </c>
      <c r="I44" s="31">
        <f t="shared" si="13"/>
        <v>-482982.77276456362</v>
      </c>
      <c r="J44" s="32">
        <f t="shared" si="14"/>
        <v>-178252.2</v>
      </c>
      <c r="K44" s="76">
        <f t="shared" si="27"/>
        <v>99.484999999999999</v>
      </c>
      <c r="L44" s="31">
        <f t="shared" si="15"/>
        <v>-94710.00000000195</v>
      </c>
      <c r="M44" s="32">
        <f t="shared" si="16"/>
        <v>-81157.492639999982</v>
      </c>
      <c r="N44" s="82">
        <f t="shared" si="17"/>
        <v>662075.32367612817</v>
      </c>
      <c r="O44" s="82"/>
      <c r="P44" s="82"/>
      <c r="Q44" s="82">
        <f>$G$5*SUM($O$14:O44)-$H$5*SUM($P$14:P44)</f>
        <v>-576200.5368</v>
      </c>
      <c r="R44" s="82">
        <f t="shared" si="18"/>
        <v>85874.786876128172</v>
      </c>
      <c r="S44" s="143"/>
      <c r="U44" s="75">
        <v>45817.625</v>
      </c>
      <c r="V44" s="54">
        <v>93.62</v>
      </c>
      <c r="W44" s="75">
        <v>45813.625</v>
      </c>
      <c r="X44" s="54">
        <v>101.26</v>
      </c>
      <c r="Y44" s="125">
        <v>45819.625</v>
      </c>
      <c r="Z44" s="54">
        <v>121.56</v>
      </c>
      <c r="AA44" s="75">
        <v>45903.625</v>
      </c>
      <c r="AB44" s="54">
        <v>99.596000000000004</v>
      </c>
      <c r="AF44" s="131">
        <v>45908.625</v>
      </c>
      <c r="AG44" s="45">
        <f t="shared" si="28"/>
        <v>80.87</v>
      </c>
      <c r="AH44" s="46">
        <f t="shared" si="29"/>
        <v>130515.84835301332</v>
      </c>
      <c r="AI44" s="46">
        <f t="shared" si="59"/>
        <v>-123374.99999999999</v>
      </c>
      <c r="AJ44" s="45">
        <f t="shared" si="31"/>
        <v>101.3828125</v>
      </c>
      <c r="AK44" s="46">
        <f t="shared" si="32"/>
        <v>252455.35714285713</v>
      </c>
      <c r="AL44" s="47">
        <f t="shared" si="60"/>
        <v>-5473.3935546875</v>
      </c>
      <c r="AM44" s="45">
        <f t="shared" si="34"/>
        <v>111.56</v>
      </c>
      <c r="AN44" s="46">
        <f t="shared" si="35"/>
        <v>659583.13085278275</v>
      </c>
      <c r="AO44" s="47">
        <f t="shared" si="61"/>
        <v>-126900.00000000001</v>
      </c>
      <c r="AP44" s="45">
        <f t="shared" si="37"/>
        <v>101.3828125</v>
      </c>
      <c r="AQ44" s="46">
        <f t="shared" si="38"/>
        <v>220089.28571428571</v>
      </c>
      <c r="AR44" s="47">
        <f t="shared" si="62"/>
        <v>-4771.6764322916642</v>
      </c>
      <c r="AS44" s="45">
        <f t="shared" si="40"/>
        <v>104.828125</v>
      </c>
      <c r="AT44" s="46">
        <f t="shared" si="41"/>
        <v>163225.44642857142</v>
      </c>
      <c r="AU44" s="47">
        <f t="shared" si="63"/>
        <v>1997.83203125</v>
      </c>
      <c r="AV44" s="45">
        <f t="shared" si="43"/>
        <v>98.953125</v>
      </c>
      <c r="AW44" s="46">
        <f t="shared" si="44"/>
        <v>312890.625</v>
      </c>
      <c r="AX44" s="47">
        <f t="shared" si="64"/>
        <v>5387.83984375</v>
      </c>
      <c r="AY44" s="82">
        <f t="shared" si="65"/>
        <v>-73704.893502373539</v>
      </c>
      <c r="AZ44" s="82"/>
      <c r="BA44" s="82"/>
      <c r="BB44" s="82">
        <f>$AO$4*SUM($AZ$14:AZ44)-$AP$4*SUM($BA$14:BA44)</f>
        <v>48926.430219448084</v>
      </c>
      <c r="BC44" s="82">
        <f t="shared" si="19"/>
        <v>-122631.32372182162</v>
      </c>
      <c r="BE44" s="75">
        <v>45812.625</v>
      </c>
      <c r="BF44" s="54">
        <v>79.48</v>
      </c>
      <c r="BG44" s="75">
        <v>45923.625</v>
      </c>
      <c r="BH44" s="54">
        <v>100.9140625</v>
      </c>
      <c r="BI44" s="75">
        <v>45812.625</v>
      </c>
      <c r="BJ44" s="54">
        <v>107.9</v>
      </c>
      <c r="BK44" s="75">
        <v>45923.625</v>
      </c>
      <c r="BL44" s="54">
        <v>100.9140625</v>
      </c>
      <c r="BM44" s="75">
        <v>45813.625</v>
      </c>
      <c r="BN44" s="54">
        <v>101.890625</v>
      </c>
      <c r="BO44" s="75">
        <v>45813.625</v>
      </c>
      <c r="BP44" s="54">
        <v>95.90625</v>
      </c>
      <c r="BR44" s="131">
        <f t="shared" si="20"/>
        <v>45908.625</v>
      </c>
      <c r="BS44" s="45">
        <f t="shared" si="21"/>
        <v>107.2625</v>
      </c>
      <c r="BT44" s="46">
        <f t="shared" si="47"/>
        <v>-78900.000000000859</v>
      </c>
      <c r="BU44" s="46">
        <f t="shared" si="48"/>
        <v>145833.33333333334</v>
      </c>
      <c r="BV44" s="45">
        <f t="shared" si="49"/>
        <v>49.890999999999998</v>
      </c>
      <c r="BW44" s="46">
        <f t="shared" si="50"/>
        <v>18168.750000000022</v>
      </c>
      <c r="BX44" s="47">
        <f t="shared" si="51"/>
        <v>145833.33333333334</v>
      </c>
      <c r="BY44" s="45">
        <f t="shared" si="52"/>
        <v>-97068.750000000873</v>
      </c>
      <c r="CA44" s="129">
        <v>45817.625</v>
      </c>
      <c r="CB44" s="54">
        <v>106.6589</v>
      </c>
      <c r="CC44" s="129">
        <v>45817.625</v>
      </c>
      <c r="CD44" s="54">
        <v>53.728999999999999</v>
      </c>
      <c r="CF44" s="131">
        <v>45908.625</v>
      </c>
      <c r="CG44" s="45">
        <f t="shared" si="22"/>
        <v>261.50299999999999</v>
      </c>
      <c r="CH44" s="46">
        <f t="shared" si="53"/>
        <v>52409.280000000239</v>
      </c>
      <c r="CI44" s="46">
        <f t="shared" si="54"/>
        <v>122500</v>
      </c>
      <c r="CJ44" s="45">
        <f t="shared" si="55"/>
        <v>53.42</v>
      </c>
      <c r="CK44" s="46">
        <f t="shared" si="56"/>
        <v>-27473.040000000216</v>
      </c>
      <c r="CL44" s="47">
        <f t="shared" si="57"/>
        <v>110250</v>
      </c>
      <c r="CM44" s="45">
        <f t="shared" si="58"/>
        <v>92132.320000000444</v>
      </c>
      <c r="CO44" s="129">
        <v>45817.625</v>
      </c>
      <c r="CP44" s="54">
        <v>288.13</v>
      </c>
      <c r="CQ44" s="129">
        <v>45817.625</v>
      </c>
      <c r="CR44" s="54">
        <v>55.499000000000002</v>
      </c>
      <c r="CS44" s="54"/>
      <c r="CT44" s="54"/>
      <c r="CU44" s="54"/>
      <c r="CV44" s="54"/>
      <c r="CW44" s="54"/>
      <c r="CX44" s="54"/>
      <c r="CY44" s="54"/>
      <c r="DF44" s="142">
        <v>45909.625</v>
      </c>
      <c r="DG44" s="58">
        <f t="shared" si="4"/>
        <v>36386.224515858805</v>
      </c>
      <c r="DH44" s="58">
        <f t="shared" si="5"/>
        <v>-153905.53055257845</v>
      </c>
      <c r="DI44" s="58">
        <f t="shared" si="6"/>
        <v>-112968.75000000009</v>
      </c>
      <c r="DJ44" s="58">
        <f t="shared" si="7"/>
        <v>79303.186666667287</v>
      </c>
      <c r="DK44" s="58">
        <f t="shared" si="23"/>
        <v>-18711.986927068792</v>
      </c>
      <c r="DL44" s="58">
        <f t="shared" si="23"/>
        <v>-31274.206830756826</v>
      </c>
      <c r="DM44" s="58">
        <f t="shared" si="23"/>
        <v>-15899.999999999214</v>
      </c>
      <c r="DN44" s="58">
        <f t="shared" si="23"/>
        <v>-12829.133333333157</v>
      </c>
      <c r="DO44" s="58">
        <f t="shared" si="8"/>
        <v>-18711.986927068792</v>
      </c>
      <c r="DP44" s="58">
        <f t="shared" si="8"/>
        <v>-31274.206830756826</v>
      </c>
      <c r="DQ44" s="58">
        <f t="shared" si="8"/>
        <v>-15899.999999999214</v>
      </c>
      <c r="DR44" s="58">
        <f t="shared" si="8"/>
        <v>-12829.133333333157</v>
      </c>
      <c r="DS44" s="58">
        <f>SUM(DO$15:DO44)</f>
        <v>27991.896595322411</v>
      </c>
      <c r="DT44" s="58">
        <f>SUM(DP$15:DP44)</f>
        <v>-146295.91013176204</v>
      </c>
      <c r="DU44" s="58">
        <f>SUM(DQ$15:DQ44)</f>
        <v>-98287.49999999741</v>
      </c>
      <c r="DV44" s="58">
        <f>SUM(DR$15:DR44)</f>
        <v>61789.42000000042</v>
      </c>
      <c r="DZ44" s="133">
        <v>45909.625</v>
      </c>
      <c r="EA44" s="152">
        <v>-98287.49999999741</v>
      </c>
      <c r="EB44" s="152">
        <v>-146295.91013176204</v>
      </c>
      <c r="EC44" s="152">
        <v>73558.833333333838</v>
      </c>
      <c r="ED44" s="152">
        <v>33323.686423002859</v>
      </c>
    </row>
    <row r="45" spans="1:134" x14ac:dyDescent="0.3">
      <c r="A45" s="142">
        <v>45889.625</v>
      </c>
      <c r="B45" s="76">
        <f t="shared" si="24"/>
        <v>94.64</v>
      </c>
      <c r="C45" s="31">
        <f t="shared" si="9"/>
        <v>165495.20766773206</v>
      </c>
      <c r="D45" s="32">
        <f t="shared" si="10"/>
        <v>-106102.5</v>
      </c>
      <c r="E45" s="76">
        <f t="shared" si="25"/>
        <v>101.083</v>
      </c>
      <c r="F45" s="31">
        <f t="shared" si="11"/>
        <v>-26544.000000000211</v>
      </c>
      <c r="G45" s="32">
        <f t="shared" si="12"/>
        <v>-37775.385620000015</v>
      </c>
      <c r="H45" s="76">
        <f t="shared" si="26"/>
        <v>120.39</v>
      </c>
      <c r="I45" s="31">
        <f t="shared" si="13"/>
        <v>-447425.75881870673</v>
      </c>
      <c r="J45" s="32">
        <f t="shared" si="14"/>
        <v>-182496.3</v>
      </c>
      <c r="K45" s="76">
        <f t="shared" si="27"/>
        <v>99.653999999999996</v>
      </c>
      <c r="L45" s="31">
        <f t="shared" si="15"/>
        <v>-36506.400000003014</v>
      </c>
      <c r="M45" s="32">
        <f t="shared" si="16"/>
        <v>-83089.813893333296</v>
      </c>
      <c r="N45" s="82">
        <f t="shared" si="17"/>
        <v>634037.93821310264</v>
      </c>
      <c r="O45" s="82"/>
      <c r="P45" s="82"/>
      <c r="Q45" s="82">
        <f>$G$5*SUM($O$14:O45)-$H$5*SUM($P$14:P45)</f>
        <v>-576200.5368</v>
      </c>
      <c r="R45" s="82">
        <f t="shared" si="18"/>
        <v>57837.401413102634</v>
      </c>
      <c r="S45" s="143"/>
      <c r="U45" s="75">
        <v>45818.625</v>
      </c>
      <c r="V45" s="54">
        <v>93.67</v>
      </c>
      <c r="W45" s="75">
        <v>45814.625</v>
      </c>
      <c r="X45" s="54">
        <v>101.29900000000001</v>
      </c>
      <c r="Y45" s="125">
        <v>45820.625</v>
      </c>
      <c r="Z45" s="54">
        <v>121.7</v>
      </c>
      <c r="AA45" s="75">
        <v>45904.625</v>
      </c>
      <c r="AB45" s="54">
        <v>99.653999999999996</v>
      </c>
      <c r="AF45" s="131">
        <v>45909.625</v>
      </c>
      <c r="AG45" s="45">
        <f t="shared" si="28"/>
        <v>80.78</v>
      </c>
      <c r="AH45" s="46">
        <f t="shared" si="29"/>
        <v>102548.1665630823</v>
      </c>
      <c r="AI45" s="46">
        <f t="shared" si="59"/>
        <v>-126312.50000000001</v>
      </c>
      <c r="AJ45" s="45">
        <f t="shared" si="31"/>
        <v>101.203125</v>
      </c>
      <c r="AK45" s="46">
        <f t="shared" si="32"/>
        <v>227427.45535714284</v>
      </c>
      <c r="AL45" s="47">
        <f t="shared" si="60"/>
        <v>-5603.7124488467089</v>
      </c>
      <c r="AM45" s="45">
        <f t="shared" si="34"/>
        <v>111.36</v>
      </c>
      <c r="AN45" s="46">
        <f t="shared" si="35"/>
        <v>612301.18598878465</v>
      </c>
      <c r="AO45" s="47">
        <f t="shared" si="61"/>
        <v>-129921.42857142858</v>
      </c>
      <c r="AP45" s="45">
        <f t="shared" si="37"/>
        <v>101.203125</v>
      </c>
      <c r="AQ45" s="46">
        <f t="shared" si="38"/>
        <v>198270.08928571429</v>
      </c>
      <c r="AR45" s="47">
        <f t="shared" si="62"/>
        <v>-4885.2877759176554</v>
      </c>
      <c r="AS45" s="45">
        <f t="shared" si="40"/>
        <v>104.5625</v>
      </c>
      <c r="AT45" s="46">
        <f t="shared" si="41"/>
        <v>148995.53571428571</v>
      </c>
      <c r="AU45" s="47">
        <f t="shared" si="63"/>
        <v>2045.3994605654771</v>
      </c>
      <c r="AV45" s="45">
        <f t="shared" si="43"/>
        <v>98.421875</v>
      </c>
      <c r="AW45" s="46">
        <f t="shared" si="44"/>
        <v>273046.875</v>
      </c>
      <c r="AX45" s="47">
        <f t="shared" si="64"/>
        <v>5516.1217447916715</v>
      </c>
      <c r="AY45" s="82">
        <f t="shared" si="65"/>
        <v>-104979.10033313035</v>
      </c>
      <c r="AZ45" s="82"/>
      <c r="BA45" s="82"/>
      <c r="BB45" s="82">
        <f>$AO$4*SUM($AZ$14:AZ45)-$AP$4*SUM($BA$14:BA45)</f>
        <v>48926.430219448084</v>
      </c>
      <c r="BC45" s="82">
        <f t="shared" si="19"/>
        <v>-153905.53055257845</v>
      </c>
      <c r="BE45" s="75">
        <v>45813.625</v>
      </c>
      <c r="BF45" s="54">
        <v>79.31</v>
      </c>
      <c r="BG45" s="75">
        <v>45924.625</v>
      </c>
      <c r="BH45" s="54">
        <v>100.71875</v>
      </c>
      <c r="BI45" s="75">
        <v>45813.625</v>
      </c>
      <c r="BJ45" s="54">
        <v>107.57</v>
      </c>
      <c r="BK45" s="75">
        <v>45924.625</v>
      </c>
      <c r="BL45" s="54">
        <v>100.71875</v>
      </c>
      <c r="BM45" s="75">
        <v>45814.625</v>
      </c>
      <c r="BN45" s="54">
        <v>101</v>
      </c>
      <c r="BO45" s="75">
        <v>45814.625</v>
      </c>
      <c r="BP45" s="54">
        <v>94.703125</v>
      </c>
      <c r="BR45" s="131">
        <f t="shared" si="20"/>
        <v>45909.625</v>
      </c>
      <c r="BS45" s="45">
        <f t="shared" si="21"/>
        <v>107.24930000000001</v>
      </c>
      <c r="BT45" s="46">
        <f t="shared" si="47"/>
        <v>-82200.000000000276</v>
      </c>
      <c r="BU45" s="46">
        <f t="shared" si="48"/>
        <v>149305.55555555559</v>
      </c>
      <c r="BV45" s="45">
        <f t="shared" si="49"/>
        <v>49.667000000000002</v>
      </c>
      <c r="BW45" s="46">
        <f t="shared" si="50"/>
        <v>30768.749999999836</v>
      </c>
      <c r="BX45" s="47">
        <f t="shared" si="51"/>
        <v>149305.55555555556</v>
      </c>
      <c r="BY45" s="45">
        <f t="shared" si="52"/>
        <v>-112968.75000000009</v>
      </c>
      <c r="CA45" s="129">
        <v>45818.625</v>
      </c>
      <c r="CB45" s="54">
        <v>106.8021</v>
      </c>
      <c r="CC45" s="129">
        <v>45818.625</v>
      </c>
      <c r="CD45" s="54">
        <v>53.005000000000003</v>
      </c>
      <c r="CF45" s="131">
        <v>45909.625</v>
      </c>
      <c r="CG45" s="45">
        <f t="shared" si="22"/>
        <v>261.88799999999998</v>
      </c>
      <c r="CH45" s="46">
        <f t="shared" si="53"/>
        <v>48851.880000000325</v>
      </c>
      <c r="CI45" s="46">
        <f t="shared" si="54"/>
        <v>125416.66666666669</v>
      </c>
      <c r="CJ45" s="45">
        <f t="shared" si="55"/>
        <v>53.2</v>
      </c>
      <c r="CK45" s="46">
        <f t="shared" si="56"/>
        <v>-17909.640000000265</v>
      </c>
      <c r="CL45" s="47">
        <f t="shared" si="57"/>
        <v>112875</v>
      </c>
      <c r="CM45" s="45">
        <f t="shared" si="58"/>
        <v>79303.186666667287</v>
      </c>
      <c r="CO45" s="129">
        <v>45818.625</v>
      </c>
      <c r="CP45" s="54">
        <v>288.601</v>
      </c>
      <c r="CQ45" s="129">
        <v>45818.625</v>
      </c>
      <c r="CR45" s="54">
        <v>55.426000000000002</v>
      </c>
      <c r="CS45" s="54"/>
      <c r="CT45" s="54"/>
      <c r="CU45" s="54"/>
      <c r="CV45" s="54"/>
      <c r="CW45" s="54"/>
      <c r="CX45" s="54"/>
      <c r="CY45" s="54"/>
      <c r="DF45" s="142">
        <v>45910.625</v>
      </c>
      <c r="DG45" s="58">
        <f t="shared" si="4"/>
        <v>5466.4184178904397</v>
      </c>
      <c r="DH45" s="58">
        <f t="shared" si="5"/>
        <v>-160013.64186113776</v>
      </c>
      <c r="DI45" s="58">
        <f t="shared" si="6"/>
        <v>-116187.50000000153</v>
      </c>
      <c r="DJ45" s="58">
        <f t="shared" si="7"/>
        <v>75135.92333333366</v>
      </c>
      <c r="DK45" s="58">
        <f t="shared" si="23"/>
        <v>-30919.806097968365</v>
      </c>
      <c r="DL45" s="58">
        <f t="shared" si="23"/>
        <v>-6108.1113085593097</v>
      </c>
      <c r="DM45" s="58">
        <f t="shared" si="23"/>
        <v>-3218.7500000014406</v>
      </c>
      <c r="DN45" s="58">
        <f t="shared" si="23"/>
        <v>-4167.2633333336271</v>
      </c>
      <c r="DO45" s="58">
        <f t="shared" si="8"/>
        <v>-30919.806097968365</v>
      </c>
      <c r="DP45" s="58">
        <f t="shared" si="8"/>
        <v>-6108.1113085593097</v>
      </c>
      <c r="DQ45" s="58">
        <f t="shared" si="8"/>
        <v>-3218.7500000014406</v>
      </c>
      <c r="DR45" s="58">
        <f t="shared" si="8"/>
        <v>-4167.2633333336271</v>
      </c>
      <c r="DS45" s="58">
        <f>SUM(DO$15:DO45)</f>
        <v>-2927.9095026459545</v>
      </c>
      <c r="DT45" s="58">
        <f>SUM(DP$15:DP45)</f>
        <v>-152404.02144032135</v>
      </c>
      <c r="DU45" s="58">
        <f>SUM(DQ$15:DQ45)</f>
        <v>-101506.24999999885</v>
      </c>
      <c r="DV45" s="58">
        <f>SUM(DR$15:DR45)</f>
        <v>57622.156666666793</v>
      </c>
      <c r="DZ45" s="133">
        <v>45910.625</v>
      </c>
      <c r="EA45" s="152">
        <v>-101506.24999999885</v>
      </c>
      <c r="EB45" s="152">
        <v>-152404.02144032135</v>
      </c>
      <c r="EC45" s="152">
        <v>68597.805555555737</v>
      </c>
      <c r="ED45" s="152">
        <v>-3485.6065507689491</v>
      </c>
    </row>
    <row r="46" spans="1:134" x14ac:dyDescent="0.3">
      <c r="A46" s="142">
        <v>45890.625</v>
      </c>
      <c r="B46" s="76">
        <f t="shared" si="24"/>
        <v>94.47</v>
      </c>
      <c r="C46" s="31">
        <f t="shared" si="9"/>
        <v>127476.03833865817</v>
      </c>
      <c r="D46" s="32">
        <f t="shared" si="10"/>
        <v>-108569.99999999999</v>
      </c>
      <c r="E46" s="76">
        <f t="shared" si="25"/>
        <v>100.955</v>
      </c>
      <c r="F46" s="31">
        <f t="shared" si="11"/>
        <v>-48048.000000000226</v>
      </c>
      <c r="G46" s="32">
        <f t="shared" si="12"/>
        <v>-38653.882959999988</v>
      </c>
      <c r="H46" s="76">
        <f t="shared" si="26"/>
        <v>120.12</v>
      </c>
      <c r="I46" s="31">
        <f t="shared" si="13"/>
        <v>-527429.04019688279</v>
      </c>
      <c r="J46" s="32">
        <f t="shared" si="14"/>
        <v>-186740.39999999997</v>
      </c>
      <c r="K46" s="76">
        <f t="shared" si="27"/>
        <v>99.468999999999994</v>
      </c>
      <c r="L46" s="31">
        <f t="shared" si="15"/>
        <v>-100220.40000000381</v>
      </c>
      <c r="M46" s="32">
        <f t="shared" si="16"/>
        <v>-85022.135146666682</v>
      </c>
      <c r="N46" s="82">
        <f t="shared" si="17"/>
        <v>634534.82634887064</v>
      </c>
      <c r="O46" s="82"/>
      <c r="P46" s="82"/>
      <c r="Q46" s="82">
        <f>$G$5*SUM($O$14:O46)-$H$5*SUM($P$14:P46)</f>
        <v>-576200.5368</v>
      </c>
      <c r="R46" s="82">
        <f t="shared" si="18"/>
        <v>58334.289548870642</v>
      </c>
      <c r="S46" s="143"/>
      <c r="U46" s="75">
        <v>45819.625</v>
      </c>
      <c r="V46" s="54">
        <v>93.76</v>
      </c>
      <c r="W46" s="75">
        <v>45817.625</v>
      </c>
      <c r="X46" s="54">
        <v>101.297</v>
      </c>
      <c r="Y46" s="125">
        <v>45821.625</v>
      </c>
      <c r="Z46" s="54">
        <v>121.38</v>
      </c>
      <c r="AA46" s="75">
        <v>45905.625</v>
      </c>
      <c r="AB46" s="54">
        <v>99.900999999999996</v>
      </c>
      <c r="AF46" s="131">
        <v>45910.625</v>
      </c>
      <c r="AG46" s="45">
        <f t="shared" si="28"/>
        <v>80.84</v>
      </c>
      <c r="AH46" s="46">
        <f t="shared" si="29"/>
        <v>121193.2877563715</v>
      </c>
      <c r="AI46" s="46">
        <f t="shared" si="59"/>
        <v>-129249.99999999999</v>
      </c>
      <c r="AJ46" s="45">
        <f t="shared" si="31"/>
        <v>101.2734375</v>
      </c>
      <c r="AK46" s="46">
        <f t="shared" si="32"/>
        <v>237220.98214285716</v>
      </c>
      <c r="AL46" s="47">
        <f t="shared" si="60"/>
        <v>-5734.0313430059614</v>
      </c>
      <c r="AM46" s="45">
        <f t="shared" si="34"/>
        <v>111.69</v>
      </c>
      <c r="AN46" s="46">
        <f t="shared" si="35"/>
        <v>690316.39501438069</v>
      </c>
      <c r="AO46" s="47">
        <f t="shared" si="61"/>
        <v>-132942.85714285716</v>
      </c>
      <c r="AP46" s="45">
        <f t="shared" si="37"/>
        <v>101.2734375</v>
      </c>
      <c r="AQ46" s="46">
        <f t="shared" si="38"/>
        <v>206808.03571428574</v>
      </c>
      <c r="AR46" s="47">
        <f t="shared" si="62"/>
        <v>-4998.8991195436465</v>
      </c>
      <c r="AS46" s="45">
        <f t="shared" si="40"/>
        <v>104.875</v>
      </c>
      <c r="AT46" s="46">
        <f t="shared" si="41"/>
        <v>165736.60714285716</v>
      </c>
      <c r="AU46" s="47">
        <f t="shared" si="63"/>
        <v>2092.9668898809505</v>
      </c>
      <c r="AV46" s="45">
        <f t="shared" si="43"/>
        <v>98.921875</v>
      </c>
      <c r="AW46" s="46">
        <f t="shared" si="44"/>
        <v>310546.875</v>
      </c>
      <c r="AX46" s="47">
        <f t="shared" si="64"/>
        <v>5644.4036458333358</v>
      </c>
      <c r="AY46" s="82">
        <f t="shared" si="65"/>
        <v>-111087.21164168968</v>
      </c>
      <c r="AZ46" s="82"/>
      <c r="BA46" s="82"/>
      <c r="BB46" s="82">
        <f>$AO$4*SUM($AZ$14:AZ46)-$AP$4*SUM($BA$14:BA46)</f>
        <v>48926.430219448084</v>
      </c>
      <c r="BC46" s="82">
        <f t="shared" si="19"/>
        <v>-160013.64186113776</v>
      </c>
      <c r="BE46" s="75">
        <v>45814.625</v>
      </c>
      <c r="BF46" s="54">
        <v>79.3</v>
      </c>
      <c r="BG46" s="75">
        <v>45925.625</v>
      </c>
      <c r="BH46" s="54">
        <v>100.5</v>
      </c>
      <c r="BI46" s="75">
        <v>45814.625</v>
      </c>
      <c r="BJ46" s="54">
        <v>106.92</v>
      </c>
      <c r="BK46" s="75">
        <v>45925.625</v>
      </c>
      <c r="BL46" s="54">
        <v>100.5</v>
      </c>
      <c r="BM46" s="75">
        <v>45817.625</v>
      </c>
      <c r="BN46" s="54">
        <v>101.140625</v>
      </c>
      <c r="BO46" s="75">
        <v>45817.625</v>
      </c>
      <c r="BP46" s="54">
        <v>94.796875</v>
      </c>
      <c r="BR46" s="131">
        <f t="shared" si="20"/>
        <v>45910.625</v>
      </c>
      <c r="BS46" s="45">
        <f t="shared" si="21"/>
        <v>107.3793</v>
      </c>
      <c r="BT46" s="46">
        <f t="shared" si="47"/>
        <v>-49700.000000001412</v>
      </c>
      <c r="BU46" s="46">
        <f t="shared" si="48"/>
        <v>152777.77777777778</v>
      </c>
      <c r="BV46" s="45">
        <f t="shared" si="49"/>
        <v>49.031999999999996</v>
      </c>
      <c r="BW46" s="46">
        <f t="shared" si="50"/>
        <v>66487.500000000116</v>
      </c>
      <c r="BX46" s="47">
        <f t="shared" si="51"/>
        <v>152777.77777777778</v>
      </c>
      <c r="BY46" s="45">
        <f t="shared" si="52"/>
        <v>-116187.50000000153</v>
      </c>
      <c r="CA46" s="129">
        <v>45819.625</v>
      </c>
      <c r="CB46" s="54">
        <v>106.7745</v>
      </c>
      <c r="CC46" s="129">
        <v>45819.625</v>
      </c>
      <c r="CD46" s="54">
        <v>53.15</v>
      </c>
      <c r="CF46" s="131">
        <v>45910.625</v>
      </c>
      <c r="CG46" s="45">
        <f t="shared" si="22"/>
        <v>258.988</v>
      </c>
      <c r="CH46" s="46">
        <f t="shared" si="53"/>
        <v>75647.880000000121</v>
      </c>
      <c r="CI46" s="46">
        <f t="shared" si="54"/>
        <v>128333.33333333333</v>
      </c>
      <c r="CJ46" s="45">
        <f t="shared" si="55"/>
        <v>52.481000000000002</v>
      </c>
      <c r="CK46" s="46">
        <f t="shared" si="56"/>
        <v>13345.289999999786</v>
      </c>
      <c r="CL46" s="47">
        <f t="shared" si="57"/>
        <v>115500</v>
      </c>
      <c r="CM46" s="45">
        <f t="shared" si="58"/>
        <v>75135.92333333366</v>
      </c>
      <c r="CO46" s="129">
        <v>45819.625</v>
      </c>
      <c r="CP46" s="54">
        <v>284.75799999999998</v>
      </c>
      <c r="CQ46" s="129">
        <v>45819.625</v>
      </c>
      <c r="CR46" s="54">
        <v>54.582999999999998</v>
      </c>
      <c r="CS46" s="54"/>
      <c r="CT46" s="54"/>
      <c r="CU46" s="54"/>
      <c r="CV46" s="54"/>
      <c r="CW46" s="54"/>
      <c r="CX46" s="54"/>
      <c r="CY46" s="54"/>
      <c r="DF46" s="142">
        <v>45911.625</v>
      </c>
      <c r="DG46" s="58">
        <f t="shared" si="4"/>
        <v>12091.450155399914</v>
      </c>
      <c r="DH46" s="58">
        <f t="shared" si="5"/>
        <v>-162093.46979187863</v>
      </c>
      <c r="DI46" s="58">
        <f t="shared" si="6"/>
        <v>-107900.00000000207</v>
      </c>
      <c r="DJ46" s="58">
        <f t="shared" si="7"/>
        <v>72519.930000000226</v>
      </c>
      <c r="DK46" s="58">
        <f t="shared" si="23"/>
        <v>6625.0317375094746</v>
      </c>
      <c r="DL46" s="58">
        <f t="shared" si="23"/>
        <v>-2079.8279307408666</v>
      </c>
      <c r="DM46" s="58">
        <f t="shared" si="23"/>
        <v>8287.4999999994616</v>
      </c>
      <c r="DN46" s="58">
        <f t="shared" si="23"/>
        <v>-2615.9933333334338</v>
      </c>
      <c r="DO46" s="58">
        <f t="shared" si="8"/>
        <v>6625.0317375094746</v>
      </c>
      <c r="DP46" s="58">
        <f t="shared" si="8"/>
        <v>-2079.8279307408666</v>
      </c>
      <c r="DQ46" s="58">
        <f t="shared" si="8"/>
        <v>8287.4999999994616</v>
      </c>
      <c r="DR46" s="58">
        <f t="shared" si="8"/>
        <v>-2615.9933333334338</v>
      </c>
      <c r="DS46" s="58">
        <f>SUM(DO$15:DO46)</f>
        <v>3697.1222348635201</v>
      </c>
      <c r="DT46" s="58">
        <f>SUM(DP$15:DP46)</f>
        <v>-154483.84937106221</v>
      </c>
      <c r="DU46" s="58">
        <f>SUM(DQ$15:DQ46)</f>
        <v>-93218.749999999389</v>
      </c>
      <c r="DV46" s="58">
        <f>SUM(DR$15:DR46)</f>
        <v>55006.163333333359</v>
      </c>
      <c r="DZ46" s="133">
        <v>45911.625</v>
      </c>
      <c r="EA46" s="152">
        <v>-93218.749999999389</v>
      </c>
      <c r="EB46" s="152">
        <v>-154483.84937106221</v>
      </c>
      <c r="EC46" s="152">
        <v>65483.52777777781</v>
      </c>
      <c r="ED46" s="152">
        <v>4402.6021986471314</v>
      </c>
    </row>
    <row r="47" spans="1:134" x14ac:dyDescent="0.3">
      <c r="A47" s="142">
        <v>45891.625</v>
      </c>
      <c r="B47" s="76">
        <f t="shared" si="24"/>
        <v>94.76</v>
      </c>
      <c r="C47" s="31">
        <f t="shared" si="9"/>
        <v>192332.26837060502</v>
      </c>
      <c r="D47" s="32">
        <f t="shared" si="10"/>
        <v>-111037.5</v>
      </c>
      <c r="E47" s="76">
        <f t="shared" si="25"/>
        <v>101.027</v>
      </c>
      <c r="F47" s="31">
        <f t="shared" si="11"/>
        <v>-35951.999999999774</v>
      </c>
      <c r="G47" s="32">
        <f t="shared" si="12"/>
        <v>-39532.38029999999</v>
      </c>
      <c r="H47" s="76">
        <f t="shared" si="26"/>
        <v>120.28</v>
      </c>
      <c r="I47" s="31">
        <f t="shared" si="13"/>
        <v>-480019.68826907623</v>
      </c>
      <c r="J47" s="32">
        <f t="shared" si="14"/>
        <v>-190984.5</v>
      </c>
      <c r="K47" s="76">
        <f t="shared" si="27"/>
        <v>99.596000000000004</v>
      </c>
      <c r="L47" s="31">
        <f t="shared" si="15"/>
        <v>-56481.600000000508</v>
      </c>
      <c r="M47" s="32">
        <f t="shared" si="16"/>
        <v>-86954.456399999995</v>
      </c>
      <c r="N47" s="82">
        <f t="shared" si="17"/>
        <v>684347.28053968039</v>
      </c>
      <c r="O47" s="82"/>
      <c r="P47" s="82"/>
      <c r="Q47" s="82">
        <f>$G$5*SUM($O$14:O47)-$H$5*SUM($P$14:P47)</f>
        <v>-576200.5368</v>
      </c>
      <c r="R47" s="82">
        <f t="shared" si="18"/>
        <v>108146.74373968039</v>
      </c>
      <c r="S47" s="143"/>
      <c r="U47" s="75">
        <v>45820.625</v>
      </c>
      <c r="V47" s="54">
        <v>93.76</v>
      </c>
      <c r="W47" s="75">
        <v>45818.625</v>
      </c>
      <c r="X47" s="54">
        <v>101.38500000000001</v>
      </c>
      <c r="Y47" s="125">
        <v>45825.625</v>
      </c>
      <c r="Z47" s="54">
        <v>121.5</v>
      </c>
      <c r="AA47" s="75">
        <v>45908.625</v>
      </c>
      <c r="AB47" s="54">
        <v>99.972999999999999</v>
      </c>
      <c r="AF47" s="131">
        <v>45911.625</v>
      </c>
      <c r="AG47" s="45">
        <f t="shared" si="28"/>
        <v>81.040000000000006</v>
      </c>
      <c r="AH47" s="46">
        <f t="shared" si="29"/>
        <v>183343.69173399478</v>
      </c>
      <c r="AI47" s="46">
        <f t="shared" si="59"/>
        <v>-132187.5</v>
      </c>
      <c r="AJ47" s="45">
        <f t="shared" si="31"/>
        <v>101.2734375</v>
      </c>
      <c r="AK47" s="46">
        <f t="shared" si="32"/>
        <v>237220.98214285716</v>
      </c>
      <c r="AL47" s="47">
        <f t="shared" si="60"/>
        <v>-5864.3502371651703</v>
      </c>
      <c r="AM47" s="45">
        <f t="shared" si="34"/>
        <v>112.21</v>
      </c>
      <c r="AN47" s="46">
        <f t="shared" si="35"/>
        <v>813249.45166077802</v>
      </c>
      <c r="AO47" s="47">
        <f t="shared" si="61"/>
        <v>-135964.28571428571</v>
      </c>
      <c r="AP47" s="45">
        <f t="shared" si="37"/>
        <v>101.2734375</v>
      </c>
      <c r="AQ47" s="46">
        <f t="shared" si="38"/>
        <v>206808.03571428574</v>
      </c>
      <c r="AR47" s="47">
        <f t="shared" si="62"/>
        <v>-5112.5104631696377</v>
      </c>
      <c r="AS47" s="45">
        <f t="shared" si="40"/>
        <v>105.046875</v>
      </c>
      <c r="AT47" s="46">
        <f t="shared" si="41"/>
        <v>174944.19642857142</v>
      </c>
      <c r="AU47" s="47">
        <f t="shared" si="63"/>
        <v>2140.5343191964312</v>
      </c>
      <c r="AV47" s="45">
        <f t="shared" si="43"/>
        <v>99.578125</v>
      </c>
      <c r="AW47" s="46">
        <f t="shared" si="44"/>
        <v>359765.625</v>
      </c>
      <c r="AX47" s="47">
        <f t="shared" si="64"/>
        <v>5772.685546875</v>
      </c>
      <c r="AY47" s="82">
        <f t="shared" si="65"/>
        <v>-113167.03957243054</v>
      </c>
      <c r="AZ47" s="82"/>
      <c r="BA47" s="82"/>
      <c r="BB47" s="82">
        <f>$AO$4*SUM($AZ$14:AZ47)-$AP$4*SUM($BA$14:BA47)</f>
        <v>48926.430219448084</v>
      </c>
      <c r="BC47" s="82">
        <f t="shared" si="19"/>
        <v>-162093.46979187863</v>
      </c>
      <c r="BE47" s="75">
        <v>45817.625</v>
      </c>
      <c r="BF47" s="54">
        <v>79.34</v>
      </c>
      <c r="BG47" s="75">
        <v>45926.625</v>
      </c>
      <c r="BH47" s="54">
        <v>100.4921875</v>
      </c>
      <c r="BI47" s="75">
        <v>45817.625</v>
      </c>
      <c r="BJ47" s="54">
        <v>107.24</v>
      </c>
      <c r="BK47" s="75">
        <v>45926.625</v>
      </c>
      <c r="BL47" s="54">
        <v>100.4921875</v>
      </c>
      <c r="BM47" s="75">
        <v>45818.625</v>
      </c>
      <c r="BN47" s="54">
        <v>101.3125</v>
      </c>
      <c r="BO47" s="75">
        <v>45818.625</v>
      </c>
      <c r="BP47" s="54">
        <v>95.234375</v>
      </c>
      <c r="BR47" s="131">
        <f t="shared" si="20"/>
        <v>45911.625</v>
      </c>
      <c r="BS47" s="45">
        <f t="shared" si="21"/>
        <v>107.7234</v>
      </c>
      <c r="BT47" s="46">
        <f t="shared" si="47"/>
        <v>36324.999999997941</v>
      </c>
      <c r="BU47" s="46">
        <f t="shared" si="48"/>
        <v>156250</v>
      </c>
      <c r="BV47" s="45">
        <f t="shared" si="49"/>
        <v>47.65</v>
      </c>
      <c r="BW47" s="46">
        <f t="shared" si="50"/>
        <v>144225</v>
      </c>
      <c r="BX47" s="47">
        <f t="shared" si="51"/>
        <v>156250</v>
      </c>
      <c r="BY47" s="45">
        <f t="shared" si="52"/>
        <v>-107900.00000000207</v>
      </c>
      <c r="CA47" s="129">
        <v>45820.625</v>
      </c>
      <c r="CB47" s="54">
        <v>106.71720000000001</v>
      </c>
      <c r="CC47" s="129">
        <v>45820.625</v>
      </c>
      <c r="CD47" s="54">
        <v>53.576999999999998</v>
      </c>
      <c r="CF47" s="131">
        <v>45911.625</v>
      </c>
      <c r="CG47" s="45">
        <f t="shared" si="22"/>
        <v>253.00800000000001</v>
      </c>
      <c r="CH47" s="46">
        <f t="shared" si="53"/>
        <v>130903.08000000005</v>
      </c>
      <c r="CI47" s="46">
        <f t="shared" si="54"/>
        <v>131250</v>
      </c>
      <c r="CJ47" s="45">
        <f t="shared" si="55"/>
        <v>51.143000000000001</v>
      </c>
      <c r="CK47" s="46">
        <f t="shared" si="56"/>
        <v>71508.149999999834</v>
      </c>
      <c r="CL47" s="47">
        <f t="shared" si="57"/>
        <v>118125</v>
      </c>
      <c r="CM47" s="45">
        <f t="shared" si="58"/>
        <v>72519.930000000226</v>
      </c>
      <c r="CO47" s="129">
        <v>45820.625</v>
      </c>
      <c r="CP47" s="54">
        <v>289.94499999999999</v>
      </c>
      <c r="CQ47" s="129">
        <v>45820.625</v>
      </c>
      <c r="CR47" s="54">
        <v>55.628</v>
      </c>
      <c r="CS47" s="54"/>
      <c r="CT47" s="54"/>
      <c r="CU47" s="54"/>
      <c r="CV47" s="54"/>
      <c r="CW47" s="54"/>
      <c r="CX47" s="54"/>
      <c r="CY47" s="54"/>
      <c r="DF47" s="142">
        <v>45912.625</v>
      </c>
      <c r="DG47" s="58">
        <f t="shared" si="4"/>
        <v>34955.09401248541</v>
      </c>
      <c r="DH47" s="58">
        <f t="shared" si="5"/>
        <v>-186716.62963804047</v>
      </c>
      <c r="DI47" s="58">
        <f t="shared" si="6"/>
        <v>-112062.50000000326</v>
      </c>
      <c r="DJ47" s="58">
        <f t="shared" si="7"/>
        <v>71067.12666666678</v>
      </c>
      <c r="DK47" s="58">
        <f t="shared" si="23"/>
        <v>22863.643857085495</v>
      </c>
      <c r="DL47" s="58">
        <f t="shared" si="23"/>
        <v>-24623.159846161841</v>
      </c>
      <c r="DM47" s="58">
        <f t="shared" si="23"/>
        <v>-4162.5000000011933</v>
      </c>
      <c r="DN47" s="58">
        <f t="shared" si="23"/>
        <v>-1452.8033333334461</v>
      </c>
      <c r="DO47" s="58">
        <f t="shared" si="8"/>
        <v>22863.643857085495</v>
      </c>
      <c r="DP47" s="58">
        <f t="shared" si="8"/>
        <v>-24623.159846161841</v>
      </c>
      <c r="DQ47" s="58">
        <f t="shared" si="8"/>
        <v>-4162.5000000011933</v>
      </c>
      <c r="DR47" s="58">
        <f t="shared" si="8"/>
        <v>-1452.8033333334461</v>
      </c>
      <c r="DS47" s="58">
        <f>SUM(DO$15:DO47)</f>
        <v>26560.766091949015</v>
      </c>
      <c r="DT47" s="58">
        <f>SUM(DP$15:DP47)</f>
        <v>-179107.00921722405</v>
      </c>
      <c r="DU47" s="58">
        <f>SUM(DQ$15:DQ47)</f>
        <v>-97381.250000000582</v>
      </c>
      <c r="DV47" s="58">
        <f>SUM(DR$15:DR47)</f>
        <v>53553.359999999913</v>
      </c>
      <c r="DZ47" s="133">
        <v>45912.625</v>
      </c>
      <c r="EA47" s="152">
        <v>-97381.250000000582</v>
      </c>
      <c r="EB47" s="152">
        <v>-179107.00921722405</v>
      </c>
      <c r="EC47" s="152">
        <v>63753.999999999884</v>
      </c>
      <c r="ED47" s="152">
        <v>31621.225838034385</v>
      </c>
    </row>
    <row r="48" spans="1:134" x14ac:dyDescent="0.3">
      <c r="A48" s="142">
        <v>45894.625</v>
      </c>
      <c r="B48" s="76">
        <f t="shared" si="24"/>
        <v>94.76</v>
      </c>
      <c r="C48" s="31">
        <f t="shared" si="9"/>
        <v>192332.26837060502</v>
      </c>
      <c r="D48" s="32">
        <f t="shared" si="10"/>
        <v>-118439.99999999999</v>
      </c>
      <c r="E48" s="76">
        <f t="shared" si="25"/>
        <v>100.916</v>
      </c>
      <c r="F48" s="31">
        <f t="shared" si="11"/>
        <v>-54600.00000000048</v>
      </c>
      <c r="G48" s="32">
        <f t="shared" si="12"/>
        <v>-42167.872319999995</v>
      </c>
      <c r="H48" s="76">
        <f t="shared" si="26"/>
        <v>120.28</v>
      </c>
      <c r="I48" s="31">
        <f t="shared" si="13"/>
        <v>-480019.68826907623</v>
      </c>
      <c r="J48" s="32">
        <f t="shared" si="14"/>
        <v>-203716.79999999996</v>
      </c>
      <c r="K48" s="76">
        <f t="shared" si="27"/>
        <v>99.394999999999996</v>
      </c>
      <c r="L48" s="31">
        <f t="shared" si="15"/>
        <v>-125706.00000000314</v>
      </c>
      <c r="M48" s="32">
        <f t="shared" si="16"/>
        <v>-92751.420159999994</v>
      </c>
      <c r="N48" s="82">
        <f t="shared" si="17"/>
        <v>635939.2087996786</v>
      </c>
      <c r="O48" s="82"/>
      <c r="P48" s="82"/>
      <c r="Q48" s="82">
        <f>$G$5*SUM($O$14:O48)-$H$5*SUM($P$14:P48)</f>
        <v>-576200.5368</v>
      </c>
      <c r="R48" s="82">
        <f t="shared" si="18"/>
        <v>59738.671999678598</v>
      </c>
      <c r="S48" s="143"/>
      <c r="U48" s="75">
        <v>45821.625</v>
      </c>
      <c r="V48" s="54">
        <v>93.42</v>
      </c>
      <c r="W48" s="75">
        <v>45819.625</v>
      </c>
      <c r="X48" s="54">
        <v>101.398</v>
      </c>
      <c r="Y48" s="125">
        <v>45826.625</v>
      </c>
      <c r="Z48" s="54">
        <v>121.52</v>
      </c>
      <c r="AA48" s="75">
        <v>45909.625</v>
      </c>
      <c r="AB48" s="54">
        <v>99.885999999999996</v>
      </c>
      <c r="AF48" s="131">
        <v>45912.625</v>
      </c>
      <c r="AG48" s="45">
        <f t="shared" si="28"/>
        <v>80.959999999999994</v>
      </c>
      <c r="AH48" s="46">
        <f t="shared" si="29"/>
        <v>158483.53014294436</v>
      </c>
      <c r="AI48" s="46">
        <f t="shared" si="59"/>
        <v>-135124.99999999997</v>
      </c>
      <c r="AJ48" s="45">
        <f t="shared" si="31"/>
        <v>101.1015625</v>
      </c>
      <c r="AK48" s="46">
        <f t="shared" si="32"/>
        <v>213281.25</v>
      </c>
      <c r="AL48" s="47">
        <f t="shared" si="60"/>
        <v>-5994.6691313244082</v>
      </c>
      <c r="AM48" s="45">
        <f t="shared" si="34"/>
        <v>112.01</v>
      </c>
      <c r="AN48" s="46">
        <f t="shared" si="35"/>
        <v>765967.50679677993</v>
      </c>
      <c r="AO48" s="47">
        <f t="shared" si="61"/>
        <v>-138985.71428571429</v>
      </c>
      <c r="AP48" s="45">
        <f t="shared" si="37"/>
        <v>101.1015625</v>
      </c>
      <c r="AQ48" s="46">
        <f t="shared" si="38"/>
        <v>185937.5</v>
      </c>
      <c r="AR48" s="47">
        <f t="shared" si="62"/>
        <v>-5226.1218067956361</v>
      </c>
      <c r="AS48" s="45">
        <f t="shared" si="40"/>
        <v>104.71875</v>
      </c>
      <c r="AT48" s="46">
        <f t="shared" si="41"/>
        <v>157366.07142857142</v>
      </c>
      <c r="AU48" s="47">
        <f t="shared" si="63"/>
        <v>2188.1017485119046</v>
      </c>
      <c r="AV48" s="45">
        <f t="shared" si="43"/>
        <v>99.140625</v>
      </c>
      <c r="AW48" s="46">
        <f t="shared" si="44"/>
        <v>326953.125</v>
      </c>
      <c r="AX48" s="47">
        <f t="shared" si="64"/>
        <v>5900.9674479166715</v>
      </c>
      <c r="AY48" s="82">
        <f t="shared" si="65"/>
        <v>-137790.19941859238</v>
      </c>
      <c r="AZ48" s="82"/>
      <c r="BA48" s="82"/>
      <c r="BB48" s="82">
        <f>$AO$4*SUM($AZ$14:AZ48)-$AP$4*SUM($BA$14:BA48)</f>
        <v>48926.430219448084</v>
      </c>
      <c r="BC48" s="82">
        <f t="shared" si="19"/>
        <v>-186716.62963804047</v>
      </c>
      <c r="BE48" s="75">
        <v>45818.625</v>
      </c>
      <c r="BF48" s="54">
        <v>79.53</v>
      </c>
      <c r="BG48" s="75">
        <v>45929.625</v>
      </c>
      <c r="BH48" s="54">
        <v>100.6015625</v>
      </c>
      <c r="BI48" s="75">
        <v>45818.625</v>
      </c>
      <c r="BJ48" s="54">
        <v>107.5</v>
      </c>
      <c r="BK48" s="75">
        <v>45929.625</v>
      </c>
      <c r="BL48" s="54">
        <v>100.6015625</v>
      </c>
      <c r="BM48" s="75">
        <v>45819.625</v>
      </c>
      <c r="BN48" s="54">
        <v>101.71875</v>
      </c>
      <c r="BO48" s="75">
        <v>45819.625</v>
      </c>
      <c r="BP48" s="54">
        <v>95.46875</v>
      </c>
      <c r="BR48" s="131">
        <f t="shared" si="20"/>
        <v>45912.625</v>
      </c>
      <c r="BS48" s="45">
        <f t="shared" si="21"/>
        <v>107.64149999999999</v>
      </c>
      <c r="BT48" s="46">
        <f t="shared" si="47"/>
        <v>15849.999999996809</v>
      </c>
      <c r="BU48" s="46">
        <f t="shared" si="48"/>
        <v>159722.22222222222</v>
      </c>
      <c r="BV48" s="45">
        <f t="shared" si="49"/>
        <v>47.94</v>
      </c>
      <c r="BW48" s="46">
        <f t="shared" si="50"/>
        <v>127912.50000000006</v>
      </c>
      <c r="BX48" s="47">
        <f t="shared" si="51"/>
        <v>159722.22222222222</v>
      </c>
      <c r="BY48" s="45">
        <f t="shared" si="52"/>
        <v>-112062.50000000326</v>
      </c>
      <c r="CA48" s="129">
        <v>45821.625</v>
      </c>
      <c r="CB48" s="54">
        <v>106.2491</v>
      </c>
      <c r="CC48" s="129">
        <v>45821.625</v>
      </c>
      <c r="CD48" s="54">
        <v>56.162999999999997</v>
      </c>
      <c r="CF48" s="131">
        <v>45912.625</v>
      </c>
      <c r="CG48" s="45">
        <f t="shared" si="22"/>
        <v>252.27</v>
      </c>
      <c r="CH48" s="46">
        <f t="shared" si="53"/>
        <v>137722.20000000001</v>
      </c>
      <c r="CI48" s="46">
        <f t="shared" si="54"/>
        <v>134166.66666666666</v>
      </c>
      <c r="CJ48" s="45">
        <f t="shared" si="55"/>
        <v>50.945999999999998</v>
      </c>
      <c r="CK48" s="46">
        <f t="shared" si="56"/>
        <v>80071.739999999947</v>
      </c>
      <c r="CL48" s="47">
        <f t="shared" si="57"/>
        <v>120749.99999999999</v>
      </c>
      <c r="CM48" s="45">
        <f t="shared" si="58"/>
        <v>71067.12666666678</v>
      </c>
      <c r="CO48" s="129">
        <v>45821.625</v>
      </c>
      <c r="CP48" s="54">
        <v>299.64600000000002</v>
      </c>
      <c r="CQ48" s="129">
        <v>45821.625</v>
      </c>
      <c r="CR48" s="54">
        <v>57.968000000000004</v>
      </c>
      <c r="CS48" s="54"/>
      <c r="CT48" s="54"/>
      <c r="CU48" s="54"/>
      <c r="CV48" s="54"/>
      <c r="CW48" s="54"/>
      <c r="CX48" s="54"/>
      <c r="CY48" s="54"/>
      <c r="DF48" s="142">
        <v>45915.625</v>
      </c>
      <c r="DG48" s="58">
        <f t="shared" si="4"/>
        <v>28133.430804065109</v>
      </c>
      <c r="DH48" s="58">
        <f t="shared" si="5"/>
        <v>-170874.13007595699</v>
      </c>
      <c r="DI48" s="58">
        <f t="shared" si="6"/>
        <v>-110406.25000000081</v>
      </c>
      <c r="DJ48" s="58">
        <f t="shared" si="7"/>
        <v>73883.366666667149</v>
      </c>
      <c r="DK48" s="58">
        <f t="shared" si="23"/>
        <v>-6821.6632084203011</v>
      </c>
      <c r="DL48" s="58">
        <f t="shared" si="23"/>
        <v>15842.499562083482</v>
      </c>
      <c r="DM48" s="58">
        <f t="shared" si="23"/>
        <v>1656.2500000024447</v>
      </c>
      <c r="DN48" s="58">
        <f t="shared" si="23"/>
        <v>2816.240000000369</v>
      </c>
      <c r="DO48" s="58">
        <f t="shared" si="8"/>
        <v>-6821.6632084203011</v>
      </c>
      <c r="DP48" s="58">
        <f t="shared" si="8"/>
        <v>15842.499562083482</v>
      </c>
      <c r="DQ48" s="58">
        <f t="shared" si="8"/>
        <v>1656.2500000024447</v>
      </c>
      <c r="DR48" s="58">
        <f t="shared" si="8"/>
        <v>2816.240000000369</v>
      </c>
      <c r="DS48" s="58">
        <f>SUM(DO$15:DO48)</f>
        <v>19739.102883528714</v>
      </c>
      <c r="DT48" s="58">
        <f>SUM(DP$15:DP48)</f>
        <v>-163264.50965514057</v>
      </c>
      <c r="DU48" s="58">
        <f>SUM(DQ$15:DQ48)</f>
        <v>-95724.999999998137</v>
      </c>
      <c r="DV48" s="58">
        <f>SUM(DR$15:DR48)</f>
        <v>56369.600000000282</v>
      </c>
      <c r="DZ48" s="133">
        <v>45915.625</v>
      </c>
      <c r="EA48" s="152">
        <v>-95724.999999998137</v>
      </c>
      <c r="EB48" s="152">
        <v>-163264.50965514057</v>
      </c>
      <c r="EC48" s="152">
        <v>67106.666666667064</v>
      </c>
      <c r="ED48" s="152">
        <v>23500.198208962742</v>
      </c>
    </row>
    <row r="49" spans="1:134" x14ac:dyDescent="0.3">
      <c r="A49" s="142">
        <v>45895.625</v>
      </c>
      <c r="B49" s="76">
        <f t="shared" si="24"/>
        <v>94.59</v>
      </c>
      <c r="C49" s="31">
        <f t="shared" si="9"/>
        <v>154313.09904153112</v>
      </c>
      <c r="D49" s="32">
        <f t="shared" si="10"/>
        <v>-120907.49999999997</v>
      </c>
      <c r="E49" s="76">
        <f t="shared" si="25"/>
        <v>101.051</v>
      </c>
      <c r="F49" s="31">
        <f t="shared" si="11"/>
        <v>-31919.999999999618</v>
      </c>
      <c r="G49" s="32">
        <f t="shared" si="12"/>
        <v>-43046.369659999989</v>
      </c>
      <c r="H49" s="76">
        <f t="shared" si="26"/>
        <v>120.28</v>
      </c>
      <c r="I49" s="31">
        <f t="shared" si="13"/>
        <v>-480019.68826907623</v>
      </c>
      <c r="J49" s="32">
        <f t="shared" si="14"/>
        <v>-207960.89999999997</v>
      </c>
      <c r="K49" s="76">
        <f t="shared" si="27"/>
        <v>99.643000000000001</v>
      </c>
      <c r="L49" s="31">
        <f t="shared" si="15"/>
        <v>-40294.800000001524</v>
      </c>
      <c r="M49" s="32">
        <f t="shared" si="16"/>
        <v>-94683.741413333337</v>
      </c>
      <c r="N49" s="82">
        <f t="shared" si="17"/>
        <v>661374.01555727213</v>
      </c>
      <c r="O49" s="82"/>
      <c r="P49" s="82"/>
      <c r="Q49" s="82">
        <f>$G$5*SUM($O$14:O49)-$H$5*SUM($P$14:P49)</f>
        <v>-576200.5368</v>
      </c>
      <c r="R49" s="82">
        <f t="shared" si="18"/>
        <v>85173.478757272125</v>
      </c>
      <c r="S49" s="143"/>
      <c r="U49" s="75">
        <v>45824.625</v>
      </c>
      <c r="V49" s="54">
        <v>93.76</v>
      </c>
      <c r="W49" s="75">
        <v>45820.625</v>
      </c>
      <c r="X49" s="54">
        <v>101.509</v>
      </c>
      <c r="Y49" s="125">
        <v>45827.625</v>
      </c>
      <c r="Z49" s="54">
        <v>121.37</v>
      </c>
      <c r="AA49" s="75">
        <v>45910.625</v>
      </c>
      <c r="AB49" s="54">
        <v>99.86</v>
      </c>
      <c r="AF49" s="131">
        <v>45915.625</v>
      </c>
      <c r="AG49" s="45">
        <f t="shared" si="28"/>
        <v>81.19</v>
      </c>
      <c r="AH49" s="46">
        <f t="shared" si="29"/>
        <v>229956.49471721501</v>
      </c>
      <c r="AI49" s="46">
        <f t="shared" si="59"/>
        <v>-143937.49999999997</v>
      </c>
      <c r="AJ49" s="45">
        <f t="shared" si="31"/>
        <v>101.1953125</v>
      </c>
      <c r="AK49" s="46">
        <f t="shared" si="32"/>
        <v>226339.28571428574</v>
      </c>
      <c r="AL49" s="47">
        <f t="shared" si="60"/>
        <v>-6385.6258138020785</v>
      </c>
      <c r="AM49" s="45">
        <f t="shared" si="34"/>
        <v>112.36</v>
      </c>
      <c r="AN49" s="46">
        <f t="shared" si="35"/>
        <v>848710.91030878096</v>
      </c>
      <c r="AO49" s="47">
        <f t="shared" si="61"/>
        <v>-148050</v>
      </c>
      <c r="AP49" s="45">
        <f t="shared" si="37"/>
        <v>101.1953125</v>
      </c>
      <c r="AQ49" s="46">
        <f t="shared" si="38"/>
        <v>197321.42857142858</v>
      </c>
      <c r="AR49" s="47">
        <f t="shared" si="62"/>
        <v>-5566.9558376736095</v>
      </c>
      <c r="AS49" s="45">
        <f t="shared" si="40"/>
        <v>104.890625</v>
      </c>
      <c r="AT49" s="46">
        <f t="shared" si="41"/>
        <v>166573.66071428571</v>
      </c>
      <c r="AU49" s="47">
        <f t="shared" si="63"/>
        <v>2330.8040364583321</v>
      </c>
      <c r="AV49" s="45">
        <f t="shared" si="43"/>
        <v>99.390625</v>
      </c>
      <c r="AW49" s="46">
        <f t="shared" si="44"/>
        <v>345703.125</v>
      </c>
      <c r="AX49" s="47">
        <f t="shared" si="64"/>
        <v>6285.8131510416715</v>
      </c>
      <c r="AY49" s="82">
        <f t="shared" si="65"/>
        <v>-121947.69985650889</v>
      </c>
      <c r="AZ49" s="82"/>
      <c r="BA49" s="82"/>
      <c r="BB49" s="82">
        <f>$AO$4*SUM($AZ$14:AZ49)-$AP$4*SUM($BA$14:BA49)</f>
        <v>48926.430219448084</v>
      </c>
      <c r="BC49" s="82">
        <f t="shared" si="19"/>
        <v>-170874.13007595699</v>
      </c>
      <c r="BE49" s="75">
        <v>45819.625</v>
      </c>
      <c r="BF49" s="54">
        <v>79.510000000000005</v>
      </c>
      <c r="BG49" s="75">
        <v>45930.625</v>
      </c>
      <c r="BH49" s="54">
        <v>100.6171875</v>
      </c>
      <c r="BI49" s="75">
        <v>45819.625</v>
      </c>
      <c r="BJ49" s="54">
        <v>107.84</v>
      </c>
      <c r="BK49" s="75">
        <v>45930.625</v>
      </c>
      <c r="BL49" s="54">
        <v>100.6171875</v>
      </c>
      <c r="BM49" s="75">
        <v>45820.625</v>
      </c>
      <c r="BN49" s="54">
        <v>102.203125</v>
      </c>
      <c r="BO49" s="75">
        <v>45820.625</v>
      </c>
      <c r="BP49" s="54">
        <v>96.578125</v>
      </c>
      <c r="BR49" s="131">
        <f t="shared" si="20"/>
        <v>45915.625</v>
      </c>
      <c r="BS49" s="45">
        <f t="shared" si="21"/>
        <v>107.8558</v>
      </c>
      <c r="BT49" s="46">
        <f t="shared" si="47"/>
        <v>69424.999999998952</v>
      </c>
      <c r="BU49" s="46">
        <f t="shared" si="48"/>
        <v>170138.88888888888</v>
      </c>
      <c r="BV49" s="45">
        <f t="shared" si="49"/>
        <v>47.017000000000003</v>
      </c>
      <c r="BW49" s="46">
        <f t="shared" si="50"/>
        <v>179831.24999999977</v>
      </c>
      <c r="BX49" s="47">
        <f t="shared" si="51"/>
        <v>170138.88888888888</v>
      </c>
      <c r="BY49" s="45">
        <f t="shared" si="52"/>
        <v>-110406.25000000081</v>
      </c>
      <c r="CA49" s="129">
        <v>45824.625</v>
      </c>
      <c r="CB49" s="54">
        <v>106.6006</v>
      </c>
      <c r="CC49" s="129">
        <v>45824.625</v>
      </c>
      <c r="CD49" s="54">
        <v>54.46</v>
      </c>
      <c r="CF49" s="131">
        <v>45915.625</v>
      </c>
      <c r="CG49" s="45">
        <f t="shared" si="22"/>
        <v>247.80699999999999</v>
      </c>
      <c r="CH49" s="46">
        <f t="shared" si="53"/>
        <v>178960.32000000027</v>
      </c>
      <c r="CI49" s="46">
        <f t="shared" si="54"/>
        <v>142916.66666666666</v>
      </c>
      <c r="CJ49" s="45">
        <f t="shared" si="55"/>
        <v>50.042000000000002</v>
      </c>
      <c r="CK49" s="46">
        <f t="shared" si="56"/>
        <v>119368.61999999979</v>
      </c>
      <c r="CL49" s="47">
        <f t="shared" si="57"/>
        <v>128624.99999999999</v>
      </c>
      <c r="CM49" s="45">
        <f t="shared" si="58"/>
        <v>73883.366666667149</v>
      </c>
      <c r="CO49" s="129">
        <v>45824.625</v>
      </c>
      <c r="CP49" s="54">
        <v>290.31200000000001</v>
      </c>
      <c r="CQ49" s="129">
        <v>45824.625</v>
      </c>
      <c r="CR49" s="54">
        <v>55.962000000000003</v>
      </c>
      <c r="CS49" s="54"/>
      <c r="CT49" s="54"/>
      <c r="CU49" s="54"/>
      <c r="CV49" s="54"/>
      <c r="CW49" s="54"/>
      <c r="CX49" s="54"/>
      <c r="CY49" s="54"/>
      <c r="DF49" s="142">
        <v>45916.625</v>
      </c>
      <c r="DG49" s="58">
        <f t="shared" si="4"/>
        <v>18384.305895048805</v>
      </c>
      <c r="DH49" s="58">
        <f t="shared" si="5"/>
        <v>-153659.82909921103</v>
      </c>
      <c r="DI49" s="58">
        <f t="shared" si="6"/>
        <v>-95212.50000000032</v>
      </c>
      <c r="DJ49" s="58">
        <f t="shared" si="7"/>
        <v>69246.963333333493</v>
      </c>
      <c r="DK49" s="58">
        <f t="shared" si="23"/>
        <v>-9749.1249090163037</v>
      </c>
      <c r="DL49" s="58">
        <f t="shared" si="23"/>
        <v>17214.300976745959</v>
      </c>
      <c r="DM49" s="58">
        <f t="shared" si="23"/>
        <v>15193.750000000495</v>
      </c>
      <c r="DN49" s="58">
        <f t="shared" si="23"/>
        <v>-4636.4033333336556</v>
      </c>
      <c r="DO49" s="58">
        <f t="shared" si="8"/>
        <v>-9749.1249090163037</v>
      </c>
      <c r="DP49" s="58">
        <f t="shared" si="8"/>
        <v>17214.300976745959</v>
      </c>
      <c r="DQ49" s="58">
        <f t="shared" si="8"/>
        <v>15193.750000000495</v>
      </c>
      <c r="DR49" s="58">
        <f t="shared" si="8"/>
        <v>-4636.4033333336556</v>
      </c>
      <c r="DS49" s="58">
        <f>SUM(DO$15:DO49)</f>
        <v>9989.9779745124106</v>
      </c>
      <c r="DT49" s="58">
        <f>SUM(DP$15:DP49)</f>
        <v>-146050.20867839461</v>
      </c>
      <c r="DU49" s="58">
        <f>SUM(DQ$15:DQ49)</f>
        <v>-80531.249999997643</v>
      </c>
      <c r="DV49" s="58">
        <f>SUM(DR$15:DR49)</f>
        <v>51733.196666666627</v>
      </c>
      <c r="DZ49" s="133">
        <v>45916.625</v>
      </c>
      <c r="EA49" s="152">
        <v>-80531.249999997643</v>
      </c>
      <c r="EB49" s="152">
        <v>-146050.20867839461</v>
      </c>
      <c r="EC49" s="152">
        <v>61587.138888888905</v>
      </c>
      <c r="ED49" s="152">
        <v>11894.097126800509</v>
      </c>
    </row>
    <row r="50" spans="1:134" x14ac:dyDescent="0.3">
      <c r="A50" s="142">
        <v>45896.625</v>
      </c>
      <c r="B50" s="76">
        <f t="shared" si="24"/>
        <v>94.56</v>
      </c>
      <c r="C50" s="31">
        <f t="shared" si="9"/>
        <v>147603.83386581522</v>
      </c>
      <c r="D50" s="32">
        <f t="shared" si="10"/>
        <v>-123375</v>
      </c>
      <c r="E50" s="76">
        <f t="shared" si="25"/>
        <v>101.142</v>
      </c>
      <c r="F50" s="31">
        <f t="shared" si="11"/>
        <v>-16632.000000000629</v>
      </c>
      <c r="G50" s="32">
        <f t="shared" si="12"/>
        <v>-43924.866999999998</v>
      </c>
      <c r="H50" s="76">
        <f t="shared" si="26"/>
        <v>120.28</v>
      </c>
      <c r="I50" s="31">
        <f t="shared" si="13"/>
        <v>-480019.68826907623</v>
      </c>
      <c r="J50" s="32">
        <f t="shared" si="14"/>
        <v>-212205</v>
      </c>
      <c r="K50" s="76">
        <f t="shared" si="27"/>
        <v>99.801000000000002</v>
      </c>
      <c r="L50" s="31">
        <f t="shared" si="15"/>
        <v>14120.399999998905</v>
      </c>
      <c r="M50" s="32">
        <f t="shared" si="16"/>
        <v>-96616.062666666665</v>
      </c>
      <c r="N50" s="82">
        <f t="shared" si="17"/>
        <v>694514.72646822419</v>
      </c>
      <c r="O50" s="82"/>
      <c r="P50" s="82"/>
      <c r="Q50" s="82">
        <f>$G$5*SUM($O$14:O50)-$H$5*SUM($P$14:P50)</f>
        <v>-576200.5368</v>
      </c>
      <c r="R50" s="82">
        <f t="shared" si="18"/>
        <v>118314.18966822419</v>
      </c>
      <c r="S50" s="143"/>
      <c r="U50" s="75">
        <v>45825.625</v>
      </c>
      <c r="V50" s="54">
        <v>93.56</v>
      </c>
      <c r="W50" s="75">
        <v>45821.625</v>
      </c>
      <c r="X50" s="54">
        <v>101.375</v>
      </c>
      <c r="Y50" s="125">
        <v>45828.625</v>
      </c>
      <c r="Z50" s="54">
        <v>121.48</v>
      </c>
      <c r="AA50" s="75">
        <v>45911.625</v>
      </c>
      <c r="AB50" s="54">
        <v>99.715000000000003</v>
      </c>
      <c r="AF50" s="131">
        <v>45916.625</v>
      </c>
      <c r="AG50" s="45">
        <f t="shared" si="28"/>
        <v>81.13</v>
      </c>
      <c r="AH50" s="46">
        <f t="shared" si="29"/>
        <v>211311.37352392581</v>
      </c>
      <c r="AI50" s="46">
        <f t="shared" si="59"/>
        <v>-146875</v>
      </c>
      <c r="AJ50" s="45">
        <f t="shared" si="31"/>
        <v>101.2578125</v>
      </c>
      <c r="AK50" s="46">
        <f t="shared" si="32"/>
        <v>235044.64285714287</v>
      </c>
      <c r="AL50" s="47">
        <f t="shared" si="60"/>
        <v>-6515.9447079613019</v>
      </c>
      <c r="AM50" s="45">
        <f t="shared" si="34"/>
        <v>112.26</v>
      </c>
      <c r="AN50" s="46">
        <f t="shared" si="35"/>
        <v>825069.937876779</v>
      </c>
      <c r="AO50" s="47">
        <f t="shared" si="61"/>
        <v>-151071.42857142858</v>
      </c>
      <c r="AP50" s="45">
        <f t="shared" si="37"/>
        <v>101.2578125</v>
      </c>
      <c r="AQ50" s="46">
        <f t="shared" si="38"/>
        <v>204910.71428571432</v>
      </c>
      <c r="AR50" s="47">
        <f t="shared" si="62"/>
        <v>-5680.5671812996079</v>
      </c>
      <c r="AS50" s="45">
        <f t="shared" si="40"/>
        <v>104.9375</v>
      </c>
      <c r="AT50" s="46">
        <f t="shared" si="41"/>
        <v>169084.82142857142</v>
      </c>
      <c r="AU50" s="47">
        <f t="shared" si="63"/>
        <v>2378.3714657738128</v>
      </c>
      <c r="AV50" s="45">
        <f t="shared" si="43"/>
        <v>99.53125</v>
      </c>
      <c r="AW50" s="46">
        <f t="shared" si="44"/>
        <v>356250</v>
      </c>
      <c r="AX50" s="47">
        <f t="shared" si="64"/>
        <v>6414.0950520833358</v>
      </c>
      <c r="AY50" s="82">
        <f t="shared" si="65"/>
        <v>-104733.39887976294</v>
      </c>
      <c r="AZ50" s="82"/>
      <c r="BA50" s="82"/>
      <c r="BB50" s="82">
        <f>$AO$4*SUM($AZ$14:AZ50)-$AP$4*SUM($BA$14:BA50)</f>
        <v>48926.430219448084</v>
      </c>
      <c r="BC50" s="82">
        <f t="shared" si="19"/>
        <v>-153659.82909921103</v>
      </c>
      <c r="BE50" s="75">
        <v>45820.625</v>
      </c>
      <c r="BF50" s="54">
        <v>79.599999999999994</v>
      </c>
      <c r="BG50" s="75">
        <v>45931.625</v>
      </c>
      <c r="BH50" s="54">
        <v>100.875</v>
      </c>
      <c r="BI50" s="75">
        <v>45820.625</v>
      </c>
      <c r="BJ50" s="54">
        <v>108.44</v>
      </c>
      <c r="BK50" s="75">
        <v>45931.625</v>
      </c>
      <c r="BL50" s="54">
        <v>100.875</v>
      </c>
      <c r="BM50" s="75">
        <v>45821.625</v>
      </c>
      <c r="BN50" s="54">
        <v>101.75</v>
      </c>
      <c r="BO50" s="75">
        <v>45821.625</v>
      </c>
      <c r="BP50" s="54">
        <v>95.5625</v>
      </c>
      <c r="BR50" s="131">
        <f t="shared" si="20"/>
        <v>45916.625</v>
      </c>
      <c r="BS50" s="45">
        <f t="shared" si="21"/>
        <v>107.8259</v>
      </c>
      <c r="BT50" s="46">
        <f t="shared" si="47"/>
        <v>61949.999999999505</v>
      </c>
      <c r="BU50" s="46">
        <f t="shared" si="48"/>
        <v>173611.11111111112</v>
      </c>
      <c r="BV50" s="45">
        <f t="shared" si="49"/>
        <v>47.42</v>
      </c>
      <c r="BW50" s="46">
        <f t="shared" si="50"/>
        <v>157162.49999999983</v>
      </c>
      <c r="BX50" s="47">
        <f t="shared" si="51"/>
        <v>173611.11111111112</v>
      </c>
      <c r="BY50" s="45">
        <f t="shared" si="52"/>
        <v>-95212.50000000032</v>
      </c>
      <c r="CA50" s="129">
        <v>45825.625</v>
      </c>
      <c r="CB50" s="54">
        <v>106.1914</v>
      </c>
      <c r="CC50" s="129">
        <v>45825.625</v>
      </c>
      <c r="CD50" s="54">
        <v>56.384</v>
      </c>
      <c r="CF50" s="131">
        <v>45916.625</v>
      </c>
      <c r="CG50" s="45">
        <f t="shared" si="22"/>
        <v>251.81700000000001</v>
      </c>
      <c r="CH50" s="46">
        <f t="shared" si="53"/>
        <v>141907.92000000007</v>
      </c>
      <c r="CI50" s="46">
        <f t="shared" si="54"/>
        <v>145833.33333333334</v>
      </c>
      <c r="CJ50" s="45">
        <f t="shared" si="55"/>
        <v>50.780999999999999</v>
      </c>
      <c r="CK50" s="46">
        <f t="shared" si="56"/>
        <v>87244.289999999906</v>
      </c>
      <c r="CL50" s="47">
        <f t="shared" si="57"/>
        <v>131250</v>
      </c>
      <c r="CM50" s="45">
        <f t="shared" si="58"/>
        <v>69246.963333333493</v>
      </c>
      <c r="CO50" s="129">
        <v>45825.625</v>
      </c>
      <c r="CP50" s="54">
        <v>296.12900000000002</v>
      </c>
      <c r="CQ50" s="129">
        <v>45825.625</v>
      </c>
      <c r="CR50" s="54">
        <v>57.487000000000002</v>
      </c>
      <c r="CS50" s="54"/>
      <c r="CT50" s="54"/>
      <c r="CU50" s="54"/>
      <c r="CV50" s="54"/>
      <c r="CW50" s="54"/>
      <c r="CX50" s="54"/>
      <c r="CY50" s="54"/>
      <c r="DF50" s="142">
        <v>45917.625</v>
      </c>
      <c r="DG50" s="58">
        <f t="shared" ref="DG50:DG71" si="66">VLOOKUP(DF50,A51:R123,18)</f>
        <v>33086.48438718752</v>
      </c>
      <c r="DH50" s="58">
        <f t="shared" ref="DH50:DH71" si="67">VLOOKUP(DF50,AF51:BC87,24)</f>
        <v>-155626.7389453729</v>
      </c>
      <c r="DI50" s="58">
        <f t="shared" ref="DI50:DI71" si="68">VLOOKUP(DF50,BR51:BY87,8)</f>
        <v>-90606.250000002998</v>
      </c>
      <c r="DJ50" s="58">
        <f t="shared" ref="DJ50:DJ71" si="69">VLOOKUP(DF50,CF51:CM87,8)</f>
        <v>73037.860000000335</v>
      </c>
      <c r="DK50" s="58">
        <f t="shared" ref="DK50:DK71" si="70">DG50-DG49</f>
        <v>14702.178492138715</v>
      </c>
      <c r="DL50" s="58">
        <f t="shared" ref="DL50:DL71" si="71">DH50-DH49</f>
        <v>-1966.9098461618705</v>
      </c>
      <c r="DM50" s="58">
        <f t="shared" ref="DM50:DM71" si="72">DI50-DI49</f>
        <v>4606.2499999973224</v>
      </c>
      <c r="DN50" s="58">
        <f t="shared" ref="DN50:DN71" si="73">DJ50-DJ49</f>
        <v>3790.8966666668421</v>
      </c>
      <c r="DO50" s="58">
        <f t="shared" ref="DO50:DO71" si="74">DK$11*DK50</f>
        <v>14702.178492138715</v>
      </c>
      <c r="DP50" s="58">
        <f t="shared" ref="DP50:DP71" si="75">DL$11*DL50</f>
        <v>-1966.9098461618705</v>
      </c>
      <c r="DQ50" s="58">
        <f t="shared" ref="DQ50:DQ71" si="76">DM$11*DM50</f>
        <v>4606.2499999973224</v>
      </c>
      <c r="DR50" s="58">
        <f t="shared" ref="DR50:DR71" si="77">DN$11*DN50</f>
        <v>3790.8966666668421</v>
      </c>
      <c r="DS50" s="58">
        <f>SUM(DO$15:DO50)</f>
        <v>24692.156466651126</v>
      </c>
      <c r="DT50" s="58">
        <f>SUM(DP$15:DP50)</f>
        <v>-148017.11852455648</v>
      </c>
      <c r="DU50" s="58">
        <f>SUM(DQ$15:DQ50)</f>
        <v>-75925.00000000032</v>
      </c>
      <c r="DV50" s="58">
        <f>SUM(DR$15:DR50)</f>
        <v>55524.093333333469</v>
      </c>
      <c r="DZ50" s="133">
        <v>45917.625</v>
      </c>
      <c r="EA50" s="152">
        <v>-75925.00000000032</v>
      </c>
      <c r="EB50" s="152">
        <v>-148017.11852455648</v>
      </c>
      <c r="EC50" s="152">
        <v>66100.111111111328</v>
      </c>
      <c r="ED50" s="152">
        <v>29396.690569822589</v>
      </c>
    </row>
    <row r="51" spans="1:134" x14ac:dyDescent="0.3">
      <c r="A51" s="142">
        <v>45897.625</v>
      </c>
      <c r="B51" s="76">
        <f t="shared" si="24"/>
        <v>94.44</v>
      </c>
      <c r="C51" s="31">
        <f t="shared" si="9"/>
        <v>120766.77316293761</v>
      </c>
      <c r="D51" s="32">
        <f t="shared" si="10"/>
        <v>-125842.49999999999</v>
      </c>
      <c r="E51" s="76">
        <f t="shared" si="25"/>
        <v>101.092</v>
      </c>
      <c r="F51" s="31">
        <f t="shared" si="11"/>
        <v>-25032.000000000153</v>
      </c>
      <c r="G51" s="32">
        <f t="shared" si="12"/>
        <v>-44803.364339999986</v>
      </c>
      <c r="H51" s="76">
        <f t="shared" si="26"/>
        <v>120.28</v>
      </c>
      <c r="I51" s="31">
        <f t="shared" si="13"/>
        <v>-480019.68826907623</v>
      </c>
      <c r="J51" s="32">
        <f t="shared" si="14"/>
        <v>-216449.09999999998</v>
      </c>
      <c r="K51" s="76">
        <f t="shared" si="27"/>
        <v>99.775999999999996</v>
      </c>
      <c r="L51" s="31">
        <f t="shared" si="15"/>
        <v>5510.3999999969465</v>
      </c>
      <c r="M51" s="32">
        <f t="shared" si="16"/>
        <v>-98548.383920000022</v>
      </c>
      <c r="N51" s="82">
        <f t="shared" si="17"/>
        <v>668190.4418520109</v>
      </c>
      <c r="O51" s="82"/>
      <c r="P51" s="82"/>
      <c r="Q51" s="82">
        <f>$G$5*SUM($O$14:O51)-$H$5*SUM($P$14:P51)</f>
        <v>-576200.5368</v>
      </c>
      <c r="R51" s="82">
        <f t="shared" si="18"/>
        <v>91989.905052010901</v>
      </c>
      <c r="S51" s="143"/>
      <c r="U51" s="75">
        <v>45826.625</v>
      </c>
      <c r="V51" s="54">
        <v>93.37</v>
      </c>
      <c r="W51" s="75">
        <v>45824.625</v>
      </c>
      <c r="X51" s="54">
        <v>101.402</v>
      </c>
      <c r="Y51" s="125">
        <v>45831.625</v>
      </c>
      <c r="Z51" s="54">
        <v>121.56</v>
      </c>
      <c r="AA51" s="75">
        <v>45912.625</v>
      </c>
      <c r="AB51" s="54">
        <v>99.519000000000005</v>
      </c>
      <c r="AF51" s="131">
        <v>45917.625</v>
      </c>
      <c r="AG51" s="45">
        <f t="shared" ref="AG51:AG72" si="78">VLOOKUP($AF51+$J$1,BE:BF,2)</f>
        <v>81.05</v>
      </c>
      <c r="AH51" s="46">
        <f t="shared" ref="AH51:AH72" si="79">(AG51/$AG$14-1)*$AG$5</f>
        <v>186451.21193287539</v>
      </c>
      <c r="AI51" s="46">
        <f t="shared" ref="AI51:AI72" si="80">-1*(AF51-$AF$14)/360*$AG$5*$AG$7</f>
        <v>-149812.49999999997</v>
      </c>
      <c r="AJ51" s="45">
        <f t="shared" ref="AJ51:AJ72" si="81">VLOOKUP($AF51+$J$1,BG:BH,2)</f>
        <v>101.0546875</v>
      </c>
      <c r="AK51" s="46">
        <f t="shared" ref="AK51:AK72" si="82">(AJ51-$AJ$14)/100*$AH$5</f>
        <v>206752.23214285713</v>
      </c>
      <c r="AL51" s="47">
        <f t="shared" ref="AL51:AL72" si="83">(AF51-$AF$14)/360*$AH$5*$AH$6-(AF51-$AF$14)/360*$AH$5*$AH$7*$AJ$14/100</f>
        <v>-6646.2636021205253</v>
      </c>
      <c r="AM51" s="45">
        <f t="shared" ref="AM51:AM72" si="84">VLOOKUP($AF51+$J$1,BI:BJ,2)</f>
        <v>112.06</v>
      </c>
      <c r="AN51" s="46">
        <f t="shared" ref="AN51:AN72" si="85">(AM51/$AM$14-1)*$AI$5</f>
        <v>777787.99301278091</v>
      </c>
      <c r="AO51" s="47">
        <f t="shared" ref="AO51:AO72" si="86">-1*(AF51-$AF$14)/360*$AI$5*$AI$7</f>
        <v>-154092.85714285716</v>
      </c>
      <c r="AP51" s="45">
        <f t="shared" ref="AP51:AP72" si="87">VLOOKUP($AF51+$J$1,BK:BL,2)</f>
        <v>101.0546875</v>
      </c>
      <c r="AQ51" s="46">
        <f t="shared" ref="AQ51:AQ72" si="88">(AP51-$AP$14)/100*$AJ$5</f>
        <v>180245.53571428571</v>
      </c>
      <c r="AR51" s="47">
        <f t="shared" ref="AR51:AR72" si="89">(AF51-$AF$14)/360*$AJ$5*$AJ$6-(AF51-$AF$14)/360*$AJ$5*$AJ$7*$AP$14/100</f>
        <v>-5794.1785249255918</v>
      </c>
      <c r="AS51" s="45">
        <f t="shared" ref="AS51:AS72" si="90">VLOOKUP($AF51+$J$1,BM:BN,2)</f>
        <v>104.671875</v>
      </c>
      <c r="AT51" s="46">
        <f t="shared" ref="AT51:AT72" si="91">(AS51-$AS$14)/100*$AK$5</f>
        <v>154854.91071428574</v>
      </c>
      <c r="AU51" s="47">
        <f t="shared" ref="AU51:AU72" si="92">(AF51-$AF$14)/360*$AK$5*$AK$6-(AF51-$AF$14)/360*$AK$5*$AK$7*$AS$14/100</f>
        <v>2425.9388950892826</v>
      </c>
      <c r="AV51" s="45">
        <f t="shared" ref="AV51:AV72" si="93">VLOOKUP($AF51+$J$1,BO:BP,2)</f>
        <v>99.34375</v>
      </c>
      <c r="AW51" s="46">
        <f t="shared" ref="AW51:AW72" si="94">(AV51-$AV$14)/100*$AL$5</f>
        <v>342187.5</v>
      </c>
      <c r="AX51" s="47">
        <f t="shared" ref="AX51:AX72" si="95">(AF51-$AF$14)/360*$AL$5*$AL$6-(AF51-$AF$14)/360*$AL$5*$AL$7*$AV$14/100</f>
        <v>6542.376953125</v>
      </c>
      <c r="AY51" s="82">
        <f t="shared" ref="AY51:AY72" si="96">AH51+AI51-AK51-AL51-AN51-AO51+AQ51+AR51+AT51+AU51+AW51+AX51</f>
        <v>-106700.30872592481</v>
      </c>
      <c r="AZ51" s="82"/>
      <c r="BA51" s="82"/>
      <c r="BB51" s="82">
        <f>$AO$4*SUM($AZ$14:AZ51)-$AP$4*SUM($BA$14:BA51)</f>
        <v>48926.430219448084</v>
      </c>
      <c r="BC51" s="82">
        <f t="shared" ref="BC51:BC72" si="97">AY51-BB51</f>
        <v>-155626.7389453729</v>
      </c>
      <c r="BE51" s="75">
        <v>45821.625</v>
      </c>
      <c r="BF51" s="54">
        <v>79.36</v>
      </c>
      <c r="BG51" s="75">
        <v>45932.625</v>
      </c>
      <c r="BH51" s="54">
        <v>100.890625</v>
      </c>
      <c r="BI51" s="75">
        <v>45821.625</v>
      </c>
      <c r="BJ51" s="54">
        <v>107.79</v>
      </c>
      <c r="BK51" s="75">
        <v>45932.625</v>
      </c>
      <c r="BL51" s="54">
        <v>100.890625</v>
      </c>
      <c r="BM51" s="75">
        <v>45824.625</v>
      </c>
      <c r="BN51" s="54">
        <v>101.390625</v>
      </c>
      <c r="BO51" s="75">
        <v>45824.625</v>
      </c>
      <c r="BP51" s="54">
        <v>94.671875</v>
      </c>
      <c r="BR51" s="131">
        <f>AF51</f>
        <v>45917.625</v>
      </c>
      <c r="BS51" s="45">
        <f t="shared" ref="BS51:BS72" si="98">VLOOKUP(BR51+BV$4,CA:CB,2)</f>
        <v>107.72799999999999</v>
      </c>
      <c r="BT51" s="46">
        <f t="shared" ref="BT51:BT72" si="99">(BS51-$BS$14)/100*$BS$5</f>
        <v>37474.999999997039</v>
      </c>
      <c r="BU51" s="46">
        <f t="shared" ref="BU51:BU72" si="100">(BR51-BR$14)/360*$BS$5*$BS$6</f>
        <v>177083.33333333334</v>
      </c>
      <c r="BV51" s="45">
        <f t="shared" ref="BV51:BV72" si="101">VLOOKUP(BR51+BV$4,CC:CD,2)</f>
        <v>47.936999999999998</v>
      </c>
      <c r="BW51" s="46">
        <f t="shared" ref="BW51:BW72" si="102">-1*(BV51-$BV$14)*10^-4*$BT$8*$BT$5</f>
        <v>128081.25000000006</v>
      </c>
      <c r="BX51" s="47">
        <f t="shared" ref="BX51:BX72" si="103">(BR51-BR$14)/360*$BT$5*$BT$6</f>
        <v>177083.33333333331</v>
      </c>
      <c r="BY51" s="45">
        <f t="shared" ref="BY51:BY72" si="104">BT51+BU51-BW51-BX51</f>
        <v>-90606.250000002998</v>
      </c>
      <c r="CA51" s="129">
        <v>45826.625</v>
      </c>
      <c r="CB51" s="54">
        <v>106.2077</v>
      </c>
      <c r="CC51" s="129">
        <v>45826.625</v>
      </c>
      <c r="CD51" s="54">
        <v>56.225000000000001</v>
      </c>
      <c r="CF51" s="131">
        <v>45917.625</v>
      </c>
      <c r="CG51" s="45">
        <f t="shared" ref="CG51:CG72" si="105">VLOOKUP(CF51+CJ$4,CO:CP,2)</f>
        <v>251.23599999999999</v>
      </c>
      <c r="CH51" s="46">
        <f t="shared" ref="CH51:CH72" si="106">-1*(CG51-$CG$14)*$CG$8*10^-4*$CG$5</f>
        <v>147276.36000000022</v>
      </c>
      <c r="CI51" s="46">
        <f t="shared" ref="CI51:CI72" si="107">(CF51-CF$14)/360*$CG$5*$CG$6</f>
        <v>148750</v>
      </c>
      <c r="CJ51" s="45">
        <f t="shared" ref="CJ51:CJ72" si="108">VLOOKUP(CF51+CJ$4,CQ:CR,2)</f>
        <v>50.738</v>
      </c>
      <c r="CK51" s="46">
        <f t="shared" ref="CK51:CK72" si="109">-1*(CJ51-$CJ$14)*10^-4*$CH$8*$CH$5</f>
        <v>89113.499999999869</v>
      </c>
      <c r="CL51" s="47">
        <f t="shared" ref="CL51:CL72" si="110">(CF51-CF$14)/360*$CH$5*$CH$6</f>
        <v>133875</v>
      </c>
      <c r="CM51" s="45">
        <f t="shared" ref="CM51:CM72" si="111">CH51+CI51-CK51-CL51</f>
        <v>73037.860000000335</v>
      </c>
      <c r="CO51" s="129">
        <v>45826.625</v>
      </c>
      <c r="CP51" s="54">
        <v>299.76400000000001</v>
      </c>
      <c r="CQ51" s="129">
        <v>45826.625</v>
      </c>
      <c r="CR51" s="54">
        <v>58.424999999999997</v>
      </c>
      <c r="DF51" s="133">
        <v>45918.625</v>
      </c>
      <c r="DG51" s="58">
        <f t="shared" si="66"/>
        <v>60785.815294099157</v>
      </c>
      <c r="DH51" s="58">
        <f t="shared" si="67"/>
        <v>-139823.01939101506</v>
      </c>
      <c r="DI51" s="58">
        <f t="shared" si="68"/>
        <v>-89143.750000000233</v>
      </c>
      <c r="DJ51" s="58">
        <f t="shared" si="69"/>
        <v>79673.416666667268</v>
      </c>
      <c r="DK51" s="58">
        <f t="shared" si="70"/>
        <v>27699.330906911637</v>
      </c>
      <c r="DL51" s="58">
        <f t="shared" si="71"/>
        <v>15803.719554357842</v>
      </c>
      <c r="DM51" s="58">
        <f t="shared" si="72"/>
        <v>1462.5000000027649</v>
      </c>
      <c r="DN51" s="58">
        <f t="shared" si="73"/>
        <v>6635.5566666669329</v>
      </c>
      <c r="DO51" s="58">
        <f t="shared" si="74"/>
        <v>27699.330906911637</v>
      </c>
      <c r="DP51" s="58">
        <f t="shared" si="75"/>
        <v>15803.719554357842</v>
      </c>
      <c r="DQ51" s="58">
        <f t="shared" si="76"/>
        <v>1462.5000000027649</v>
      </c>
      <c r="DR51" s="58">
        <f t="shared" si="77"/>
        <v>6635.5566666669329</v>
      </c>
      <c r="DS51" s="58">
        <f>SUM(DO$15:DO51)</f>
        <v>52391.487373562763</v>
      </c>
      <c r="DT51" s="58">
        <f>SUM(DP$15:DP51)</f>
        <v>-132213.39897019864</v>
      </c>
      <c r="DU51" s="58">
        <f>SUM(DQ$15:DQ51)</f>
        <v>-74462.499999997555</v>
      </c>
      <c r="DV51" s="58">
        <f>SUM(DR$15:DR51)</f>
        <v>62159.650000000402</v>
      </c>
      <c r="DZ51" s="133">
        <v>45918.625</v>
      </c>
      <c r="EA51" s="152">
        <v>-74462.499999997555</v>
      </c>
      <c r="EB51" s="152">
        <v>-132213.39897019864</v>
      </c>
      <c r="EC51" s="152">
        <v>73999.58333333378</v>
      </c>
      <c r="ED51" s="152">
        <v>62372.084506622225</v>
      </c>
    </row>
    <row r="52" spans="1:134" x14ac:dyDescent="0.3">
      <c r="A52" s="142">
        <v>45898.625</v>
      </c>
      <c r="B52" s="76">
        <f t="shared" si="24"/>
        <v>94.44</v>
      </c>
      <c r="C52" s="31">
        <f t="shared" si="9"/>
        <v>120766.77316293761</v>
      </c>
      <c r="D52" s="32">
        <f t="shared" si="10"/>
        <v>-128309.99999999999</v>
      </c>
      <c r="E52" s="76">
        <f t="shared" si="25"/>
        <v>101.096</v>
      </c>
      <c r="F52" s="31">
        <f t="shared" si="11"/>
        <v>-24359.999999999331</v>
      </c>
      <c r="G52" s="32">
        <f t="shared" si="12"/>
        <v>-45681.861679999973</v>
      </c>
      <c r="H52" s="76">
        <f t="shared" si="26"/>
        <v>120.25</v>
      </c>
      <c r="I52" s="31">
        <f t="shared" si="13"/>
        <v>-488908.94175553846</v>
      </c>
      <c r="J52" s="32">
        <f t="shared" si="14"/>
        <v>-220693.19999999995</v>
      </c>
      <c r="K52" s="76">
        <f t="shared" si="27"/>
        <v>99.783000000000001</v>
      </c>
      <c r="L52" s="31">
        <f t="shared" si="15"/>
        <v>7921.1999999986692</v>
      </c>
      <c r="M52" s="32">
        <f t="shared" si="16"/>
        <v>-100480.70517333334</v>
      </c>
      <c r="N52" s="82">
        <f t="shared" si="17"/>
        <v>679541.27142514067</v>
      </c>
      <c r="O52" s="82"/>
      <c r="P52" s="82"/>
      <c r="Q52" s="82">
        <f>$G$5*SUM($O$14:O52)-$H$5*SUM($P$14:P52)</f>
        <v>-576200.5368</v>
      </c>
      <c r="R52" s="82">
        <f t="shared" si="18"/>
        <v>103340.73462514067</v>
      </c>
      <c r="S52" s="143"/>
      <c r="U52" s="75">
        <v>45827.625</v>
      </c>
      <c r="V52" s="54">
        <v>93.19</v>
      </c>
      <c r="W52" s="75">
        <v>45825.625</v>
      </c>
      <c r="X52" s="54">
        <v>101.369</v>
      </c>
      <c r="Y52" s="125">
        <v>45832.625</v>
      </c>
      <c r="Z52" s="54">
        <v>121.66</v>
      </c>
      <c r="AA52" s="75">
        <v>45915.625</v>
      </c>
      <c r="AB52" s="54">
        <v>99.558000000000007</v>
      </c>
      <c r="AF52" s="131">
        <v>45918.625</v>
      </c>
      <c r="AG52" s="45">
        <f t="shared" si="78"/>
        <v>81.23</v>
      </c>
      <c r="AH52" s="46">
        <f t="shared" si="79"/>
        <v>242386.575512743</v>
      </c>
      <c r="AI52" s="46">
        <f t="shared" si="80"/>
        <v>-152749.99999999997</v>
      </c>
      <c r="AJ52" s="45">
        <f t="shared" si="81"/>
        <v>100.90625</v>
      </c>
      <c r="AK52" s="46">
        <f t="shared" si="82"/>
        <v>186077.00892857142</v>
      </c>
      <c r="AL52" s="47">
        <f t="shared" si="83"/>
        <v>-6776.5824962797487</v>
      </c>
      <c r="AM52" s="45">
        <f t="shared" si="84"/>
        <v>111.83</v>
      </c>
      <c r="AN52" s="46">
        <f t="shared" si="85"/>
        <v>723413.75641918101</v>
      </c>
      <c r="AO52" s="47">
        <f t="shared" si="86"/>
        <v>-157114.28571428571</v>
      </c>
      <c r="AP52" s="45">
        <f t="shared" si="87"/>
        <v>100.90625</v>
      </c>
      <c r="AQ52" s="46">
        <f t="shared" si="88"/>
        <v>162220.98214285716</v>
      </c>
      <c r="AR52" s="47">
        <f t="shared" si="89"/>
        <v>-5907.7898685515829</v>
      </c>
      <c r="AS52" s="45">
        <f t="shared" si="90"/>
        <v>104.296875</v>
      </c>
      <c r="AT52" s="46">
        <f t="shared" si="91"/>
        <v>134765.625</v>
      </c>
      <c r="AU52" s="47">
        <f t="shared" si="92"/>
        <v>2473.5063244047633</v>
      </c>
      <c r="AV52" s="45">
        <f t="shared" si="93"/>
        <v>98.3125</v>
      </c>
      <c r="AW52" s="46">
        <f t="shared" si="94"/>
        <v>264843.75</v>
      </c>
      <c r="AX52" s="47">
        <f t="shared" si="95"/>
        <v>6670.6588541666715</v>
      </c>
      <c r="AY52" s="82">
        <f t="shared" si="96"/>
        <v>-90896.589171566957</v>
      </c>
      <c r="AZ52" s="82"/>
      <c r="BA52" s="82"/>
      <c r="BB52" s="82">
        <f>$AO$4*SUM($AZ$14:AZ52)-$AP$4*SUM($BA$14:BA52)</f>
        <v>48926.430219448084</v>
      </c>
      <c r="BC52" s="82">
        <f t="shared" si="97"/>
        <v>-139823.01939101506</v>
      </c>
      <c r="BE52" s="75">
        <v>45824.625</v>
      </c>
      <c r="BF52" s="54">
        <v>79.52</v>
      </c>
      <c r="BG52" s="75">
        <v>45933.625</v>
      </c>
      <c r="BH52" s="54">
        <v>100.71875</v>
      </c>
      <c r="BI52" s="75">
        <v>45824.625</v>
      </c>
      <c r="BJ52" s="54">
        <v>107.6</v>
      </c>
      <c r="BK52" s="75">
        <v>45933.625</v>
      </c>
      <c r="BL52" s="54">
        <v>100.71875</v>
      </c>
      <c r="BM52" s="75">
        <v>45825.625</v>
      </c>
      <c r="BN52" s="54">
        <v>101.953125</v>
      </c>
      <c r="BO52" s="75">
        <v>45825.625</v>
      </c>
      <c r="BP52" s="54">
        <v>95.78125</v>
      </c>
      <c r="BR52" s="131">
        <f t="shared" si="20"/>
        <v>45918.625</v>
      </c>
      <c r="BS52" s="45">
        <f t="shared" si="98"/>
        <v>107.9539</v>
      </c>
      <c r="BT52" s="46">
        <f t="shared" si="99"/>
        <v>93949.999999999534</v>
      </c>
      <c r="BU52" s="46">
        <f t="shared" si="100"/>
        <v>180555.55555555553</v>
      </c>
      <c r="BV52" s="45">
        <f t="shared" si="101"/>
        <v>46.959000000000003</v>
      </c>
      <c r="BW52" s="46">
        <f t="shared" si="102"/>
        <v>183093.74999999974</v>
      </c>
      <c r="BX52" s="47">
        <f t="shared" si="103"/>
        <v>180555.55555555553</v>
      </c>
      <c r="BY52" s="45">
        <f t="shared" si="104"/>
        <v>-89143.750000000233</v>
      </c>
      <c r="CA52" s="129">
        <v>45828.625</v>
      </c>
      <c r="CB52" s="54">
        <v>106.2469</v>
      </c>
      <c r="CC52" s="129">
        <v>45828.625</v>
      </c>
      <c r="CD52" s="54">
        <v>56.116999999999997</v>
      </c>
      <c r="CF52" s="131">
        <v>45918.625</v>
      </c>
      <c r="CG52" s="45">
        <f t="shared" si="105"/>
        <v>247.51499999999999</v>
      </c>
      <c r="CH52" s="46">
        <f t="shared" si="106"/>
        <v>181658.40000000029</v>
      </c>
      <c r="CI52" s="46">
        <f t="shared" si="107"/>
        <v>151666.66666666666</v>
      </c>
      <c r="CJ52" s="45">
        <f t="shared" si="108"/>
        <v>50.093000000000004</v>
      </c>
      <c r="CK52" s="46">
        <f t="shared" si="109"/>
        <v>117151.6499999997</v>
      </c>
      <c r="CL52" s="47">
        <f t="shared" si="110"/>
        <v>136499.99999999997</v>
      </c>
      <c r="CM52" s="45">
        <f t="shared" si="111"/>
        <v>79673.416666667268</v>
      </c>
      <c r="CO52" s="129">
        <v>45827.625</v>
      </c>
      <c r="CP52" s="54">
        <v>309.26900000000001</v>
      </c>
      <c r="CQ52" s="129">
        <v>45827.625</v>
      </c>
      <c r="CR52" s="54">
        <v>60.579000000000001</v>
      </c>
      <c r="DF52" s="133">
        <v>45919.625</v>
      </c>
      <c r="DG52" s="58">
        <f t="shared" si="66"/>
        <v>32152.70688528227</v>
      </c>
      <c r="DH52" s="58">
        <f t="shared" si="67"/>
        <v>-128924.77672468353</v>
      </c>
      <c r="DI52" s="58">
        <f t="shared" si="68"/>
        <v>-87893.750000001339</v>
      </c>
      <c r="DJ52" s="58">
        <f t="shared" si="69"/>
        <v>74960.153333333408</v>
      </c>
      <c r="DK52" s="58">
        <f t="shared" si="70"/>
        <v>-28633.108408816886</v>
      </c>
      <c r="DL52" s="58">
        <f t="shared" si="71"/>
        <v>10898.242666331527</v>
      </c>
      <c r="DM52" s="58">
        <f t="shared" si="72"/>
        <v>1249.9999999988941</v>
      </c>
      <c r="DN52" s="58">
        <f t="shared" si="73"/>
        <v>-4713.2633333338599</v>
      </c>
      <c r="DO52" s="58">
        <f t="shared" si="74"/>
        <v>-28633.108408816886</v>
      </c>
      <c r="DP52" s="58">
        <f t="shared" si="75"/>
        <v>10898.242666331527</v>
      </c>
      <c r="DQ52" s="58">
        <f t="shared" si="76"/>
        <v>1249.9999999988941</v>
      </c>
      <c r="DR52" s="58">
        <f t="shared" si="77"/>
        <v>-4713.2633333338599</v>
      </c>
      <c r="DS52" s="58">
        <f>SUM(DO$15:DO52)</f>
        <v>23758.378964745876</v>
      </c>
      <c r="DT52" s="58">
        <f>SUM(DP$15:DP52)</f>
        <v>-121315.15630386712</v>
      </c>
      <c r="DU52" s="58">
        <f>SUM(DQ$15:DQ52)</f>
        <v>-73212.499999998661</v>
      </c>
      <c r="DV52" s="58">
        <f>SUM(DR$15:DR52)</f>
        <v>57446.386666666542</v>
      </c>
      <c r="DZ52" s="133">
        <v>45919.625</v>
      </c>
      <c r="EA52" s="152">
        <v>-73212.499999998661</v>
      </c>
      <c r="EB52" s="152">
        <v>-121315.15630386712</v>
      </c>
      <c r="EC52" s="152">
        <v>68388.555555555446</v>
      </c>
      <c r="ED52" s="152">
        <v>28285.050686602219</v>
      </c>
    </row>
    <row r="53" spans="1:134" x14ac:dyDescent="0.3">
      <c r="A53" s="142">
        <v>45901.625</v>
      </c>
      <c r="B53" s="76">
        <f t="shared" si="24"/>
        <v>94.4</v>
      </c>
      <c r="C53" s="31">
        <f t="shared" si="9"/>
        <v>111821.0862619815</v>
      </c>
      <c r="D53" s="32">
        <f t="shared" si="10"/>
        <v>-135712.5</v>
      </c>
      <c r="E53" s="76">
        <f t="shared" si="25"/>
        <v>101.01900000000001</v>
      </c>
      <c r="F53" s="31">
        <f t="shared" si="11"/>
        <v>-37295.999999999025</v>
      </c>
      <c r="G53" s="32">
        <f t="shared" si="12"/>
        <v>-48317.353699999985</v>
      </c>
      <c r="H53" s="76">
        <f t="shared" si="26"/>
        <v>120.1</v>
      </c>
      <c r="I53" s="31">
        <f t="shared" si="13"/>
        <v>-533355.20918786153</v>
      </c>
      <c r="J53" s="32">
        <f t="shared" si="14"/>
        <v>-233425.5</v>
      </c>
      <c r="K53" s="76">
        <f t="shared" si="27"/>
        <v>99.632000000000005</v>
      </c>
      <c r="L53" s="31">
        <f t="shared" si="15"/>
        <v>-44083.200000000041</v>
      </c>
      <c r="M53" s="32">
        <f t="shared" si="16"/>
        <v>-106277.66893333335</v>
      </c>
      <c r="N53" s="82">
        <f t="shared" si="17"/>
        <v>678141.78021650866</v>
      </c>
      <c r="O53" s="82"/>
      <c r="P53" s="82"/>
      <c r="Q53" s="82">
        <f>$G$5*SUM($O$14:O53)-$H$5*SUM($P$14:P53)</f>
        <v>-576200.5368</v>
      </c>
      <c r="R53" s="82">
        <f t="shared" si="18"/>
        <v>101941.24341650866</v>
      </c>
      <c r="S53" s="143"/>
      <c r="U53" s="75">
        <v>45828.625</v>
      </c>
      <c r="V53" s="54">
        <v>93.4</v>
      </c>
      <c r="W53" s="75">
        <v>45826.625</v>
      </c>
      <c r="X53" s="54">
        <v>101.449</v>
      </c>
      <c r="Y53" s="125">
        <v>45833.625</v>
      </c>
      <c r="Z53" s="54">
        <v>121.62</v>
      </c>
      <c r="AA53" s="75">
        <v>45916.625</v>
      </c>
      <c r="AB53" s="54">
        <v>99.569000000000003</v>
      </c>
      <c r="AF53" s="131">
        <v>45919.625</v>
      </c>
      <c r="AG53" s="45">
        <f t="shared" si="78"/>
        <v>81.260000000000005</v>
      </c>
      <c r="AH53" s="46">
        <f t="shared" si="79"/>
        <v>251709.13610938482</v>
      </c>
      <c r="AI53" s="46">
        <f t="shared" si="80"/>
        <v>-155687.5</v>
      </c>
      <c r="AJ53" s="45">
        <f t="shared" si="81"/>
        <v>100.890625</v>
      </c>
      <c r="AK53" s="46">
        <f t="shared" si="82"/>
        <v>183900.66964285713</v>
      </c>
      <c r="AL53" s="47">
        <f t="shared" si="83"/>
        <v>-6906.9013904389867</v>
      </c>
      <c r="AM53" s="45">
        <f t="shared" si="84"/>
        <v>111.74</v>
      </c>
      <c r="AN53" s="46">
        <f t="shared" si="85"/>
        <v>702136.88123038167</v>
      </c>
      <c r="AO53" s="47">
        <f t="shared" si="86"/>
        <v>-160135.71428571429</v>
      </c>
      <c r="AP53" s="45">
        <f t="shared" si="87"/>
        <v>100.890625</v>
      </c>
      <c r="AQ53" s="46">
        <f t="shared" si="88"/>
        <v>160323.66071428571</v>
      </c>
      <c r="AR53" s="47">
        <f t="shared" si="89"/>
        <v>-6021.4012121775886</v>
      </c>
      <c r="AS53" s="45">
        <f t="shared" si="90"/>
        <v>104.203125</v>
      </c>
      <c r="AT53" s="46">
        <f t="shared" si="91"/>
        <v>129743.30357142858</v>
      </c>
      <c r="AU53" s="47">
        <f t="shared" si="92"/>
        <v>2521.0737537202367</v>
      </c>
      <c r="AV53" s="45">
        <f t="shared" si="93"/>
        <v>98.109375</v>
      </c>
      <c r="AW53" s="46">
        <f t="shared" si="94"/>
        <v>249609.375</v>
      </c>
      <c r="AX53" s="47">
        <f t="shared" si="95"/>
        <v>6798.9407552083358</v>
      </c>
      <c r="AY53" s="82">
        <f t="shared" si="96"/>
        <v>-79998.346505235444</v>
      </c>
      <c r="AZ53" s="82"/>
      <c r="BA53" s="82"/>
      <c r="BB53" s="82">
        <f>$AO$4*SUM($AZ$14:AZ53)-$AP$4*SUM($BA$14:BA53)</f>
        <v>48926.430219448084</v>
      </c>
      <c r="BC53" s="82">
        <f t="shared" si="97"/>
        <v>-128924.77672468353</v>
      </c>
      <c r="BE53" s="75">
        <v>45825.625</v>
      </c>
      <c r="BF53" s="54">
        <v>79.430000000000007</v>
      </c>
      <c r="BG53" s="75">
        <v>45936.625</v>
      </c>
      <c r="BH53" s="54">
        <v>100.5859375</v>
      </c>
      <c r="BI53" s="75">
        <v>45825.625</v>
      </c>
      <c r="BJ53" s="54">
        <v>107.97</v>
      </c>
      <c r="BK53" s="75">
        <v>45936.625</v>
      </c>
      <c r="BL53" s="54">
        <v>100.5859375</v>
      </c>
      <c r="BM53" s="75">
        <v>45826.625</v>
      </c>
      <c r="BN53" s="54">
        <v>102</v>
      </c>
      <c r="BO53" s="75">
        <v>45826.625</v>
      </c>
      <c r="BP53" s="54">
        <v>95.921875</v>
      </c>
      <c r="BR53" s="131">
        <f t="shared" si="20"/>
        <v>45919.625</v>
      </c>
      <c r="BS53" s="45">
        <f t="shared" si="98"/>
        <v>107.8977</v>
      </c>
      <c r="BT53" s="46">
        <f t="shared" si="99"/>
        <v>79899.99999999853</v>
      </c>
      <c r="BU53" s="46">
        <f t="shared" si="100"/>
        <v>184027.77777777778</v>
      </c>
      <c r="BV53" s="45">
        <f t="shared" si="101"/>
        <v>47.231000000000002</v>
      </c>
      <c r="BW53" s="46">
        <f t="shared" si="102"/>
        <v>167793.74999999983</v>
      </c>
      <c r="BX53" s="47">
        <f t="shared" si="103"/>
        <v>184027.77777777781</v>
      </c>
      <c r="BY53" s="45">
        <f t="shared" si="104"/>
        <v>-87893.750000001339</v>
      </c>
      <c r="CA53" s="129">
        <v>45831.625</v>
      </c>
      <c r="CB53" s="54">
        <v>106.4867</v>
      </c>
      <c r="CC53" s="129">
        <v>45831.625</v>
      </c>
      <c r="CD53" s="54">
        <v>54.783000000000001</v>
      </c>
      <c r="CF53" s="131">
        <v>45919.625</v>
      </c>
      <c r="CG53" s="45">
        <f t="shared" si="105"/>
        <v>248.51300000000001</v>
      </c>
      <c r="CH53" s="46">
        <f t="shared" si="106"/>
        <v>172436.88000000006</v>
      </c>
      <c r="CI53" s="46">
        <f t="shared" si="107"/>
        <v>154583.33333333334</v>
      </c>
      <c r="CJ53" s="45">
        <f t="shared" si="108"/>
        <v>50.19</v>
      </c>
      <c r="CK53" s="46">
        <f t="shared" si="109"/>
        <v>112935.05999999997</v>
      </c>
      <c r="CL53" s="47">
        <f t="shared" si="110"/>
        <v>139125</v>
      </c>
      <c r="CM53" s="45">
        <f t="shared" si="111"/>
        <v>74960.153333333408</v>
      </c>
      <c r="CO53" s="129">
        <v>45828.625</v>
      </c>
      <c r="CP53" s="54">
        <v>304.85700000000003</v>
      </c>
      <c r="CQ53" s="129">
        <v>45828.625</v>
      </c>
      <c r="CR53" s="54">
        <v>59.311</v>
      </c>
      <c r="DF53" s="133">
        <v>45922.625</v>
      </c>
      <c r="DG53" s="58">
        <f t="shared" si="66"/>
        <v>38192.354221564747</v>
      </c>
      <c r="DH53" s="58">
        <f t="shared" si="67"/>
        <v>-85232.554779818514</v>
      </c>
      <c r="DI53" s="58">
        <f t="shared" si="68"/>
        <v>-70306.25000000163</v>
      </c>
      <c r="DJ53" s="58">
        <f t="shared" si="69"/>
        <v>89304.133333333652</v>
      </c>
      <c r="DK53" s="58">
        <f t="shared" si="70"/>
        <v>6039.6473362824763</v>
      </c>
      <c r="DL53" s="58">
        <f t="shared" si="71"/>
        <v>43692.221944865014</v>
      </c>
      <c r="DM53" s="58">
        <f t="shared" si="72"/>
        <v>17587.499999999709</v>
      </c>
      <c r="DN53" s="58">
        <f t="shared" si="73"/>
        <v>14343.980000000243</v>
      </c>
      <c r="DO53" s="58">
        <f t="shared" si="74"/>
        <v>6039.6473362824763</v>
      </c>
      <c r="DP53" s="58">
        <f t="shared" si="75"/>
        <v>43692.221944865014</v>
      </c>
      <c r="DQ53" s="58">
        <f t="shared" si="76"/>
        <v>17587.499999999709</v>
      </c>
      <c r="DR53" s="58">
        <f t="shared" si="77"/>
        <v>14343.980000000243</v>
      </c>
      <c r="DS53" s="58">
        <f>SUM(DO$15:DO53)</f>
        <v>29798.026301028352</v>
      </c>
      <c r="DT53" s="58">
        <f>SUM(DP$15:DP53)</f>
        <v>-77622.934359002102</v>
      </c>
      <c r="DU53" s="58">
        <f>SUM(DQ$15:DQ53)</f>
        <v>-55624.999999998952</v>
      </c>
      <c r="DV53" s="58">
        <f>SUM(DR$15:DR53)</f>
        <v>71790.366666666785</v>
      </c>
      <c r="DZ53" s="133">
        <v>45922.625</v>
      </c>
      <c r="EA53" s="152">
        <v>-55624.999999998952</v>
      </c>
      <c r="EB53" s="152">
        <v>-77622.934359002102</v>
      </c>
      <c r="EC53" s="152">
        <v>85464.722222222394</v>
      </c>
      <c r="ED53" s="152">
        <v>35475.107039319439</v>
      </c>
    </row>
    <row r="54" spans="1:134" x14ac:dyDescent="0.3">
      <c r="A54" s="142">
        <v>45902.625</v>
      </c>
      <c r="B54" s="76">
        <f t="shared" si="24"/>
        <v>94.24</v>
      </c>
      <c r="C54" s="31">
        <f t="shared" si="9"/>
        <v>76038.33865814314</v>
      </c>
      <c r="D54" s="32">
        <f t="shared" si="10"/>
        <v>-138180</v>
      </c>
      <c r="E54" s="76">
        <f t="shared" si="25"/>
        <v>100.976</v>
      </c>
      <c r="F54" s="31">
        <f t="shared" si="11"/>
        <v>-44520.000000000095</v>
      </c>
      <c r="G54" s="32">
        <f t="shared" si="12"/>
        <v>-49195.851040000009</v>
      </c>
      <c r="H54" s="76">
        <f t="shared" si="26"/>
        <v>119.81</v>
      </c>
      <c r="I54" s="31">
        <f t="shared" si="13"/>
        <v>-619284.65955701645</v>
      </c>
      <c r="J54" s="32">
        <f t="shared" si="14"/>
        <v>-237669.6</v>
      </c>
      <c r="K54" s="76">
        <f t="shared" si="27"/>
        <v>99.481999999999999</v>
      </c>
      <c r="L54" s="31">
        <f t="shared" si="15"/>
        <v>-95743.200000002005</v>
      </c>
      <c r="M54" s="32">
        <f t="shared" si="16"/>
        <v>-108209.99018666665</v>
      </c>
      <c r="N54" s="82">
        <f t="shared" si="17"/>
        <v>684575.25906849105</v>
      </c>
      <c r="O54" s="82"/>
      <c r="P54" s="82"/>
      <c r="Q54" s="82">
        <f>$G$5*SUM($O$14:O54)-$H$5*SUM($P$14:P54)</f>
        <v>-576200.5368</v>
      </c>
      <c r="R54" s="82">
        <f t="shared" si="18"/>
        <v>108374.72226849105</v>
      </c>
      <c r="S54" s="143"/>
      <c r="U54" s="75">
        <v>45831.625</v>
      </c>
      <c r="V54" s="54">
        <v>93.3</v>
      </c>
      <c r="W54" s="75">
        <v>45827.625</v>
      </c>
      <c r="X54" s="54">
        <v>101.432</v>
      </c>
      <c r="Y54" s="125">
        <v>45834.625</v>
      </c>
      <c r="Z54" s="54">
        <v>121.66</v>
      </c>
      <c r="AA54" s="75">
        <v>45917.625</v>
      </c>
      <c r="AB54" s="54">
        <v>99.600999999999999</v>
      </c>
      <c r="AF54" s="131">
        <v>45922.625</v>
      </c>
      <c r="AG54" s="45">
        <f t="shared" si="78"/>
        <v>81.319999999999993</v>
      </c>
      <c r="AH54" s="46">
        <f t="shared" si="79"/>
        <v>270354.25730266847</v>
      </c>
      <c r="AI54" s="46">
        <f t="shared" si="80"/>
        <v>-164500</v>
      </c>
      <c r="AJ54" s="45">
        <f t="shared" si="81"/>
        <v>100.7734375</v>
      </c>
      <c r="AK54" s="46">
        <f t="shared" si="82"/>
        <v>167578.125</v>
      </c>
      <c r="AL54" s="47">
        <f t="shared" si="83"/>
        <v>-7297.8580729166715</v>
      </c>
      <c r="AM54" s="45">
        <f t="shared" si="84"/>
        <v>111.48</v>
      </c>
      <c r="AN54" s="46">
        <f t="shared" si="85"/>
        <v>640670.35290718579</v>
      </c>
      <c r="AO54" s="47">
        <f t="shared" si="86"/>
        <v>-169200</v>
      </c>
      <c r="AP54" s="45">
        <f t="shared" si="87"/>
        <v>100.7734375</v>
      </c>
      <c r="AQ54" s="46">
        <f t="shared" si="88"/>
        <v>146093.75</v>
      </c>
      <c r="AR54" s="47">
        <f t="shared" si="89"/>
        <v>-6362.2352430555475</v>
      </c>
      <c r="AS54" s="45">
        <f t="shared" si="90"/>
        <v>104.015625</v>
      </c>
      <c r="AT54" s="46">
        <f t="shared" si="91"/>
        <v>119698.66071428571</v>
      </c>
      <c r="AU54" s="47">
        <f t="shared" si="92"/>
        <v>2663.7760416666715</v>
      </c>
      <c r="AV54" s="45">
        <f t="shared" si="93"/>
        <v>97.71875</v>
      </c>
      <c r="AW54" s="46">
        <f t="shared" si="94"/>
        <v>220312.5</v>
      </c>
      <c r="AX54" s="47">
        <f t="shared" si="95"/>
        <v>7183.7864583333358</v>
      </c>
      <c r="AY54" s="82">
        <f t="shared" si="96"/>
        <v>-36306.124560370437</v>
      </c>
      <c r="AZ54" s="82"/>
      <c r="BA54" s="82"/>
      <c r="BB54" s="82">
        <f>$AO$4*SUM($AZ$14:AZ54)-$AP$4*SUM($BA$14:BA54)</f>
        <v>48926.430219448084</v>
      </c>
      <c r="BC54" s="82">
        <f t="shared" si="97"/>
        <v>-85232.554779818514</v>
      </c>
      <c r="BE54" s="75">
        <v>45826.625</v>
      </c>
      <c r="BF54" s="54">
        <v>79.55</v>
      </c>
      <c r="BG54" s="75">
        <v>45937.625</v>
      </c>
      <c r="BH54" s="54">
        <v>100.7421875</v>
      </c>
      <c r="BI54" s="75">
        <v>45826.625</v>
      </c>
      <c r="BJ54" s="54">
        <v>108.05</v>
      </c>
      <c r="BK54" s="75">
        <v>45937.625</v>
      </c>
      <c r="BL54" s="54">
        <v>100.7421875</v>
      </c>
      <c r="BM54" s="75">
        <v>45827.625</v>
      </c>
      <c r="BN54" s="54">
        <v>101.921875</v>
      </c>
      <c r="BO54" s="75">
        <v>45827.625</v>
      </c>
      <c r="BP54" s="54">
        <v>95.765625</v>
      </c>
      <c r="BR54" s="131">
        <f t="shared" si="20"/>
        <v>45922.625</v>
      </c>
      <c r="BS54" s="45">
        <f t="shared" si="98"/>
        <v>107.9379</v>
      </c>
      <c r="BT54" s="46">
        <f t="shared" si="99"/>
        <v>89949.999999998196</v>
      </c>
      <c r="BU54" s="46">
        <f t="shared" si="100"/>
        <v>194444.44444444447</v>
      </c>
      <c r="BV54" s="45">
        <f t="shared" si="101"/>
        <v>47.365000000000002</v>
      </c>
      <c r="BW54" s="46">
        <f t="shared" si="102"/>
        <v>160256.24999999983</v>
      </c>
      <c r="BX54" s="47">
        <f t="shared" si="103"/>
        <v>194444.44444444444</v>
      </c>
      <c r="BY54" s="45">
        <f t="shared" si="104"/>
        <v>-70306.25000000163</v>
      </c>
      <c r="CA54" s="129">
        <v>45832.625</v>
      </c>
      <c r="CB54" s="54">
        <v>106.926</v>
      </c>
      <c r="CC54" s="129">
        <v>45832.625</v>
      </c>
      <c r="CD54" s="54">
        <v>52.908999999999999</v>
      </c>
      <c r="CF54" s="131">
        <v>45922.625</v>
      </c>
      <c r="CG54" s="45">
        <f t="shared" si="105"/>
        <v>247.34700000000001</v>
      </c>
      <c r="CH54" s="46">
        <f t="shared" si="106"/>
        <v>183210.72000000006</v>
      </c>
      <c r="CI54" s="46">
        <f t="shared" si="107"/>
        <v>163333.33333333334</v>
      </c>
      <c r="CJ54" s="45">
        <f t="shared" si="108"/>
        <v>50.252000000000002</v>
      </c>
      <c r="CK54" s="46">
        <f t="shared" si="109"/>
        <v>110239.91999999974</v>
      </c>
      <c r="CL54" s="47">
        <f t="shared" si="110"/>
        <v>147000</v>
      </c>
      <c r="CM54" s="45">
        <f t="shared" si="111"/>
        <v>89304.133333333652</v>
      </c>
      <c r="CO54" s="129">
        <v>45831.625</v>
      </c>
      <c r="CP54" s="54">
        <v>305.47399999999999</v>
      </c>
      <c r="CQ54" s="129">
        <v>45831.625</v>
      </c>
      <c r="CR54" s="54">
        <v>59.47</v>
      </c>
      <c r="DF54" s="133">
        <v>45923.625</v>
      </c>
      <c r="DG54" s="58">
        <f t="shared" si="66"/>
        <v>59800.540682314109</v>
      </c>
      <c r="DH54" s="58">
        <f t="shared" si="67"/>
        <v>-92183.016400091612</v>
      </c>
      <c r="DI54" s="58">
        <f t="shared" si="68"/>
        <v>-80131.250000003143</v>
      </c>
      <c r="DJ54" s="58">
        <f t="shared" si="69"/>
        <v>101839.85000000015</v>
      </c>
      <c r="DK54" s="58">
        <f t="shared" si="70"/>
        <v>21608.186460749363</v>
      </c>
      <c r="DL54" s="58">
        <f t="shared" si="71"/>
        <v>-6950.4616202730977</v>
      </c>
      <c r="DM54" s="58">
        <f t="shared" si="72"/>
        <v>-9825.0000000015134</v>
      </c>
      <c r="DN54" s="58">
        <f t="shared" si="73"/>
        <v>12535.7166666665</v>
      </c>
      <c r="DO54" s="58">
        <f t="shared" si="74"/>
        <v>21608.186460749363</v>
      </c>
      <c r="DP54" s="58">
        <f t="shared" si="75"/>
        <v>-6950.4616202730977</v>
      </c>
      <c r="DQ54" s="58">
        <f t="shared" si="76"/>
        <v>-9825.0000000015134</v>
      </c>
      <c r="DR54" s="58">
        <f t="shared" si="77"/>
        <v>12535.7166666665</v>
      </c>
      <c r="DS54" s="58">
        <f>SUM(DO$15:DO54)</f>
        <v>51406.212761777715</v>
      </c>
      <c r="DT54" s="58">
        <f>SUM(DP$15:DP54)</f>
        <v>-84573.395979275199</v>
      </c>
      <c r="DU54" s="58">
        <f>SUM(DQ$15:DQ54)</f>
        <v>-65450.000000000466</v>
      </c>
      <c r="DV54" s="58">
        <f>SUM(DR$15:DR54)</f>
        <v>84326.083333333285</v>
      </c>
      <c r="DZ54" s="133">
        <v>45923.625</v>
      </c>
      <c r="EA54" s="152">
        <v>-65450.000000000466</v>
      </c>
      <c r="EB54" s="152">
        <v>-84573.395979275199</v>
      </c>
      <c r="EC54" s="152">
        <v>100388.19444444429</v>
      </c>
      <c r="ED54" s="152">
        <v>61199.138540211425</v>
      </c>
    </row>
    <row r="55" spans="1:134" x14ac:dyDescent="0.3">
      <c r="A55" s="142">
        <v>45903.625</v>
      </c>
      <c r="B55" s="76">
        <f t="shared" si="24"/>
        <v>94.38</v>
      </c>
      <c r="C55" s="31">
        <f t="shared" si="9"/>
        <v>107348.24281150113</v>
      </c>
      <c r="D55" s="32">
        <f t="shared" si="10"/>
        <v>-140647.5</v>
      </c>
      <c r="E55" s="76">
        <f t="shared" si="25"/>
        <v>101.038</v>
      </c>
      <c r="F55" s="31">
        <f t="shared" si="11"/>
        <v>-34104.000000000495</v>
      </c>
      <c r="G55" s="32">
        <f t="shared" si="12"/>
        <v>-50074.348379999981</v>
      </c>
      <c r="H55" s="76">
        <f t="shared" si="26"/>
        <v>120.08</v>
      </c>
      <c r="I55" s="31">
        <f t="shared" si="13"/>
        <v>-539281.37817883643</v>
      </c>
      <c r="J55" s="32">
        <f t="shared" si="14"/>
        <v>-241913.69999999998</v>
      </c>
      <c r="K55" s="76">
        <f t="shared" si="27"/>
        <v>99.596000000000004</v>
      </c>
      <c r="L55" s="31">
        <f t="shared" si="15"/>
        <v>-56481.600000000508</v>
      </c>
      <c r="M55" s="32">
        <f t="shared" si="16"/>
        <v>-110142.31144000003</v>
      </c>
      <c r="N55" s="82">
        <f t="shared" si="17"/>
        <v>665450.25793033733</v>
      </c>
      <c r="O55" s="82"/>
      <c r="P55" s="82"/>
      <c r="Q55" s="82">
        <f>$G$5*SUM($O$14:O55)-$H$5*SUM($P$14:P55)</f>
        <v>-576200.5368</v>
      </c>
      <c r="R55" s="82">
        <f t="shared" si="18"/>
        <v>89249.721130337333</v>
      </c>
      <c r="S55" s="143"/>
      <c r="U55" s="75">
        <v>45832.625</v>
      </c>
      <c r="V55" s="54">
        <v>93.63</v>
      </c>
      <c r="W55" s="75">
        <v>45828.625</v>
      </c>
      <c r="X55" s="54">
        <v>101.38200000000001</v>
      </c>
      <c r="Y55" s="125">
        <v>45835.625</v>
      </c>
      <c r="Z55" s="54">
        <v>121.55</v>
      </c>
      <c r="AA55" s="75">
        <v>45918.625</v>
      </c>
      <c r="AB55" s="54">
        <v>99.516000000000005</v>
      </c>
      <c r="AF55" s="131">
        <v>45923.625</v>
      </c>
      <c r="AG55" s="45">
        <f t="shared" si="78"/>
        <v>81.260000000000005</v>
      </c>
      <c r="AH55" s="46">
        <f t="shared" si="79"/>
        <v>251709.13610938482</v>
      </c>
      <c r="AI55" s="46">
        <f t="shared" si="80"/>
        <v>-167437.49999999997</v>
      </c>
      <c r="AJ55" s="45">
        <f t="shared" si="81"/>
        <v>100.9140625</v>
      </c>
      <c r="AK55" s="46">
        <f t="shared" si="82"/>
        <v>187165.17857142858</v>
      </c>
      <c r="AL55" s="47">
        <f t="shared" si="83"/>
        <v>-7428.1769670758949</v>
      </c>
      <c r="AM55" s="45">
        <f t="shared" si="84"/>
        <v>111.71</v>
      </c>
      <c r="AN55" s="46">
        <f t="shared" si="85"/>
        <v>695044.58950077987</v>
      </c>
      <c r="AO55" s="47">
        <f t="shared" si="86"/>
        <v>-172221.42857142855</v>
      </c>
      <c r="AP55" s="45">
        <f t="shared" si="87"/>
        <v>100.9140625</v>
      </c>
      <c r="AQ55" s="46">
        <f t="shared" si="88"/>
        <v>163169.64285714287</v>
      </c>
      <c r="AR55" s="47">
        <f t="shared" si="89"/>
        <v>-6475.8465866815386</v>
      </c>
      <c r="AS55" s="45">
        <f t="shared" si="90"/>
        <v>104.328125</v>
      </c>
      <c r="AT55" s="46">
        <f t="shared" si="91"/>
        <v>136439.73214285713</v>
      </c>
      <c r="AU55" s="47">
        <f t="shared" si="92"/>
        <v>2711.3434709821449</v>
      </c>
      <c r="AV55" s="45">
        <f t="shared" si="93"/>
        <v>98.40625</v>
      </c>
      <c r="AW55" s="46">
        <f t="shared" si="94"/>
        <v>271875</v>
      </c>
      <c r="AX55" s="47">
        <f t="shared" si="95"/>
        <v>7312.068359375</v>
      </c>
      <c r="AY55" s="82">
        <f t="shared" si="96"/>
        <v>-43256.586180643528</v>
      </c>
      <c r="AZ55" s="82"/>
      <c r="BA55" s="82"/>
      <c r="BB55" s="82">
        <f>$AO$4*SUM($AZ$14:AZ55)-$AP$4*SUM($BA$14:BA55)</f>
        <v>48926.430219448084</v>
      </c>
      <c r="BC55" s="82">
        <f t="shared" si="97"/>
        <v>-92183.016400091612</v>
      </c>
      <c r="BE55" s="75">
        <v>45828.625</v>
      </c>
      <c r="BF55" s="54">
        <v>79.790000000000006</v>
      </c>
      <c r="BG55" s="75">
        <v>45938.625</v>
      </c>
      <c r="BH55" s="54">
        <v>100.6875</v>
      </c>
      <c r="BI55" s="75">
        <v>45828.625</v>
      </c>
      <c r="BJ55" s="54">
        <v>108.15</v>
      </c>
      <c r="BK55" s="75">
        <v>45938.625</v>
      </c>
      <c r="BL55" s="54">
        <v>100.6875</v>
      </c>
      <c r="BM55" s="75">
        <v>45828.625</v>
      </c>
      <c r="BN55" s="54">
        <v>102.015625</v>
      </c>
      <c r="BO55" s="75">
        <v>45828.625</v>
      </c>
      <c r="BP55" s="54">
        <v>95.703125</v>
      </c>
      <c r="BR55" s="131">
        <f t="shared" si="20"/>
        <v>45923.625</v>
      </c>
      <c r="BS55" s="45">
        <f t="shared" si="98"/>
        <v>107.82299999999999</v>
      </c>
      <c r="BT55" s="46">
        <f t="shared" si="99"/>
        <v>61224.999999996755</v>
      </c>
      <c r="BU55" s="46">
        <f t="shared" si="100"/>
        <v>197916.66666666666</v>
      </c>
      <c r="BV55" s="45">
        <f t="shared" si="101"/>
        <v>47.701000000000001</v>
      </c>
      <c r="BW55" s="46">
        <f t="shared" si="102"/>
        <v>141356.24999999991</v>
      </c>
      <c r="BX55" s="47">
        <f t="shared" si="103"/>
        <v>197916.66666666666</v>
      </c>
      <c r="BY55" s="45">
        <f t="shared" si="104"/>
        <v>-80131.250000003143</v>
      </c>
      <c r="CA55" s="129">
        <v>45833.625</v>
      </c>
      <c r="CB55" s="54">
        <v>106.8379</v>
      </c>
      <c r="CC55" s="129">
        <v>45833.625</v>
      </c>
      <c r="CD55" s="54">
        <v>53.393000000000001</v>
      </c>
      <c r="CF55" s="131">
        <v>45923.625</v>
      </c>
      <c r="CG55" s="45">
        <f t="shared" si="105"/>
        <v>242.93100000000001</v>
      </c>
      <c r="CH55" s="46">
        <f t="shared" si="106"/>
        <v>224014.56000000003</v>
      </c>
      <c r="CI55" s="46">
        <f t="shared" si="107"/>
        <v>166250</v>
      </c>
      <c r="CJ55" s="45">
        <f t="shared" si="108"/>
        <v>49.594999999999999</v>
      </c>
      <c r="CK55" s="46">
        <f t="shared" si="109"/>
        <v>138799.7099999999</v>
      </c>
      <c r="CL55" s="47">
        <f t="shared" si="110"/>
        <v>149625</v>
      </c>
      <c r="CM55" s="45">
        <f t="shared" si="111"/>
        <v>101839.85000000015</v>
      </c>
      <c r="CO55" s="129">
        <v>45832.625</v>
      </c>
      <c r="CP55" s="54">
        <v>292.42599999999999</v>
      </c>
      <c r="CQ55" s="129">
        <v>45832.625</v>
      </c>
      <c r="CR55" s="54">
        <v>56.341999999999999</v>
      </c>
      <c r="DF55" s="133">
        <v>45924.625</v>
      </c>
      <c r="DG55" s="58">
        <f t="shared" si="66"/>
        <v>31575.551498647605</v>
      </c>
      <c r="DH55" s="58">
        <f t="shared" si="67"/>
        <v>-62589.921834330584</v>
      </c>
      <c r="DI55" s="58">
        <f t="shared" si="68"/>
        <v>-68993.750000002299</v>
      </c>
      <c r="DJ55" s="58">
        <f t="shared" si="69"/>
        <v>103220.57666666678</v>
      </c>
      <c r="DK55" s="58">
        <f t="shared" si="70"/>
        <v>-28224.989183666505</v>
      </c>
      <c r="DL55" s="58">
        <f t="shared" si="71"/>
        <v>29593.094565761028</v>
      </c>
      <c r="DM55" s="58">
        <f t="shared" si="72"/>
        <v>11137.500000000844</v>
      </c>
      <c r="DN55" s="58">
        <f t="shared" si="73"/>
        <v>1380.7266666666255</v>
      </c>
      <c r="DO55" s="58">
        <f t="shared" si="74"/>
        <v>-28224.989183666505</v>
      </c>
      <c r="DP55" s="58">
        <f t="shared" si="75"/>
        <v>29593.094565761028</v>
      </c>
      <c r="DQ55" s="58">
        <f t="shared" si="76"/>
        <v>11137.500000000844</v>
      </c>
      <c r="DR55" s="58">
        <f t="shared" si="77"/>
        <v>1380.7266666666255</v>
      </c>
      <c r="DS55" s="58">
        <f>SUM(DO$15:DO55)</f>
        <v>23181.22357811121</v>
      </c>
      <c r="DT55" s="58">
        <f>SUM(DP$15:DP55)</f>
        <v>-54980.301413514171</v>
      </c>
      <c r="DU55" s="58">
        <f>SUM(DQ$15:DQ55)</f>
        <v>-54312.499999999622</v>
      </c>
      <c r="DV55" s="58">
        <f>SUM(DR$15:DR55)</f>
        <v>85706.80999999991</v>
      </c>
      <c r="DZ55" s="133">
        <v>45924.625</v>
      </c>
      <c r="EA55" s="152">
        <v>-54312.499999999622</v>
      </c>
      <c r="EB55" s="152">
        <v>-54980.301413514171</v>
      </c>
      <c r="EC55" s="152">
        <v>102031.91666666666</v>
      </c>
      <c r="ED55" s="152">
        <v>27597.960940608435</v>
      </c>
    </row>
    <row r="56" spans="1:134" x14ac:dyDescent="0.3">
      <c r="A56" s="142">
        <v>45904.625</v>
      </c>
      <c r="B56" s="76">
        <f t="shared" si="24"/>
        <v>94.54</v>
      </c>
      <c r="C56" s="31">
        <f t="shared" si="9"/>
        <v>143130.99041533485</v>
      </c>
      <c r="D56" s="32">
        <f t="shared" si="10"/>
        <v>-143115</v>
      </c>
      <c r="E56" s="76">
        <f t="shared" si="25"/>
        <v>101.06399999999999</v>
      </c>
      <c r="F56" s="31">
        <f t="shared" si="11"/>
        <v>-29736.000000001128</v>
      </c>
      <c r="G56" s="32">
        <f t="shared" si="12"/>
        <v>-50952.845720000005</v>
      </c>
      <c r="H56" s="76">
        <f t="shared" si="26"/>
        <v>120.3</v>
      </c>
      <c r="I56" s="31">
        <f t="shared" si="13"/>
        <v>-474093.51927809737</v>
      </c>
      <c r="J56" s="32">
        <f t="shared" si="14"/>
        <v>-246157.8</v>
      </c>
      <c r="K56" s="76">
        <f t="shared" si="27"/>
        <v>99.653999999999996</v>
      </c>
      <c r="L56" s="31">
        <f t="shared" si="15"/>
        <v>-36506.400000003014</v>
      </c>
      <c r="M56" s="32">
        <f t="shared" si="16"/>
        <v>-112074.63269333333</v>
      </c>
      <c r="N56" s="82">
        <f t="shared" si="17"/>
        <v>652375.12272009708</v>
      </c>
      <c r="O56" s="82"/>
      <c r="P56" s="82"/>
      <c r="Q56" s="82">
        <f>$G$5*SUM($O$14:O56)-$H$5*SUM($P$14:P56)</f>
        <v>-576200.5368</v>
      </c>
      <c r="R56" s="82">
        <f t="shared" si="18"/>
        <v>76174.585920097074</v>
      </c>
      <c r="S56" s="143"/>
      <c r="U56" s="75">
        <v>45833.625</v>
      </c>
      <c r="V56" s="54">
        <v>93.47</v>
      </c>
      <c r="W56" s="75">
        <v>45831.625</v>
      </c>
      <c r="X56" s="54">
        <v>101.441</v>
      </c>
      <c r="Y56" s="125">
        <v>45838.625</v>
      </c>
      <c r="Z56" s="54">
        <v>121.69</v>
      </c>
      <c r="AA56" s="75">
        <v>45919.625</v>
      </c>
      <c r="AB56" s="54">
        <v>99.414000000000001</v>
      </c>
      <c r="AF56" s="131">
        <v>45924.625</v>
      </c>
      <c r="AG56" s="45">
        <f t="shared" si="78"/>
        <v>81.150000000000006</v>
      </c>
      <c r="AH56" s="46">
        <f t="shared" si="79"/>
        <v>217526.41392169258</v>
      </c>
      <c r="AI56" s="46">
        <f t="shared" si="80"/>
        <v>-170375</v>
      </c>
      <c r="AJ56" s="45">
        <f t="shared" si="81"/>
        <v>100.71875</v>
      </c>
      <c r="AK56" s="46">
        <f t="shared" si="82"/>
        <v>159960.9375</v>
      </c>
      <c r="AL56" s="47">
        <f t="shared" si="83"/>
        <v>-7558.4958612351038</v>
      </c>
      <c r="AM56" s="45">
        <f t="shared" si="84"/>
        <v>111.26</v>
      </c>
      <c r="AN56" s="46">
        <f t="shared" si="85"/>
        <v>588660.2135567884</v>
      </c>
      <c r="AO56" s="47">
        <f t="shared" si="86"/>
        <v>-175242.85714285716</v>
      </c>
      <c r="AP56" s="45">
        <f t="shared" si="87"/>
        <v>100.71875</v>
      </c>
      <c r="AQ56" s="46">
        <f t="shared" si="88"/>
        <v>139453.125</v>
      </c>
      <c r="AR56" s="47">
        <f t="shared" si="89"/>
        <v>-6589.4579303075298</v>
      </c>
      <c r="AS56" s="45">
        <f t="shared" si="90"/>
        <v>104.03125</v>
      </c>
      <c r="AT56" s="46">
        <f t="shared" si="91"/>
        <v>120535.71428571429</v>
      </c>
      <c r="AU56" s="47">
        <f t="shared" si="92"/>
        <v>2758.9109002976256</v>
      </c>
      <c r="AV56" s="45">
        <f t="shared" si="93"/>
        <v>98</v>
      </c>
      <c r="AW56" s="46">
        <f t="shared" si="94"/>
        <v>241406.25</v>
      </c>
      <c r="AX56" s="47">
        <f t="shared" si="95"/>
        <v>7440.3502604166715</v>
      </c>
      <c r="AY56" s="82">
        <f t="shared" si="96"/>
        <v>-13663.4916148825</v>
      </c>
      <c r="AZ56" s="82"/>
      <c r="BA56" s="82"/>
      <c r="BB56" s="82">
        <f>$AO$4*SUM($AZ$14:AZ56)-$AP$4*SUM($BA$14:BA56)</f>
        <v>48926.430219448084</v>
      </c>
      <c r="BC56" s="82">
        <f t="shared" si="97"/>
        <v>-62589.921834330584</v>
      </c>
      <c r="BE56" s="75">
        <v>45831.625</v>
      </c>
      <c r="BF56" s="54">
        <v>79.95</v>
      </c>
      <c r="BG56" s="75">
        <v>45939.625</v>
      </c>
      <c r="BH56" s="54">
        <v>100.625</v>
      </c>
      <c r="BI56" s="75">
        <v>45831.625</v>
      </c>
      <c r="BJ56" s="54">
        <v>108.41</v>
      </c>
      <c r="BK56" s="75">
        <v>45939.625</v>
      </c>
      <c r="BL56" s="54">
        <v>100.625</v>
      </c>
      <c r="BM56" s="75">
        <v>45831.625</v>
      </c>
      <c r="BN56" s="54">
        <v>102.34375</v>
      </c>
      <c r="BO56" s="75">
        <v>45831.625</v>
      </c>
      <c r="BP56" s="54">
        <v>95.984375</v>
      </c>
      <c r="BR56" s="131">
        <f t="shared" si="20"/>
        <v>45924.625</v>
      </c>
      <c r="BS56" s="45">
        <f t="shared" si="98"/>
        <v>107.7465</v>
      </c>
      <c r="BT56" s="46">
        <f t="shared" si="99"/>
        <v>42099.999999997803</v>
      </c>
      <c r="BU56" s="46">
        <f t="shared" si="100"/>
        <v>201388.88888888891</v>
      </c>
      <c r="BV56" s="45">
        <f t="shared" si="101"/>
        <v>48.238999999999997</v>
      </c>
      <c r="BW56" s="46">
        <f t="shared" si="102"/>
        <v>111093.75000000009</v>
      </c>
      <c r="BX56" s="47">
        <f t="shared" si="103"/>
        <v>201388.88888888893</v>
      </c>
      <c r="BY56" s="45">
        <f t="shared" si="104"/>
        <v>-68993.750000002299</v>
      </c>
      <c r="CA56" s="129">
        <v>45834.625</v>
      </c>
      <c r="CB56" s="54">
        <v>107.0552</v>
      </c>
      <c r="CC56" s="129">
        <v>45834.625</v>
      </c>
      <c r="CD56" s="54">
        <v>52.463000000000001</v>
      </c>
      <c r="CF56" s="131">
        <v>45924.625</v>
      </c>
      <c r="CG56" s="45">
        <f t="shared" si="105"/>
        <v>243.08600000000001</v>
      </c>
      <c r="CH56" s="46">
        <f t="shared" si="106"/>
        <v>222582.36000000004</v>
      </c>
      <c r="CI56" s="46">
        <f t="shared" si="107"/>
        <v>169166.66666666669</v>
      </c>
      <c r="CJ56" s="45">
        <f t="shared" si="108"/>
        <v>49.652999999999999</v>
      </c>
      <c r="CK56" s="46">
        <f t="shared" si="109"/>
        <v>136278.44999999992</v>
      </c>
      <c r="CL56" s="47">
        <f t="shared" si="110"/>
        <v>152250.00000000003</v>
      </c>
      <c r="CM56" s="45">
        <f t="shared" si="111"/>
        <v>103220.57666666678</v>
      </c>
      <c r="CO56" s="129">
        <v>45833.625</v>
      </c>
      <c r="CP56" s="54">
        <v>292.70999999999998</v>
      </c>
      <c r="CQ56" s="129">
        <v>45833.625</v>
      </c>
      <c r="CR56" s="54">
        <v>56.53</v>
      </c>
      <c r="DF56" s="133">
        <v>45925.625</v>
      </c>
      <c r="DG56" s="58">
        <f t="shared" si="66"/>
        <v>32026.051323673397</v>
      </c>
      <c r="DH56" s="58">
        <f t="shared" si="67"/>
        <v>-94316.956092278531</v>
      </c>
      <c r="DI56" s="58">
        <f t="shared" si="68"/>
        <v>-65531.250000001106</v>
      </c>
      <c r="DJ56" s="58">
        <f t="shared" si="69"/>
        <v>112567.65333333355</v>
      </c>
      <c r="DK56" s="58">
        <f t="shared" si="70"/>
        <v>450.49982502579223</v>
      </c>
      <c r="DL56" s="58">
        <f t="shared" si="71"/>
        <v>-31727.034257947947</v>
      </c>
      <c r="DM56" s="58">
        <f t="shared" si="72"/>
        <v>3462.5000000011933</v>
      </c>
      <c r="DN56" s="58">
        <f t="shared" si="73"/>
        <v>9347.0766666667769</v>
      </c>
      <c r="DO56" s="58">
        <f t="shared" si="74"/>
        <v>450.49982502579223</v>
      </c>
      <c r="DP56" s="58">
        <f t="shared" si="75"/>
        <v>-31727.034257947947</v>
      </c>
      <c r="DQ56" s="58">
        <f t="shared" si="76"/>
        <v>3462.5000000011933</v>
      </c>
      <c r="DR56" s="58">
        <f t="shared" si="77"/>
        <v>9347.0766666667769</v>
      </c>
      <c r="DS56" s="58">
        <f>SUM(DO$15:DO56)</f>
        <v>23631.723403137003</v>
      </c>
      <c r="DT56" s="58">
        <f>SUM(DP$15:DP56)</f>
        <v>-86707.335671462119</v>
      </c>
      <c r="DU56" s="58">
        <f>SUM(DQ$15:DQ56)</f>
        <v>-50849.999999998428</v>
      </c>
      <c r="DV56" s="58">
        <f>SUM(DR$15:DR56)</f>
        <v>95053.886666666687</v>
      </c>
      <c r="DZ56" s="133">
        <v>45925.625</v>
      </c>
      <c r="EA56" s="152">
        <v>-50849.999999998428</v>
      </c>
      <c r="EB56" s="152">
        <v>-86707.335671462119</v>
      </c>
      <c r="EC56" s="152">
        <v>113159.38888888891</v>
      </c>
      <c r="ED56" s="152">
        <v>28134.270256115531</v>
      </c>
    </row>
    <row r="57" spans="1:134" x14ac:dyDescent="0.3">
      <c r="A57" s="142">
        <v>45905.625</v>
      </c>
      <c r="B57" s="76">
        <f t="shared" si="24"/>
        <v>94.64</v>
      </c>
      <c r="C57" s="31">
        <f t="shared" si="9"/>
        <v>165495.20766773206</v>
      </c>
      <c r="D57" s="32">
        <f t="shared" si="10"/>
        <v>-145582.5</v>
      </c>
      <c r="E57" s="76">
        <f t="shared" si="25"/>
        <v>101.19</v>
      </c>
      <c r="F57" s="31">
        <f t="shared" si="11"/>
        <v>-8568.0000000003256</v>
      </c>
      <c r="G57" s="32">
        <f t="shared" si="12"/>
        <v>-51831.34305999997</v>
      </c>
      <c r="H57" s="76">
        <f t="shared" si="26"/>
        <v>120.64</v>
      </c>
      <c r="I57" s="31">
        <f t="shared" si="13"/>
        <v>-373348.64643150149</v>
      </c>
      <c r="J57" s="32">
        <f t="shared" si="14"/>
        <v>-250401.89999999997</v>
      </c>
      <c r="K57" s="76">
        <f t="shared" si="27"/>
        <v>99.900999999999996</v>
      </c>
      <c r="L57" s="31">
        <f t="shared" si="15"/>
        <v>48560.399999996946</v>
      </c>
      <c r="M57" s="32">
        <f t="shared" si="16"/>
        <v>-114006.95394666666</v>
      </c>
      <c r="N57" s="82">
        <f t="shared" si="17"/>
        <v>638616.0432125642</v>
      </c>
      <c r="O57" s="82"/>
      <c r="P57" s="82"/>
      <c r="Q57" s="82">
        <f>$G$5*SUM($O$14:O57)-$H$5*SUM($P$14:P57)</f>
        <v>-576200.5368</v>
      </c>
      <c r="R57" s="82">
        <f t="shared" si="18"/>
        <v>62415.506412564195</v>
      </c>
      <c r="S57" s="143"/>
      <c r="U57" s="75">
        <v>45834.625</v>
      </c>
      <c r="V57" s="54">
        <v>93.5</v>
      </c>
      <c r="W57" s="75">
        <v>45832.625</v>
      </c>
      <c r="X57" s="54">
        <v>101.40600000000001</v>
      </c>
      <c r="Y57" s="125">
        <v>45839.625</v>
      </c>
      <c r="Z57" s="54">
        <v>121.84</v>
      </c>
      <c r="AA57" s="75">
        <v>45922.625</v>
      </c>
      <c r="AB57" s="54">
        <v>99.441000000000003</v>
      </c>
      <c r="AF57" s="131">
        <v>45925.625</v>
      </c>
      <c r="AG57" s="45">
        <f t="shared" si="78"/>
        <v>80.92</v>
      </c>
      <c r="AH57" s="46">
        <f t="shared" si="79"/>
        <v>146053.44934742193</v>
      </c>
      <c r="AI57" s="46">
        <f t="shared" si="80"/>
        <v>-173312.49999999997</v>
      </c>
      <c r="AJ57" s="45">
        <f t="shared" si="81"/>
        <v>100.5</v>
      </c>
      <c r="AK57" s="46">
        <f t="shared" si="82"/>
        <v>129492.1875</v>
      </c>
      <c r="AL57" s="47">
        <f t="shared" si="83"/>
        <v>-7688.8147553943418</v>
      </c>
      <c r="AM57" s="45">
        <f t="shared" si="84"/>
        <v>111.06</v>
      </c>
      <c r="AN57" s="46">
        <f t="shared" si="85"/>
        <v>541378.26869278459</v>
      </c>
      <c r="AO57" s="47">
        <f t="shared" si="86"/>
        <v>-178264.28571428571</v>
      </c>
      <c r="AP57" s="45">
        <f t="shared" si="87"/>
        <v>100.5</v>
      </c>
      <c r="AQ57" s="46">
        <f t="shared" si="88"/>
        <v>112890.625</v>
      </c>
      <c r="AR57" s="47">
        <f t="shared" si="89"/>
        <v>-6703.0692739335209</v>
      </c>
      <c r="AS57" s="45">
        <f t="shared" si="90"/>
        <v>103.8125</v>
      </c>
      <c r="AT57" s="46">
        <f t="shared" si="91"/>
        <v>108816.96428571429</v>
      </c>
      <c r="AU57" s="47">
        <f t="shared" si="92"/>
        <v>2806.478329613099</v>
      </c>
      <c r="AV57" s="45">
        <f t="shared" si="93"/>
        <v>98</v>
      </c>
      <c r="AW57" s="46">
        <f t="shared" si="94"/>
        <v>241406.25</v>
      </c>
      <c r="AX57" s="47">
        <f t="shared" si="95"/>
        <v>7568.6321614583358</v>
      </c>
      <c r="AY57" s="82">
        <f t="shared" si="96"/>
        <v>-45390.525872830454</v>
      </c>
      <c r="AZ57" s="82"/>
      <c r="BA57" s="82"/>
      <c r="BB57" s="82">
        <f>$AO$4*SUM($AZ$14:AZ57)-$AP$4*SUM($BA$14:BA57)</f>
        <v>48926.430219448084</v>
      </c>
      <c r="BC57" s="82">
        <f t="shared" si="97"/>
        <v>-94316.956092278531</v>
      </c>
      <c r="BE57" s="75">
        <v>45832.625</v>
      </c>
      <c r="BF57" s="54">
        <v>80.17</v>
      </c>
      <c r="BG57" s="75">
        <v>45940.625</v>
      </c>
      <c r="BH57" s="54">
        <v>101.0078125</v>
      </c>
      <c r="BI57" s="75">
        <v>45832.625</v>
      </c>
      <c r="BJ57" s="54">
        <v>108.92</v>
      </c>
      <c r="BK57" s="75">
        <v>45940.625</v>
      </c>
      <c r="BL57" s="54">
        <v>101.0078125</v>
      </c>
      <c r="BM57" s="75">
        <v>45832.625</v>
      </c>
      <c r="BN57" s="54">
        <v>102.703125</v>
      </c>
      <c r="BO57" s="75">
        <v>45832.625</v>
      </c>
      <c r="BP57" s="54">
        <v>96.625</v>
      </c>
      <c r="BR57" s="131">
        <f t="shared" si="20"/>
        <v>45925.625</v>
      </c>
      <c r="BS57" s="45">
        <f t="shared" si="98"/>
        <v>107.6015</v>
      </c>
      <c r="BT57" s="46">
        <f t="shared" si="99"/>
        <v>5849.9999999988004</v>
      </c>
      <c r="BU57" s="46">
        <f t="shared" si="100"/>
        <v>204861.11111111112</v>
      </c>
      <c r="BV57" s="45">
        <f t="shared" si="101"/>
        <v>48.945</v>
      </c>
      <c r="BW57" s="46">
        <f t="shared" si="102"/>
        <v>71381.249999999913</v>
      </c>
      <c r="BX57" s="47">
        <f t="shared" si="103"/>
        <v>204861.11111111112</v>
      </c>
      <c r="BY57" s="45">
        <f t="shared" si="104"/>
        <v>-65531.250000001106</v>
      </c>
      <c r="CA57" s="129">
        <v>45835.625</v>
      </c>
      <c r="CB57" s="54">
        <v>107.2032</v>
      </c>
      <c r="CC57" s="129">
        <v>45835.625</v>
      </c>
      <c r="CD57" s="54">
        <v>52.195</v>
      </c>
      <c r="CF57" s="131">
        <v>45925.625</v>
      </c>
      <c r="CG57" s="45">
        <f t="shared" si="105"/>
        <v>247.20099999999999</v>
      </c>
      <c r="CH57" s="46">
        <f t="shared" si="106"/>
        <v>184559.76000000015</v>
      </c>
      <c r="CI57" s="46">
        <f t="shared" si="107"/>
        <v>172083.33333333334</v>
      </c>
      <c r="CJ57" s="45">
        <f t="shared" si="108"/>
        <v>50.735999999999997</v>
      </c>
      <c r="CK57" s="46">
        <f t="shared" si="109"/>
        <v>89200.439999999973</v>
      </c>
      <c r="CL57" s="47">
        <f t="shared" si="110"/>
        <v>154875</v>
      </c>
      <c r="CM57" s="45">
        <f t="shared" si="111"/>
        <v>112567.65333333355</v>
      </c>
      <c r="CO57" s="129">
        <v>45834.625</v>
      </c>
      <c r="CP57" s="54">
        <v>290.971</v>
      </c>
      <c r="CQ57" s="129">
        <v>45834.625</v>
      </c>
      <c r="CR57" s="54">
        <v>56.253999999999998</v>
      </c>
      <c r="DF57" s="133">
        <v>45926.625</v>
      </c>
      <c r="DG57" s="58">
        <f t="shared" si="66"/>
        <v>67888.049135575071</v>
      </c>
      <c r="DH57" s="58">
        <f t="shared" si="67"/>
        <v>-92867.543605855928</v>
      </c>
      <c r="DI57" s="58">
        <f t="shared" si="68"/>
        <v>-60443.750000000728</v>
      </c>
      <c r="DJ57" s="58">
        <f t="shared" si="69"/>
        <v>118950.16000000038</v>
      </c>
      <c r="DK57" s="58">
        <f t="shared" si="70"/>
        <v>35861.997811901674</v>
      </c>
      <c r="DL57" s="58">
        <f t="shared" si="71"/>
        <v>1449.4124864226033</v>
      </c>
      <c r="DM57" s="58">
        <f t="shared" si="72"/>
        <v>5087.5000000003783</v>
      </c>
      <c r="DN57" s="58">
        <f t="shared" si="73"/>
        <v>6382.5066666668281</v>
      </c>
      <c r="DO57" s="58">
        <f t="shared" si="74"/>
        <v>35861.997811901674</v>
      </c>
      <c r="DP57" s="58">
        <f t="shared" si="75"/>
        <v>1449.4124864226033</v>
      </c>
      <c r="DQ57" s="58">
        <f t="shared" si="76"/>
        <v>5087.5000000003783</v>
      </c>
      <c r="DR57" s="58">
        <f t="shared" si="77"/>
        <v>6382.5066666668281</v>
      </c>
      <c r="DS57" s="58">
        <f>SUM(DO$15:DO57)</f>
        <v>59493.721215038677</v>
      </c>
      <c r="DT57" s="58">
        <f>SUM(DP$15:DP57)</f>
        <v>-85257.923185039515</v>
      </c>
      <c r="DU57" s="58">
        <f>SUM(DQ$15:DQ57)</f>
        <v>-45762.49999999805</v>
      </c>
      <c r="DV57" s="58">
        <f>SUM(DR$15:DR57)</f>
        <v>101436.39333333352</v>
      </c>
      <c r="DZ57" s="133">
        <v>45926.625</v>
      </c>
      <c r="EA57" s="152">
        <v>-45762.49999999805</v>
      </c>
      <c r="EB57" s="152">
        <v>-85257.923185039515</v>
      </c>
      <c r="EC57" s="152">
        <v>120757.61111111127</v>
      </c>
      <c r="ED57" s="152">
        <v>70827.124794093688</v>
      </c>
    </row>
    <row r="58" spans="1:134" x14ac:dyDescent="0.3">
      <c r="A58" s="142">
        <v>45908.625</v>
      </c>
      <c r="B58" s="76">
        <f t="shared" si="24"/>
        <v>94.65</v>
      </c>
      <c r="C58" s="31">
        <f t="shared" si="9"/>
        <v>167731.62939297225</v>
      </c>
      <c r="D58" s="32">
        <f t="shared" si="10"/>
        <v>-152985</v>
      </c>
      <c r="E58" s="76">
        <f t="shared" si="25"/>
        <v>101.23099999999999</v>
      </c>
      <c r="F58" s="31">
        <f t="shared" si="11"/>
        <v>-1680.0000000008595</v>
      </c>
      <c r="G58" s="32">
        <f t="shared" si="12"/>
        <v>-54466.83507999999</v>
      </c>
      <c r="H58" s="76">
        <f t="shared" si="26"/>
        <v>120.74</v>
      </c>
      <c r="I58" s="31">
        <f t="shared" si="13"/>
        <v>-343717.8014766234</v>
      </c>
      <c r="J58" s="32">
        <f t="shared" si="14"/>
        <v>-263134.2</v>
      </c>
      <c r="K58" s="76">
        <f t="shared" si="27"/>
        <v>99.972999999999999</v>
      </c>
      <c r="L58" s="31">
        <f t="shared" si="15"/>
        <v>73357.199999997887</v>
      </c>
      <c r="M58" s="32">
        <f t="shared" si="16"/>
        <v>-119803.91770666672</v>
      </c>
      <c r="N58" s="82">
        <f t="shared" si="17"/>
        <v>631298.7482429276</v>
      </c>
      <c r="O58" s="82"/>
      <c r="P58" s="82"/>
      <c r="Q58" s="82">
        <f>$G$5*SUM($O$14:O58)-$H$5*SUM($P$14:P58)</f>
        <v>-576200.5368</v>
      </c>
      <c r="R58" s="82">
        <f t="shared" si="18"/>
        <v>55098.211442927597</v>
      </c>
      <c r="S58" s="143"/>
      <c r="U58" s="75">
        <v>45835.625</v>
      </c>
      <c r="V58" s="54">
        <v>93.63</v>
      </c>
      <c r="W58" s="75">
        <v>45833.625</v>
      </c>
      <c r="X58" s="54">
        <v>101.367</v>
      </c>
      <c r="Y58" s="125">
        <v>45840.625</v>
      </c>
      <c r="Z58" s="54">
        <v>121.82</v>
      </c>
      <c r="AA58" s="75">
        <v>45923.625</v>
      </c>
      <c r="AB58" s="54">
        <v>99.381</v>
      </c>
      <c r="AF58" s="131">
        <v>45926.625</v>
      </c>
      <c r="AG58" s="45">
        <f t="shared" si="78"/>
        <v>81.08</v>
      </c>
      <c r="AH58" s="46">
        <f t="shared" si="79"/>
        <v>195773.77252952277</v>
      </c>
      <c r="AI58" s="46">
        <f t="shared" si="80"/>
        <v>-176249.99999999997</v>
      </c>
      <c r="AJ58" s="45">
        <f t="shared" si="81"/>
        <v>100.4921875</v>
      </c>
      <c r="AK58" s="46">
        <f t="shared" si="82"/>
        <v>128404.01785714286</v>
      </c>
      <c r="AL58" s="47">
        <f t="shared" si="83"/>
        <v>-7819.1336495535652</v>
      </c>
      <c r="AM58" s="45">
        <f t="shared" si="84"/>
        <v>111.21</v>
      </c>
      <c r="AN58" s="46">
        <f t="shared" si="85"/>
        <v>576839.72734078171</v>
      </c>
      <c r="AO58" s="47">
        <f t="shared" si="86"/>
        <v>-181285.71428571426</v>
      </c>
      <c r="AP58" s="45">
        <f t="shared" si="87"/>
        <v>100.4921875</v>
      </c>
      <c r="AQ58" s="46">
        <f t="shared" si="88"/>
        <v>111941.96428571429</v>
      </c>
      <c r="AR58" s="47">
        <f t="shared" si="89"/>
        <v>-6816.680617559512</v>
      </c>
      <c r="AS58" s="45">
        <f t="shared" si="90"/>
        <v>103.71875</v>
      </c>
      <c r="AT58" s="46">
        <f t="shared" si="91"/>
        <v>103794.64285714286</v>
      </c>
      <c r="AU58" s="47">
        <f t="shared" si="92"/>
        <v>2854.0457589285725</v>
      </c>
      <c r="AV58" s="45">
        <f t="shared" si="93"/>
        <v>97.890625</v>
      </c>
      <c r="AW58" s="46">
        <f t="shared" si="94"/>
        <v>233203.125</v>
      </c>
      <c r="AX58" s="47">
        <f t="shared" si="95"/>
        <v>7696.9140625</v>
      </c>
      <c r="AY58" s="82">
        <f t="shared" si="96"/>
        <v>-43941.113386407844</v>
      </c>
      <c r="AZ58" s="82"/>
      <c r="BA58" s="82"/>
      <c r="BB58" s="82">
        <f>$AO$4*SUM($AZ$14:AZ58)-$AP$4*SUM($BA$14:BA58)</f>
        <v>48926.430219448084</v>
      </c>
      <c r="BC58" s="82">
        <f t="shared" si="97"/>
        <v>-92867.543605855928</v>
      </c>
      <c r="BE58" s="75">
        <v>45833.625</v>
      </c>
      <c r="BF58" s="54">
        <v>80.150000000000006</v>
      </c>
      <c r="BG58" s="75">
        <v>45943.625</v>
      </c>
      <c r="BH58" s="54">
        <v>101.109375</v>
      </c>
      <c r="BI58" s="75">
        <v>45833.625</v>
      </c>
      <c r="BJ58" s="54">
        <v>108.79</v>
      </c>
      <c r="BK58" s="75">
        <v>45943.625</v>
      </c>
      <c r="BL58" s="54">
        <v>101.109375</v>
      </c>
      <c r="BM58" s="75">
        <v>45833.625</v>
      </c>
      <c r="BN58" s="54">
        <v>102.78125</v>
      </c>
      <c r="BO58" s="75">
        <v>45833.625</v>
      </c>
      <c r="BP58" s="54">
        <v>96.6875</v>
      </c>
      <c r="BR58" s="131">
        <f t="shared" si="20"/>
        <v>45926.625</v>
      </c>
      <c r="BS58" s="45">
        <f t="shared" si="98"/>
        <v>107.7762</v>
      </c>
      <c r="BT58" s="46">
        <f t="shared" si="99"/>
        <v>49524.999999999156</v>
      </c>
      <c r="BU58" s="46">
        <f t="shared" si="100"/>
        <v>208333.33333333334</v>
      </c>
      <c r="BV58" s="45">
        <f t="shared" si="101"/>
        <v>48.259</v>
      </c>
      <c r="BW58" s="46">
        <f t="shared" si="102"/>
        <v>109968.74999999991</v>
      </c>
      <c r="BX58" s="47">
        <f t="shared" si="103"/>
        <v>208333.33333333331</v>
      </c>
      <c r="BY58" s="45">
        <f t="shared" si="104"/>
        <v>-60443.750000000728</v>
      </c>
      <c r="CA58" s="129">
        <v>45838.625</v>
      </c>
      <c r="CB58" s="54">
        <v>107.5166</v>
      </c>
      <c r="CC58" s="129">
        <v>45838.625</v>
      </c>
      <c r="CD58" s="54">
        <v>50.99</v>
      </c>
      <c r="CF58" s="131">
        <v>45926.625</v>
      </c>
      <c r="CG58" s="45">
        <f t="shared" si="105"/>
        <v>244.453</v>
      </c>
      <c r="CH58" s="46">
        <f t="shared" si="106"/>
        <v>209951.28000000012</v>
      </c>
      <c r="CI58" s="46">
        <f t="shared" si="107"/>
        <v>175000</v>
      </c>
      <c r="CJ58" s="45">
        <f t="shared" si="108"/>
        <v>50.292000000000002</v>
      </c>
      <c r="CK58" s="46">
        <f t="shared" si="109"/>
        <v>108501.11999999978</v>
      </c>
      <c r="CL58" s="47">
        <f t="shared" si="110"/>
        <v>157500</v>
      </c>
      <c r="CM58" s="45">
        <f t="shared" si="111"/>
        <v>118950.16000000038</v>
      </c>
      <c r="CO58" s="129">
        <v>45835.625</v>
      </c>
      <c r="CP58" s="54">
        <v>285.11700000000002</v>
      </c>
      <c r="CQ58" s="129">
        <v>45835.625</v>
      </c>
      <c r="CR58" s="54">
        <v>54.988</v>
      </c>
      <c r="DF58" s="133">
        <v>45929.625</v>
      </c>
      <c r="DG58" s="58">
        <f t="shared" si="66"/>
        <v>3362.6759454296844</v>
      </c>
      <c r="DH58" s="58">
        <f t="shared" si="67"/>
        <v>-66975.384605822299</v>
      </c>
      <c r="DI58" s="58">
        <f t="shared" si="68"/>
        <v>-52393.750000001863</v>
      </c>
      <c r="DJ58" s="58">
        <f t="shared" si="69"/>
        <v>116705.82000000039</v>
      </c>
      <c r="DK58" s="58">
        <f t="shared" si="70"/>
        <v>-64525.373190145387</v>
      </c>
      <c r="DL58" s="58">
        <f t="shared" si="71"/>
        <v>25892.159000033629</v>
      </c>
      <c r="DM58" s="58">
        <f t="shared" si="72"/>
        <v>8049.999999998865</v>
      </c>
      <c r="DN58" s="58">
        <f t="shared" si="73"/>
        <v>-2244.3399999999965</v>
      </c>
      <c r="DO58" s="58">
        <f t="shared" si="74"/>
        <v>-64525.373190145387</v>
      </c>
      <c r="DP58" s="58">
        <f t="shared" si="75"/>
        <v>25892.159000033629</v>
      </c>
      <c r="DQ58" s="58">
        <f t="shared" si="76"/>
        <v>8049.999999998865</v>
      </c>
      <c r="DR58" s="58">
        <f t="shared" si="77"/>
        <v>-2244.3399999999965</v>
      </c>
      <c r="DS58" s="58">
        <f>SUM(DO$15:DO58)</f>
        <v>-5031.6519751067099</v>
      </c>
      <c r="DT58" s="58">
        <f>SUM(DP$15:DP58)</f>
        <v>-59365.764185005886</v>
      </c>
      <c r="DU58" s="58">
        <f>SUM(DQ$15:DQ58)</f>
        <v>-37712.499999999185</v>
      </c>
      <c r="DV58" s="58">
        <f>SUM(DR$15:DR58)</f>
        <v>99192.053333333519</v>
      </c>
      <c r="DZ58" s="133">
        <v>45929.625</v>
      </c>
      <c r="EA58" s="152">
        <v>-37712.499999999185</v>
      </c>
      <c r="EB58" s="152">
        <v>-59365.764185005886</v>
      </c>
      <c r="EC58" s="152">
        <v>118085.77777777801</v>
      </c>
      <c r="ED58" s="152">
        <v>-5988.7956703649834</v>
      </c>
    </row>
    <row r="59" spans="1:134" x14ac:dyDescent="0.3">
      <c r="A59" s="142">
        <v>45909.625</v>
      </c>
      <c r="B59" s="76">
        <f t="shared" si="24"/>
        <v>94.54</v>
      </c>
      <c r="C59" s="31">
        <f t="shared" si="9"/>
        <v>143130.99041533485</v>
      </c>
      <c r="D59" s="32">
        <f t="shared" si="10"/>
        <v>-155452.5</v>
      </c>
      <c r="E59" s="76">
        <f t="shared" si="25"/>
        <v>101.163</v>
      </c>
      <c r="F59" s="31">
        <f t="shared" si="11"/>
        <v>-13104.000000000497</v>
      </c>
      <c r="G59" s="32">
        <f t="shared" si="12"/>
        <v>-55345.332419999992</v>
      </c>
      <c r="H59" s="76">
        <f t="shared" si="26"/>
        <v>120.66</v>
      </c>
      <c r="I59" s="31">
        <f t="shared" si="13"/>
        <v>-367422.47744052671</v>
      </c>
      <c r="J59" s="32">
        <f t="shared" si="14"/>
        <v>-267378.3</v>
      </c>
      <c r="K59" s="76">
        <f t="shared" si="27"/>
        <v>99.885999999999996</v>
      </c>
      <c r="L59" s="31">
        <f t="shared" si="15"/>
        <v>43394.399999996756</v>
      </c>
      <c r="M59" s="32">
        <f t="shared" si="16"/>
        <v>-121736.23895999999</v>
      </c>
      <c r="N59" s="82">
        <f t="shared" si="17"/>
        <v>612586.76131585881</v>
      </c>
      <c r="O59" s="82"/>
      <c r="P59" s="82"/>
      <c r="Q59" s="82">
        <f>$G$5*SUM($O$14:O59)-$H$5*SUM($P$14:P59)</f>
        <v>-576200.5368</v>
      </c>
      <c r="R59" s="82">
        <f t="shared" si="18"/>
        <v>36386.224515858805</v>
      </c>
      <c r="S59" s="143"/>
      <c r="U59" s="75">
        <v>45838.625</v>
      </c>
      <c r="V59" s="54">
        <v>93.64</v>
      </c>
      <c r="W59" s="75">
        <v>45834.625</v>
      </c>
      <c r="X59" s="54">
        <v>101.43</v>
      </c>
      <c r="Y59" s="125">
        <v>45841.625</v>
      </c>
      <c r="Z59" s="54">
        <v>122.16</v>
      </c>
      <c r="AA59" s="75">
        <v>45924.625</v>
      </c>
      <c r="AB59" s="54">
        <v>99.414000000000001</v>
      </c>
      <c r="AF59" s="131">
        <v>45929.625</v>
      </c>
      <c r="AG59" s="45">
        <f t="shared" si="78"/>
        <v>81.22</v>
      </c>
      <c r="AH59" s="46">
        <f t="shared" si="79"/>
        <v>239279.05531385684</v>
      </c>
      <c r="AI59" s="46">
        <f t="shared" si="80"/>
        <v>-185062.5</v>
      </c>
      <c r="AJ59" s="45">
        <f t="shared" si="81"/>
        <v>100.6015625</v>
      </c>
      <c r="AK59" s="46">
        <f t="shared" si="82"/>
        <v>143638.39285714287</v>
      </c>
      <c r="AL59" s="47">
        <f t="shared" si="83"/>
        <v>-8210.09033203125</v>
      </c>
      <c r="AM59" s="45">
        <f t="shared" si="84"/>
        <v>111.58</v>
      </c>
      <c r="AN59" s="46">
        <f t="shared" si="85"/>
        <v>664311.32533918193</v>
      </c>
      <c r="AO59" s="47">
        <f t="shared" si="86"/>
        <v>-190350</v>
      </c>
      <c r="AP59" s="45">
        <f t="shared" si="87"/>
        <v>100.6015625</v>
      </c>
      <c r="AQ59" s="46">
        <f t="shared" si="88"/>
        <v>125223.2142857143</v>
      </c>
      <c r="AR59" s="47">
        <f t="shared" si="89"/>
        <v>-7157.5146484375</v>
      </c>
      <c r="AS59" s="45">
        <f t="shared" si="90"/>
        <v>104.015625</v>
      </c>
      <c r="AT59" s="46">
        <f t="shared" si="91"/>
        <v>119698.66071428571</v>
      </c>
      <c r="AU59" s="47">
        <f t="shared" si="92"/>
        <v>2996.748046875</v>
      </c>
      <c r="AV59" s="45">
        <f t="shared" si="93"/>
        <v>98.625</v>
      </c>
      <c r="AW59" s="46">
        <f t="shared" si="94"/>
        <v>288281.25</v>
      </c>
      <c r="AX59" s="47">
        <f t="shared" si="95"/>
        <v>8081.759765625</v>
      </c>
      <c r="AY59" s="82">
        <f t="shared" si="96"/>
        <v>-18048.954386374215</v>
      </c>
      <c r="AZ59" s="82"/>
      <c r="BA59" s="82"/>
      <c r="BB59" s="82">
        <f>$AO$4*SUM($AZ$14:AZ59)-$AP$4*SUM($BA$14:BA59)</f>
        <v>48926.430219448084</v>
      </c>
      <c r="BC59" s="82">
        <f t="shared" si="97"/>
        <v>-66975.384605822299</v>
      </c>
      <c r="BE59" s="75">
        <v>45834.625</v>
      </c>
      <c r="BF59" s="54">
        <v>80.38</v>
      </c>
      <c r="BG59" s="75">
        <v>45944.625</v>
      </c>
      <c r="BH59" s="54">
        <v>101.25</v>
      </c>
      <c r="BI59" s="75">
        <v>45834.625</v>
      </c>
      <c r="BJ59" s="54">
        <v>109.19</v>
      </c>
      <c r="BK59" s="75">
        <v>45944.625</v>
      </c>
      <c r="BL59" s="54">
        <v>101.25</v>
      </c>
      <c r="BM59" s="75">
        <v>45834.625</v>
      </c>
      <c r="BN59" s="54">
        <v>103.109375</v>
      </c>
      <c r="BO59" s="75">
        <v>45834.625</v>
      </c>
      <c r="BP59" s="54">
        <v>97.140625</v>
      </c>
      <c r="BR59" s="131">
        <f t="shared" si="20"/>
        <v>45929.625</v>
      </c>
      <c r="BS59" s="45">
        <f t="shared" si="98"/>
        <v>107.9713</v>
      </c>
      <c r="BT59" s="46">
        <f t="shared" si="99"/>
        <v>98299.999999998283</v>
      </c>
      <c r="BU59" s="46">
        <f t="shared" si="100"/>
        <v>218750</v>
      </c>
      <c r="BV59" s="45">
        <f t="shared" si="101"/>
        <v>47.534999999999997</v>
      </c>
      <c r="BW59" s="46">
        <f t="shared" si="102"/>
        <v>150693.75000000012</v>
      </c>
      <c r="BX59" s="47">
        <f t="shared" si="103"/>
        <v>218750</v>
      </c>
      <c r="BY59" s="45">
        <f t="shared" si="104"/>
        <v>-52393.750000001863</v>
      </c>
      <c r="CA59" s="129">
        <v>45839.625</v>
      </c>
      <c r="CB59" s="54">
        <v>107.5767</v>
      </c>
      <c r="CC59" s="129">
        <v>45839.625</v>
      </c>
      <c r="CD59" s="54">
        <v>50.72</v>
      </c>
      <c r="CF59" s="131">
        <v>45929.625</v>
      </c>
      <c r="CG59" s="45">
        <f t="shared" si="105"/>
        <v>241.69499999999999</v>
      </c>
      <c r="CH59" s="46">
        <f t="shared" si="106"/>
        <v>235435.20000000022</v>
      </c>
      <c r="CI59" s="46">
        <f t="shared" si="107"/>
        <v>183750</v>
      </c>
      <c r="CJ59" s="45">
        <f t="shared" si="108"/>
        <v>49.634</v>
      </c>
      <c r="CK59" s="46">
        <f t="shared" si="109"/>
        <v>137104.37999999983</v>
      </c>
      <c r="CL59" s="47">
        <f t="shared" si="110"/>
        <v>165374.99999999997</v>
      </c>
      <c r="CM59" s="45">
        <f t="shared" si="111"/>
        <v>116705.82000000039</v>
      </c>
      <c r="CO59" s="129">
        <v>45838.625</v>
      </c>
      <c r="CP59" s="54">
        <v>282.50799999999998</v>
      </c>
      <c r="CQ59" s="129">
        <v>45838.625</v>
      </c>
      <c r="CR59" s="54">
        <v>54.523000000000003</v>
      </c>
      <c r="DF59" s="133">
        <v>45930.625</v>
      </c>
      <c r="DG59" s="58">
        <f t="shared" si="66"/>
        <v>765.61786540129106</v>
      </c>
      <c r="DH59" s="58">
        <f t="shared" si="67"/>
        <v>-75072.193646375134</v>
      </c>
      <c r="DI59" s="58">
        <f t="shared" si="68"/>
        <v>-51212.500000002939</v>
      </c>
      <c r="DJ59" s="58">
        <f t="shared" si="69"/>
        <v>137257.0266666669</v>
      </c>
      <c r="DK59" s="58">
        <f t="shared" si="70"/>
        <v>-2597.0580800283933</v>
      </c>
      <c r="DL59" s="58">
        <f t="shared" si="71"/>
        <v>-8096.8090405528346</v>
      </c>
      <c r="DM59" s="58">
        <f t="shared" si="72"/>
        <v>1181.2499999989232</v>
      </c>
      <c r="DN59" s="58">
        <f t="shared" si="73"/>
        <v>20551.20666666652</v>
      </c>
      <c r="DO59" s="58">
        <f t="shared" si="74"/>
        <v>-2597.0580800283933</v>
      </c>
      <c r="DP59" s="58">
        <f t="shared" si="75"/>
        <v>-8096.8090405528346</v>
      </c>
      <c r="DQ59" s="58">
        <f t="shared" si="76"/>
        <v>1181.2499999989232</v>
      </c>
      <c r="DR59" s="58">
        <f t="shared" si="77"/>
        <v>20551.20666666652</v>
      </c>
      <c r="DS59" s="58">
        <f>SUM(DO$15:DO59)</f>
        <v>-7628.7100551351032</v>
      </c>
      <c r="DT59" s="58">
        <f>SUM(DP$15:DP59)</f>
        <v>-67462.573225558721</v>
      </c>
      <c r="DU59" s="58">
        <f>SUM(DQ$15:DQ59)</f>
        <v>-36531.250000000262</v>
      </c>
      <c r="DV59" s="58">
        <f>SUM(DR$15:DR59)</f>
        <v>119743.26000000004</v>
      </c>
      <c r="DZ59" s="133">
        <v>45930.625</v>
      </c>
      <c r="EA59" s="152">
        <v>-36531.250000000262</v>
      </c>
      <c r="EB59" s="152">
        <v>-67462.573225558721</v>
      </c>
      <c r="EC59" s="152">
        <v>142551.50000000003</v>
      </c>
      <c r="ED59" s="152">
        <v>-9080.5314799227053</v>
      </c>
    </row>
    <row r="60" spans="1:134" x14ac:dyDescent="0.3">
      <c r="A60" s="142">
        <v>45910.625</v>
      </c>
      <c r="B60" s="76">
        <f t="shared" si="24"/>
        <v>94.53</v>
      </c>
      <c r="C60" s="31">
        <f t="shared" si="9"/>
        <v>140894.56869009466</v>
      </c>
      <c r="D60" s="32">
        <f t="shared" si="10"/>
        <v>-157920</v>
      </c>
      <c r="E60" s="76">
        <f t="shared" si="25"/>
        <v>101.126</v>
      </c>
      <c r="F60" s="31">
        <f t="shared" si="11"/>
        <v>-19319.999999999141</v>
      </c>
      <c r="G60" s="32">
        <f t="shared" si="12"/>
        <v>-56223.829759999993</v>
      </c>
      <c r="H60" s="76">
        <f t="shared" si="26"/>
        <v>120.75</v>
      </c>
      <c r="I60" s="31">
        <f t="shared" si="13"/>
        <v>-340754.71698113199</v>
      </c>
      <c r="J60" s="32">
        <f t="shared" si="14"/>
        <v>-271622.39999999997</v>
      </c>
      <c r="K60" s="76">
        <f t="shared" si="27"/>
        <v>99.86</v>
      </c>
      <c r="L60" s="31">
        <f t="shared" si="15"/>
        <v>34439.999999998043</v>
      </c>
      <c r="M60" s="32">
        <f t="shared" si="16"/>
        <v>-123668.56021333335</v>
      </c>
      <c r="N60" s="82">
        <f t="shared" si="17"/>
        <v>581666.95521789044</v>
      </c>
      <c r="O60" s="82"/>
      <c r="P60" s="82"/>
      <c r="Q60" s="82">
        <f>$G$5*SUM($O$14:O60)-$H$5*SUM($P$14:P60)</f>
        <v>-576200.5368</v>
      </c>
      <c r="R60" s="82">
        <f t="shared" si="18"/>
        <v>5466.4184178904397</v>
      </c>
      <c r="S60" s="143"/>
      <c r="U60" s="75">
        <v>45839.625</v>
      </c>
      <c r="V60" s="54">
        <v>93.68</v>
      </c>
      <c r="W60" s="75">
        <v>45835.625</v>
      </c>
      <c r="X60" s="54">
        <v>101.3</v>
      </c>
      <c r="Y60" s="125">
        <v>45842.625</v>
      </c>
      <c r="Z60" s="54">
        <v>122.27</v>
      </c>
      <c r="AA60" s="75">
        <v>45925.625</v>
      </c>
      <c r="AB60" s="54">
        <v>99.263000000000005</v>
      </c>
      <c r="AF60" s="131">
        <v>45930.625</v>
      </c>
      <c r="AG60" s="45">
        <f t="shared" si="78"/>
        <v>81.19</v>
      </c>
      <c r="AH60" s="46">
        <f t="shared" si="79"/>
        <v>229956.49471721501</v>
      </c>
      <c r="AI60" s="46">
        <f t="shared" si="80"/>
        <v>-188000</v>
      </c>
      <c r="AJ60" s="45">
        <f t="shared" si="81"/>
        <v>100.6171875</v>
      </c>
      <c r="AK60" s="46">
        <f t="shared" si="82"/>
        <v>145814.73214285716</v>
      </c>
      <c r="AL60" s="47">
        <f t="shared" si="83"/>
        <v>-8340.4092261904734</v>
      </c>
      <c r="AM60" s="45">
        <f t="shared" si="84"/>
        <v>111.47</v>
      </c>
      <c r="AN60" s="46">
        <f t="shared" si="85"/>
        <v>638306.25566398329</v>
      </c>
      <c r="AO60" s="47">
        <f t="shared" si="86"/>
        <v>-193371.42857142858</v>
      </c>
      <c r="AP60" s="45">
        <f t="shared" si="87"/>
        <v>100.6171875</v>
      </c>
      <c r="AQ60" s="46">
        <f t="shared" si="88"/>
        <v>127120.53571428572</v>
      </c>
      <c r="AR60" s="47">
        <f t="shared" si="89"/>
        <v>-7271.1259920634766</v>
      </c>
      <c r="AS60" s="45">
        <f t="shared" si="90"/>
        <v>103.96875</v>
      </c>
      <c r="AT60" s="46">
        <f t="shared" si="91"/>
        <v>117187.5</v>
      </c>
      <c r="AU60" s="47">
        <f t="shared" si="92"/>
        <v>3044.3154761904807</v>
      </c>
      <c r="AV60" s="45">
        <f t="shared" si="93"/>
        <v>98.328125</v>
      </c>
      <c r="AW60" s="46">
        <f t="shared" si="94"/>
        <v>266015.625</v>
      </c>
      <c r="AX60" s="47">
        <f t="shared" si="95"/>
        <v>8210.0416666666715</v>
      </c>
      <c r="AY60" s="82">
        <f t="shared" si="96"/>
        <v>-26145.763426927049</v>
      </c>
      <c r="AZ60" s="82"/>
      <c r="BA60" s="82"/>
      <c r="BB60" s="82">
        <f>$AO$4*SUM($AZ$14:AZ60)-$AP$4*SUM($BA$14:BA60)</f>
        <v>48926.430219448084</v>
      </c>
      <c r="BC60" s="82">
        <f t="shared" si="97"/>
        <v>-75072.193646375134</v>
      </c>
      <c r="BE60" s="75">
        <v>45835.625</v>
      </c>
      <c r="BF60" s="54">
        <v>80.34</v>
      </c>
      <c r="BG60" s="75">
        <v>45945.625</v>
      </c>
      <c r="BH60" s="54">
        <v>101.140625</v>
      </c>
      <c r="BI60" s="75">
        <v>45835.625</v>
      </c>
      <c r="BJ60" s="54">
        <v>109.01</v>
      </c>
      <c r="BK60" s="75">
        <v>45945.625</v>
      </c>
      <c r="BL60" s="54">
        <v>101.140625</v>
      </c>
      <c r="BM60" s="75">
        <v>45835.625</v>
      </c>
      <c r="BN60" s="54">
        <v>102.78125</v>
      </c>
      <c r="BO60" s="75">
        <v>45835.625</v>
      </c>
      <c r="BP60" s="54">
        <v>96.5</v>
      </c>
      <c r="BR60" s="131">
        <f t="shared" si="20"/>
        <v>45930.625</v>
      </c>
      <c r="BS60" s="45">
        <f t="shared" si="98"/>
        <v>107.99469999999999</v>
      </c>
      <c r="BT60" s="46">
        <f t="shared" si="99"/>
        <v>104149.99999999709</v>
      </c>
      <c r="BU60" s="46">
        <f t="shared" si="100"/>
        <v>222222.22222222225</v>
      </c>
      <c r="BV60" s="45">
        <f t="shared" si="101"/>
        <v>47.451999999999998</v>
      </c>
      <c r="BW60" s="46">
        <f t="shared" si="102"/>
        <v>155362.50000000003</v>
      </c>
      <c r="BX60" s="47">
        <f t="shared" si="103"/>
        <v>222222.22222222225</v>
      </c>
      <c r="BY60" s="45">
        <f t="shared" si="104"/>
        <v>-51212.500000002939</v>
      </c>
      <c r="CA60" s="129">
        <v>45840.625</v>
      </c>
      <c r="CB60" s="54">
        <v>107.69840000000001</v>
      </c>
      <c r="CC60" s="129">
        <v>45840.625</v>
      </c>
      <c r="CD60" s="54">
        <v>50.170999999999999</v>
      </c>
      <c r="CF60" s="131">
        <v>45930.625</v>
      </c>
      <c r="CG60" s="45">
        <f t="shared" si="105"/>
        <v>240.52799999999999</v>
      </c>
      <c r="CH60" s="46">
        <f t="shared" si="106"/>
        <v>246218.2800000002</v>
      </c>
      <c r="CI60" s="46">
        <f t="shared" si="107"/>
        <v>186666.66666666669</v>
      </c>
      <c r="CJ60" s="45">
        <f t="shared" si="108"/>
        <v>49.851999999999997</v>
      </c>
      <c r="CK60" s="46">
        <f t="shared" si="109"/>
        <v>127627.92</v>
      </c>
      <c r="CL60" s="47">
        <f t="shared" si="110"/>
        <v>168000</v>
      </c>
      <c r="CM60" s="45">
        <f t="shared" si="111"/>
        <v>137257.0266666669</v>
      </c>
      <c r="CO60" s="129">
        <v>45839.625</v>
      </c>
      <c r="CP60" s="54">
        <v>283.149</v>
      </c>
      <c r="CQ60" s="129">
        <v>45839.625</v>
      </c>
      <c r="CR60" s="54">
        <v>54.335999999999999</v>
      </c>
      <c r="DF60" s="133">
        <v>45931.625</v>
      </c>
      <c r="DG60" s="58">
        <f t="shared" si="66"/>
        <v>16307.419736045995</v>
      </c>
      <c r="DH60" s="58">
        <f t="shared" si="67"/>
        <v>-149177.87841989033</v>
      </c>
      <c r="DI60" s="58">
        <f t="shared" si="68"/>
        <v>-57425.000000000582</v>
      </c>
      <c r="DJ60" s="58">
        <f t="shared" si="69"/>
        <v>128019.52333333355</v>
      </c>
      <c r="DK60" s="58">
        <f t="shared" si="70"/>
        <v>15541.801870644704</v>
      </c>
      <c r="DL60" s="58">
        <f t="shared" si="71"/>
        <v>-74105.684773515197</v>
      </c>
      <c r="DM60" s="58">
        <f t="shared" si="72"/>
        <v>-6212.4999999976426</v>
      </c>
      <c r="DN60" s="58">
        <f t="shared" si="73"/>
        <v>-9237.5033333333558</v>
      </c>
      <c r="DO60" s="58">
        <f t="shared" si="74"/>
        <v>15541.801870644704</v>
      </c>
      <c r="DP60" s="58">
        <f t="shared" si="75"/>
        <v>-74105.684773515197</v>
      </c>
      <c r="DQ60" s="58">
        <f t="shared" si="76"/>
        <v>-6212.4999999976426</v>
      </c>
      <c r="DR60" s="58">
        <f t="shared" si="77"/>
        <v>-9237.5033333333558</v>
      </c>
      <c r="DS60" s="58">
        <f>SUM(DO$15:DO60)</f>
        <v>7913.0918155096006</v>
      </c>
      <c r="DT60" s="58">
        <f>SUM(DP$15:DP60)</f>
        <v>-141568.25799907392</v>
      </c>
      <c r="DU60" s="58">
        <f>SUM(DQ$15:DQ60)</f>
        <v>-42743.749999997905</v>
      </c>
      <c r="DV60" s="58">
        <f>SUM(DR$15:DR60)</f>
        <v>110505.75666666668</v>
      </c>
      <c r="DZ60" s="133">
        <v>45931.625</v>
      </c>
      <c r="EA60" s="152">
        <v>-42743.749999997905</v>
      </c>
      <c r="EB60" s="152">
        <v>-141568.25799907392</v>
      </c>
      <c r="EC60" s="152">
        <v>131554.47222222234</v>
      </c>
      <c r="ED60" s="152">
        <v>9421.6136041780701</v>
      </c>
    </row>
    <row r="61" spans="1:134" x14ac:dyDescent="0.3">
      <c r="A61" s="142">
        <v>45911.625</v>
      </c>
      <c r="B61" s="76">
        <f t="shared" si="24"/>
        <v>92.29</v>
      </c>
      <c r="C61" s="31">
        <f t="shared" si="9"/>
        <v>-360063.89776357729</v>
      </c>
      <c r="D61" s="32">
        <f t="shared" si="10"/>
        <v>-160387.5</v>
      </c>
      <c r="E61" s="76">
        <f t="shared" si="25"/>
        <v>101.012</v>
      </c>
      <c r="F61" s="31">
        <f t="shared" si="11"/>
        <v>-38471.999999999869</v>
      </c>
      <c r="G61" s="32">
        <f t="shared" si="12"/>
        <v>-57102.327099999995</v>
      </c>
      <c r="H61" s="76">
        <f t="shared" si="26"/>
        <v>120.76</v>
      </c>
      <c r="I61" s="31">
        <f t="shared" si="13"/>
        <v>-337791.6324856446</v>
      </c>
      <c r="J61" s="32">
        <f t="shared" si="14"/>
        <v>-275866.5</v>
      </c>
      <c r="K61" s="76">
        <f t="shared" si="27"/>
        <v>99.715000000000003</v>
      </c>
      <c r="L61" s="31">
        <f t="shared" si="15"/>
        <v>-15498.000000000588</v>
      </c>
      <c r="M61" s="32">
        <f t="shared" si="16"/>
        <v>-125600.8814666667</v>
      </c>
      <c r="N61" s="82">
        <f t="shared" si="17"/>
        <v>47682.180355399905</v>
      </c>
      <c r="O61" s="82">
        <v>2.4173</v>
      </c>
      <c r="P61" s="82"/>
      <c r="Q61" s="82">
        <f>$G$5*SUM($O$14:O61)-$H$5*SUM($P$14:P61)</f>
        <v>-35590.730199999991</v>
      </c>
      <c r="R61" s="82">
        <f t="shared" si="18"/>
        <v>12091.450155399914</v>
      </c>
      <c r="S61" s="143"/>
      <c r="U61" s="75">
        <v>45840.625</v>
      </c>
      <c r="V61" s="54">
        <v>93.74</v>
      </c>
      <c r="W61" s="75">
        <v>45838.625</v>
      </c>
      <c r="X61" s="54">
        <v>101.331</v>
      </c>
      <c r="Y61" s="125">
        <v>45845.625</v>
      </c>
      <c r="Z61" s="54">
        <v>122.05</v>
      </c>
      <c r="AA61" s="75">
        <v>45926.625</v>
      </c>
      <c r="AB61" s="54">
        <v>99.38</v>
      </c>
      <c r="AF61" s="131">
        <v>45931.625</v>
      </c>
      <c r="AG61" s="45">
        <f t="shared" si="78"/>
        <v>80.959999999999994</v>
      </c>
      <c r="AH61" s="46">
        <f t="shared" si="79"/>
        <v>158483.53014294436</v>
      </c>
      <c r="AI61" s="46">
        <f t="shared" si="80"/>
        <v>-190937.5</v>
      </c>
      <c r="AJ61" s="45">
        <f t="shared" si="81"/>
        <v>100.875</v>
      </c>
      <c r="AK61" s="46">
        <f t="shared" si="82"/>
        <v>181724.33035714287</v>
      </c>
      <c r="AL61" s="47">
        <f t="shared" si="83"/>
        <v>-8470.7281203496968</v>
      </c>
      <c r="AM61" s="45">
        <f t="shared" si="84"/>
        <v>111.51</v>
      </c>
      <c r="AN61" s="46">
        <f t="shared" si="85"/>
        <v>647762.64463678747</v>
      </c>
      <c r="AO61" s="47">
        <f t="shared" si="86"/>
        <v>-196392.85714285713</v>
      </c>
      <c r="AP61" s="45">
        <f t="shared" si="87"/>
        <v>100.875</v>
      </c>
      <c r="AQ61" s="46">
        <f t="shared" si="88"/>
        <v>158426.33928571429</v>
      </c>
      <c r="AR61" s="47">
        <f t="shared" si="89"/>
        <v>-7384.7373356894823</v>
      </c>
      <c r="AS61" s="45">
        <f t="shared" si="90"/>
        <v>104.3125</v>
      </c>
      <c r="AT61" s="46">
        <f t="shared" si="91"/>
        <v>135602.67857142858</v>
      </c>
      <c r="AU61" s="47">
        <f t="shared" si="92"/>
        <v>3091.8829055059541</v>
      </c>
      <c r="AV61" s="45">
        <f t="shared" si="93"/>
        <v>98.53125</v>
      </c>
      <c r="AW61" s="46">
        <f t="shared" si="94"/>
        <v>281250</v>
      </c>
      <c r="AX61" s="47">
        <f t="shared" si="95"/>
        <v>8338.3235677083358</v>
      </c>
      <c r="AY61" s="82">
        <f t="shared" si="96"/>
        <v>-77752.872593111446</v>
      </c>
      <c r="AZ61" s="82">
        <v>0.381299</v>
      </c>
      <c r="BA61" s="82">
        <v>0.40603600000000001</v>
      </c>
      <c r="BB61" s="82">
        <f>$AO$4*SUM($AZ$14:AZ61)-$AP$4*SUM($BA$14:BA61)</f>
        <v>71425.005826778885</v>
      </c>
      <c r="BC61" s="82">
        <f t="shared" si="97"/>
        <v>-149177.87841989033</v>
      </c>
      <c r="BE61" s="75">
        <v>45838.625</v>
      </c>
      <c r="BF61" s="54">
        <v>80.650000000000006</v>
      </c>
      <c r="BG61" s="75">
        <v>45946.625</v>
      </c>
      <c r="BH61" s="54">
        <v>101.46875</v>
      </c>
      <c r="BI61" s="75">
        <v>45838.625</v>
      </c>
      <c r="BJ61" s="54">
        <v>109.61</v>
      </c>
      <c r="BK61" s="75">
        <v>45946.625</v>
      </c>
      <c r="BL61" s="54">
        <v>101.46875</v>
      </c>
      <c r="BM61" s="75">
        <v>45838.625</v>
      </c>
      <c r="BN61" s="54">
        <v>103.234375</v>
      </c>
      <c r="BO61" s="75">
        <v>45838.625</v>
      </c>
      <c r="BP61" s="54">
        <v>97.40625</v>
      </c>
      <c r="BR61" s="131">
        <f t="shared" si="20"/>
        <v>45931.625</v>
      </c>
      <c r="BS61" s="45">
        <f t="shared" si="98"/>
        <v>107.9406</v>
      </c>
      <c r="BT61" s="46">
        <f t="shared" si="99"/>
        <v>90624.999999999287</v>
      </c>
      <c r="BU61" s="46">
        <f t="shared" si="100"/>
        <v>225694.44444444447</v>
      </c>
      <c r="BV61" s="45">
        <f t="shared" si="101"/>
        <v>47.582000000000001</v>
      </c>
      <c r="BW61" s="46">
        <f t="shared" si="102"/>
        <v>148049.99999999988</v>
      </c>
      <c r="BX61" s="47">
        <f t="shared" si="103"/>
        <v>225694.44444444444</v>
      </c>
      <c r="BY61" s="45">
        <f t="shared" si="104"/>
        <v>-57425.000000000582</v>
      </c>
      <c r="CA61" s="129">
        <v>45845.625</v>
      </c>
      <c r="CB61" s="54">
        <v>107.60639999999999</v>
      </c>
      <c r="CC61" s="129">
        <v>45845.625</v>
      </c>
      <c r="CD61" s="54">
        <v>50.64</v>
      </c>
      <c r="CF61" s="131">
        <v>45931.625</v>
      </c>
      <c r="CG61" s="45">
        <f t="shared" si="105"/>
        <v>239.28700000000001</v>
      </c>
      <c r="CH61" s="46">
        <f t="shared" si="106"/>
        <v>257685.12000000008</v>
      </c>
      <c r="CI61" s="46">
        <f t="shared" si="107"/>
        <v>189583.33333333334</v>
      </c>
      <c r="CJ61" s="45">
        <f t="shared" si="108"/>
        <v>49.369</v>
      </c>
      <c r="CK61" s="46">
        <f t="shared" si="109"/>
        <v>148623.92999999985</v>
      </c>
      <c r="CL61" s="47">
        <f t="shared" si="110"/>
        <v>170625</v>
      </c>
      <c r="CM61" s="45">
        <f t="shared" si="111"/>
        <v>128019.52333333355</v>
      </c>
      <c r="CO61" s="129">
        <v>45840.625</v>
      </c>
      <c r="CP61" s="54">
        <v>283.74200000000002</v>
      </c>
      <c r="CQ61" s="129">
        <v>45840.625</v>
      </c>
      <c r="CR61" s="54">
        <v>54.325000000000003</v>
      </c>
      <c r="DF61" s="133">
        <v>45932.625</v>
      </c>
      <c r="DG61" s="58">
        <f t="shared" si="66"/>
        <v>5509.156430973293</v>
      </c>
      <c r="DH61" s="58">
        <f t="shared" si="67"/>
        <v>-173266.54322752077</v>
      </c>
      <c r="DI61" s="58">
        <f t="shared" si="68"/>
        <v>-69156.250000002387</v>
      </c>
      <c r="DJ61" s="58">
        <f t="shared" si="69"/>
        <v>133532.63000000024</v>
      </c>
      <c r="DK61" s="58">
        <f t="shared" si="70"/>
        <v>-10798.263305072702</v>
      </c>
      <c r="DL61" s="58">
        <f t="shared" si="71"/>
        <v>-24088.664807630441</v>
      </c>
      <c r="DM61" s="58">
        <f t="shared" si="72"/>
        <v>-11731.250000001804</v>
      </c>
      <c r="DN61" s="58">
        <f t="shared" si="73"/>
        <v>5513.1066666666884</v>
      </c>
      <c r="DO61" s="58">
        <f t="shared" si="74"/>
        <v>-10798.263305072702</v>
      </c>
      <c r="DP61" s="58">
        <f t="shared" si="75"/>
        <v>-24088.664807630441</v>
      </c>
      <c r="DQ61" s="58">
        <f t="shared" si="76"/>
        <v>-11731.250000001804</v>
      </c>
      <c r="DR61" s="58">
        <f t="shared" si="77"/>
        <v>5513.1066666666884</v>
      </c>
      <c r="DS61" s="58">
        <f>SUM(DO$15:DO61)</f>
        <v>-2885.1714895631012</v>
      </c>
      <c r="DT61" s="58">
        <f>SUM(DP$15:DP61)</f>
        <v>-165656.92280670436</v>
      </c>
      <c r="DU61" s="58">
        <f>SUM(DQ$15:DQ61)</f>
        <v>-54474.999999999709</v>
      </c>
      <c r="DV61" s="58">
        <f>SUM(DR$15:DR61)</f>
        <v>116018.86333333337</v>
      </c>
      <c r="DZ61" s="133">
        <v>45932.625</v>
      </c>
      <c r="EA61" s="152">
        <v>-54474.999999999709</v>
      </c>
      <c r="EB61" s="152">
        <v>-165656.92280670436</v>
      </c>
      <c r="EC61" s="152">
        <v>138117.69444444453</v>
      </c>
      <c r="ED61" s="152">
        <v>-3433.4617590037815</v>
      </c>
    </row>
    <row r="62" spans="1:134" ht="15" thickBot="1" x14ac:dyDescent="0.35">
      <c r="A62" s="142">
        <v>45912.625</v>
      </c>
      <c r="B62" s="76">
        <f t="shared" si="24"/>
        <v>92.46</v>
      </c>
      <c r="C62" s="31">
        <f t="shared" si="9"/>
        <v>-322044.72843450803</v>
      </c>
      <c r="D62" s="32">
        <f t="shared" si="10"/>
        <v>-162854.99999999997</v>
      </c>
      <c r="E62" s="76">
        <f t="shared" si="25"/>
        <v>100.934</v>
      </c>
      <c r="F62" s="31">
        <f t="shared" si="11"/>
        <v>-51576.000000000364</v>
      </c>
      <c r="G62" s="32">
        <f t="shared" si="12"/>
        <v>-57980.824440000011</v>
      </c>
      <c r="H62" s="76">
        <f t="shared" si="26"/>
        <v>120.63</v>
      </c>
      <c r="I62" s="31">
        <f t="shared" si="13"/>
        <v>-376311.7309269929</v>
      </c>
      <c r="J62" s="32">
        <f t="shared" si="14"/>
        <v>-280110.59999999998</v>
      </c>
      <c r="K62" s="76">
        <f t="shared" si="27"/>
        <v>99.519000000000005</v>
      </c>
      <c r="L62" s="31">
        <f t="shared" si="15"/>
        <v>-83000.399999999892</v>
      </c>
      <c r="M62" s="32">
        <f t="shared" si="16"/>
        <v>-127533.20271999994</v>
      </c>
      <c r="N62" s="82">
        <f t="shared" si="17"/>
        <v>70545.8242124854</v>
      </c>
      <c r="O62" s="82"/>
      <c r="P62" s="82"/>
      <c r="Q62" s="82">
        <f>$G$5*SUM($O$14:O62)-$H$5*SUM($P$14:P62)</f>
        <v>-35590.730199999991</v>
      </c>
      <c r="R62" s="82">
        <f t="shared" si="18"/>
        <v>34955.09401248541</v>
      </c>
      <c r="S62" s="143"/>
      <c r="U62" s="75">
        <v>45841.625</v>
      </c>
      <c r="V62" s="54">
        <v>93.9</v>
      </c>
      <c r="W62" s="75">
        <v>45839.625</v>
      </c>
      <c r="X62" s="54">
        <v>101.357</v>
      </c>
      <c r="Y62" s="125">
        <v>45846.625</v>
      </c>
      <c r="Z62" s="54">
        <v>121.9</v>
      </c>
      <c r="AA62" s="75">
        <v>45929.625</v>
      </c>
      <c r="AB62" s="54">
        <v>99.456000000000003</v>
      </c>
      <c r="AF62" s="132">
        <v>45932.625</v>
      </c>
      <c r="AG62" s="45">
        <f t="shared" si="78"/>
        <v>80.930000000000007</v>
      </c>
      <c r="AH62" s="46">
        <f t="shared" si="79"/>
        <v>149160.96954630254</v>
      </c>
      <c r="AI62" s="46">
        <f t="shared" si="80"/>
        <v>-193874.99999999997</v>
      </c>
      <c r="AJ62" s="45">
        <f t="shared" si="81"/>
        <v>100.890625</v>
      </c>
      <c r="AK62" s="46">
        <f t="shared" si="82"/>
        <v>183900.66964285713</v>
      </c>
      <c r="AL62" s="47">
        <f t="shared" si="83"/>
        <v>-8601.0470145089203</v>
      </c>
      <c r="AM62" s="45">
        <f t="shared" si="84"/>
        <v>111.69</v>
      </c>
      <c r="AN62" s="46">
        <f t="shared" si="85"/>
        <v>690316.39501438069</v>
      </c>
      <c r="AO62" s="47">
        <f t="shared" si="86"/>
        <v>-199414.28571428571</v>
      </c>
      <c r="AP62" s="45">
        <f t="shared" si="87"/>
        <v>100.890625</v>
      </c>
      <c r="AQ62" s="46">
        <f t="shared" si="88"/>
        <v>160323.66071428571</v>
      </c>
      <c r="AR62" s="47">
        <f t="shared" si="89"/>
        <v>-7498.348679315488</v>
      </c>
      <c r="AS62" s="45">
        <f t="shared" si="90"/>
        <v>104.4375</v>
      </c>
      <c r="AT62" s="46">
        <f t="shared" si="91"/>
        <v>142299.10714285713</v>
      </c>
      <c r="AU62" s="47">
        <f t="shared" si="92"/>
        <v>3139.4503348214275</v>
      </c>
      <c r="AV62" s="45">
        <f t="shared" si="93"/>
        <v>98.8125</v>
      </c>
      <c r="AW62" s="46">
        <f t="shared" si="94"/>
        <v>302343.75</v>
      </c>
      <c r="AX62" s="47">
        <f t="shared" si="95"/>
        <v>8466.6054687500073</v>
      </c>
      <c r="AY62" s="82">
        <f t="shared" si="96"/>
        <v>-101841.53740074189</v>
      </c>
      <c r="AZ62" s="82"/>
      <c r="BA62" s="82"/>
      <c r="BB62" s="82">
        <f>$AO$4*SUM($AZ$14:AZ62)-$AP$4*SUM($BA$14:BA62)</f>
        <v>71425.005826778885</v>
      </c>
      <c r="BC62" s="82">
        <f t="shared" si="97"/>
        <v>-173266.54322752077</v>
      </c>
      <c r="BE62" s="75">
        <v>45839.625</v>
      </c>
      <c r="BF62" s="54">
        <v>80.17</v>
      </c>
      <c r="BI62" s="75">
        <v>45839.625</v>
      </c>
      <c r="BJ62" s="54">
        <v>109.34</v>
      </c>
      <c r="BM62" s="75">
        <v>45839.625</v>
      </c>
      <c r="BN62" s="54">
        <v>103.046875</v>
      </c>
      <c r="BO62" s="75">
        <v>45839.625</v>
      </c>
      <c r="BP62" s="54">
        <v>97.609375</v>
      </c>
      <c r="BR62" s="131">
        <f t="shared" si="20"/>
        <v>45932.625</v>
      </c>
      <c r="BS62" s="45">
        <f t="shared" si="98"/>
        <v>107.9785</v>
      </c>
      <c r="BT62" s="46">
        <f t="shared" si="99"/>
        <v>100099.99999999763</v>
      </c>
      <c r="BU62" s="46">
        <f t="shared" si="100"/>
        <v>229166.66666666666</v>
      </c>
      <c r="BV62" s="45">
        <f t="shared" si="101"/>
        <v>47.204999999999998</v>
      </c>
      <c r="BW62" s="46">
        <f t="shared" si="102"/>
        <v>169256.25000000003</v>
      </c>
      <c r="BX62" s="47">
        <f t="shared" si="103"/>
        <v>229166.66666666666</v>
      </c>
      <c r="BY62" s="45">
        <f t="shared" si="104"/>
        <v>-69156.250000002387</v>
      </c>
      <c r="CA62" s="129">
        <v>45846.625</v>
      </c>
      <c r="CB62" s="54">
        <v>107.4332</v>
      </c>
      <c r="CC62" s="129">
        <v>45846.625</v>
      </c>
      <c r="CD62" s="54">
        <v>51.264000000000003</v>
      </c>
      <c r="CF62" s="131">
        <v>45932.625</v>
      </c>
      <c r="CG62" s="45">
        <f t="shared" si="105"/>
        <v>236.33199999999999</v>
      </c>
      <c r="CH62" s="46">
        <f t="shared" si="106"/>
        <v>284989.32000000024</v>
      </c>
      <c r="CI62" s="46">
        <f t="shared" si="107"/>
        <v>192500</v>
      </c>
      <c r="CJ62" s="45">
        <f t="shared" si="108"/>
        <v>48.860999999999997</v>
      </c>
      <c r="CK62" s="46">
        <f t="shared" si="109"/>
        <v>170706.69</v>
      </c>
      <c r="CL62" s="47">
        <f t="shared" si="110"/>
        <v>173250</v>
      </c>
      <c r="CM62" s="45">
        <f t="shared" si="111"/>
        <v>133532.63000000024</v>
      </c>
      <c r="CO62" s="129">
        <v>45841.625</v>
      </c>
      <c r="CP62" s="54">
        <v>278.61099999999999</v>
      </c>
      <c r="CQ62" s="129">
        <v>45841.625</v>
      </c>
      <c r="CR62" s="54">
        <v>53.073</v>
      </c>
      <c r="DF62" s="133">
        <v>45933.625</v>
      </c>
      <c r="DG62" s="58">
        <f t="shared" si="66"/>
        <v>-21367.976860759081</v>
      </c>
      <c r="DH62" s="58">
        <f t="shared" si="67"/>
        <v>-198942.96744604659</v>
      </c>
      <c r="DI62" s="58">
        <f t="shared" si="68"/>
        <v>-76106.250000001397</v>
      </c>
      <c r="DJ62" s="58">
        <f t="shared" si="69"/>
        <v>130255.3466666668</v>
      </c>
      <c r="DK62" s="58">
        <f t="shared" si="70"/>
        <v>-26877.133291732374</v>
      </c>
      <c r="DL62" s="58">
        <f t="shared" si="71"/>
        <v>-25676.424218525819</v>
      </c>
      <c r="DM62" s="58">
        <f t="shared" si="72"/>
        <v>-6949.9999999990105</v>
      </c>
      <c r="DN62" s="58">
        <f t="shared" si="73"/>
        <v>-3277.283333333442</v>
      </c>
      <c r="DO62" s="58">
        <f t="shared" si="74"/>
        <v>-26877.133291732374</v>
      </c>
      <c r="DP62" s="58">
        <f t="shared" si="75"/>
        <v>-25676.424218525819</v>
      </c>
      <c r="DQ62" s="58">
        <f t="shared" si="76"/>
        <v>-6949.9999999990105</v>
      </c>
      <c r="DR62" s="58">
        <f t="shared" si="77"/>
        <v>-3277.283333333442</v>
      </c>
      <c r="DS62" s="58">
        <f>SUM(DO$15:DO62)</f>
        <v>-29762.304781295476</v>
      </c>
      <c r="DT62" s="58">
        <f>SUM(DP$15:DP62)</f>
        <v>-191333.34702523018</v>
      </c>
      <c r="DU62" s="58">
        <f>SUM(DQ$15:DQ62)</f>
        <v>-61424.999999998719</v>
      </c>
      <c r="DV62" s="58">
        <f>SUM(DR$15:DR62)</f>
        <v>112741.57999999993</v>
      </c>
      <c r="DZ62" s="133">
        <v>45933.625</v>
      </c>
      <c r="EA62" s="152">
        <v>-61424.999999998719</v>
      </c>
      <c r="EB62" s="152">
        <v>-191333.34702523018</v>
      </c>
      <c r="EC62" s="152">
        <v>134216.1666666666</v>
      </c>
      <c r="ED62" s="152">
        <v>-35430.049011065945</v>
      </c>
    </row>
    <row r="63" spans="1:134" x14ac:dyDescent="0.3">
      <c r="A63" s="142">
        <v>45915.625</v>
      </c>
      <c r="B63" s="76">
        <f t="shared" si="24"/>
        <v>92.46</v>
      </c>
      <c r="C63" s="31">
        <f t="shared" si="9"/>
        <v>-322044.72843450803</v>
      </c>
      <c r="D63" s="32">
        <f t="shared" si="10"/>
        <v>-170257.5</v>
      </c>
      <c r="E63" s="76">
        <f t="shared" si="25"/>
        <v>100.944</v>
      </c>
      <c r="F63" s="31">
        <f t="shared" si="11"/>
        <v>-49895.999999999505</v>
      </c>
      <c r="G63" s="32">
        <f t="shared" si="12"/>
        <v>-60616.316459999987</v>
      </c>
      <c r="H63" s="76">
        <f t="shared" si="26"/>
        <v>120.7</v>
      </c>
      <c r="I63" s="31">
        <f t="shared" si="13"/>
        <v>-355570.13945857302</v>
      </c>
      <c r="J63" s="32">
        <f t="shared" si="14"/>
        <v>-292842.90000000002</v>
      </c>
      <c r="K63" s="76">
        <f t="shared" si="27"/>
        <v>99.558000000000007</v>
      </c>
      <c r="L63" s="31">
        <f t="shared" si="15"/>
        <v>-69568.799999999377</v>
      </c>
      <c r="M63" s="32">
        <f t="shared" si="16"/>
        <v>-133330.16648000001</v>
      </c>
      <c r="N63" s="82">
        <f t="shared" si="17"/>
        <v>63724.161004065099</v>
      </c>
      <c r="O63" s="82"/>
      <c r="P63" s="82"/>
      <c r="Q63" s="82">
        <f>$G$5*SUM($O$14:O63)-$H$5*SUM($P$14:P63)</f>
        <v>-35590.730199999991</v>
      </c>
      <c r="R63" s="82">
        <f t="shared" si="18"/>
        <v>28133.430804065109</v>
      </c>
      <c r="S63" s="143"/>
      <c r="U63" s="75">
        <v>45842.625</v>
      </c>
      <c r="V63" s="54">
        <v>93.86</v>
      </c>
      <c r="W63" s="75">
        <v>45840.625</v>
      </c>
      <c r="X63" s="54">
        <v>101.286</v>
      </c>
      <c r="Y63" s="125">
        <v>45847.625</v>
      </c>
      <c r="Z63" s="54">
        <v>122</v>
      </c>
      <c r="AA63" s="75">
        <v>45930.625</v>
      </c>
      <c r="AB63" s="54">
        <v>99.484999999999999</v>
      </c>
      <c r="AF63" s="133">
        <v>45933.625</v>
      </c>
      <c r="AG63" s="45">
        <f t="shared" si="78"/>
        <v>80.84</v>
      </c>
      <c r="AH63" s="46">
        <f t="shared" si="79"/>
        <v>121193.2877563715</v>
      </c>
      <c r="AI63" s="46">
        <f t="shared" si="80"/>
        <v>-196812.5</v>
      </c>
      <c r="AJ63" s="45">
        <f t="shared" si="81"/>
        <v>100.71875</v>
      </c>
      <c r="AK63" s="46">
        <f t="shared" si="82"/>
        <v>159960.9375</v>
      </c>
      <c r="AL63" s="47">
        <f t="shared" si="83"/>
        <v>-8731.3659086681437</v>
      </c>
      <c r="AM63" s="45">
        <f t="shared" si="84"/>
        <v>111.55</v>
      </c>
      <c r="AN63" s="46">
        <f t="shared" si="85"/>
        <v>657219.03360958025</v>
      </c>
      <c r="AO63" s="47">
        <f t="shared" si="86"/>
        <v>-202435.71428571429</v>
      </c>
      <c r="AP63" s="45">
        <f t="shared" si="87"/>
        <v>100.71875</v>
      </c>
      <c r="AQ63" s="46">
        <f t="shared" si="88"/>
        <v>139453.125</v>
      </c>
      <c r="AR63" s="47">
        <f t="shared" si="89"/>
        <v>-7611.9600229414646</v>
      </c>
      <c r="AS63" s="45">
        <f t="shared" si="90"/>
        <v>104.171875</v>
      </c>
      <c r="AT63" s="46">
        <f t="shared" si="91"/>
        <v>128069.19642857143</v>
      </c>
      <c r="AU63" s="47">
        <f t="shared" si="92"/>
        <v>3187.017764136901</v>
      </c>
      <c r="AV63" s="45">
        <f t="shared" si="93"/>
        <v>98.546875</v>
      </c>
      <c r="AW63" s="46">
        <f t="shared" si="94"/>
        <v>282421.875</v>
      </c>
      <c r="AX63" s="47">
        <f t="shared" si="95"/>
        <v>8594.8873697916715</v>
      </c>
      <c r="AY63" s="82">
        <f t="shared" si="96"/>
        <v>-127517.96161926772</v>
      </c>
      <c r="AZ63" s="82"/>
      <c r="BA63" s="82"/>
      <c r="BB63" s="82">
        <f>$AO$4*SUM($AZ$14:AZ63)-$AP$4*SUM($BA$14:BA63)</f>
        <v>71425.005826778885</v>
      </c>
      <c r="BC63" s="82">
        <f t="shared" si="97"/>
        <v>-198942.96744604659</v>
      </c>
      <c r="BE63" s="75">
        <v>45840.625</v>
      </c>
      <c r="BF63" s="54">
        <v>80.319999999999993</v>
      </c>
      <c r="BI63" s="75">
        <v>45840.625</v>
      </c>
      <c r="BJ63" s="54">
        <v>109.32</v>
      </c>
      <c r="BM63" s="75">
        <v>45840.625</v>
      </c>
      <c r="BN63" s="54">
        <v>102.78125</v>
      </c>
      <c r="BO63" s="75">
        <v>45840.625</v>
      </c>
      <c r="BP63" s="54">
        <v>96.984375</v>
      </c>
      <c r="BR63" s="131">
        <f t="shared" si="20"/>
        <v>45933.625</v>
      </c>
      <c r="BS63" s="45">
        <f t="shared" si="98"/>
        <v>107.9615</v>
      </c>
      <c r="BT63" s="46">
        <f t="shared" si="99"/>
        <v>95849.999999998661</v>
      </c>
      <c r="BU63" s="46">
        <f t="shared" si="100"/>
        <v>232638.88888888891</v>
      </c>
      <c r="BV63" s="45">
        <f t="shared" si="101"/>
        <v>47.156999999999996</v>
      </c>
      <c r="BW63" s="46">
        <f t="shared" si="102"/>
        <v>171956.25000000012</v>
      </c>
      <c r="BX63" s="47">
        <f t="shared" si="103"/>
        <v>232638.88888888888</v>
      </c>
      <c r="BY63" s="45">
        <f t="shared" si="104"/>
        <v>-76106.250000001397</v>
      </c>
      <c r="CA63" s="129">
        <v>45847.625</v>
      </c>
      <c r="CB63" s="54">
        <v>107.717</v>
      </c>
      <c r="CC63" s="129">
        <v>45847.625</v>
      </c>
      <c r="CD63" s="54">
        <v>50.171999999999997</v>
      </c>
      <c r="CF63" s="131">
        <v>45933.625</v>
      </c>
      <c r="CG63" s="45">
        <f t="shared" si="105"/>
        <v>235.94200000000001</v>
      </c>
      <c r="CH63" s="46">
        <f t="shared" si="106"/>
        <v>288592.92000000004</v>
      </c>
      <c r="CI63" s="46">
        <f t="shared" si="107"/>
        <v>195416.66666666669</v>
      </c>
      <c r="CJ63" s="45">
        <f t="shared" si="108"/>
        <v>48.695999999999998</v>
      </c>
      <c r="CK63" s="46">
        <f t="shared" si="109"/>
        <v>177879.23999999993</v>
      </c>
      <c r="CL63" s="47">
        <f t="shared" si="110"/>
        <v>175875</v>
      </c>
      <c r="CM63" s="45">
        <f t="shared" si="111"/>
        <v>130255.3466666668</v>
      </c>
      <c r="CO63" s="129">
        <v>45842.625</v>
      </c>
      <c r="CP63" s="54">
        <v>284.7</v>
      </c>
      <c r="CQ63" s="129">
        <v>45842.625</v>
      </c>
      <c r="CR63" s="54">
        <v>54.459000000000003</v>
      </c>
      <c r="DF63" s="133">
        <v>45936.625</v>
      </c>
      <c r="DG63" s="58">
        <f t="shared" si="66"/>
        <v>-31908.003082904004</v>
      </c>
      <c r="DH63" s="58">
        <f t="shared" si="67"/>
        <v>-179084.49672184521</v>
      </c>
      <c r="DI63" s="58">
        <f t="shared" si="68"/>
        <v>-69031.25000000163</v>
      </c>
      <c r="DJ63" s="58">
        <f t="shared" si="69"/>
        <v>139952.65666666697</v>
      </c>
      <c r="DK63" s="58">
        <f t="shared" si="70"/>
        <v>-10540.026222144923</v>
      </c>
      <c r="DL63" s="58">
        <f t="shared" si="71"/>
        <v>19858.470724201383</v>
      </c>
      <c r="DM63" s="58">
        <f t="shared" si="72"/>
        <v>7074.9999999997672</v>
      </c>
      <c r="DN63" s="58">
        <f t="shared" si="73"/>
        <v>9697.3100000001723</v>
      </c>
      <c r="DO63" s="58">
        <f t="shared" si="74"/>
        <v>-10540.026222144923</v>
      </c>
      <c r="DP63" s="58">
        <f t="shared" si="75"/>
        <v>19858.470724201383</v>
      </c>
      <c r="DQ63" s="58">
        <f t="shared" si="76"/>
        <v>7074.9999999997672</v>
      </c>
      <c r="DR63" s="58">
        <f t="shared" si="77"/>
        <v>9697.3100000001723</v>
      </c>
      <c r="DS63" s="58">
        <f>SUM(DO$15:DO63)</f>
        <v>-40302.331003440398</v>
      </c>
      <c r="DT63" s="58">
        <f>SUM(DP$15:DP63)</f>
        <v>-171474.87630102879</v>
      </c>
      <c r="DU63" s="58">
        <f>SUM(DQ$15:DQ63)</f>
        <v>-54349.999999998952</v>
      </c>
      <c r="DV63" s="58">
        <f>SUM(DR$15:DR63)</f>
        <v>122438.8900000001</v>
      </c>
      <c r="DZ63" s="133">
        <v>45936.625</v>
      </c>
      <c r="EA63" s="152">
        <v>-54349.999999998952</v>
      </c>
      <c r="EB63" s="152">
        <v>-171474.87630102879</v>
      </c>
      <c r="EC63" s="152">
        <v>145760.58333333352</v>
      </c>
      <c r="ED63" s="152">
        <v>-47977.699275524152</v>
      </c>
    </row>
    <row r="64" spans="1:134" x14ac:dyDescent="0.3">
      <c r="A64" s="142">
        <v>45916.625</v>
      </c>
      <c r="B64" s="76">
        <f t="shared" si="24"/>
        <v>92.35</v>
      </c>
      <c r="C64" s="31">
        <f t="shared" si="9"/>
        <v>-346645.36741214315</v>
      </c>
      <c r="D64" s="32">
        <f t="shared" si="10"/>
        <v>-172725</v>
      </c>
      <c r="E64" s="76">
        <f t="shared" si="25"/>
        <v>100.953</v>
      </c>
      <c r="F64" s="31">
        <f t="shared" si="11"/>
        <v>-48383.999999999447</v>
      </c>
      <c r="G64" s="32">
        <f t="shared" si="12"/>
        <v>-61494.813800000004</v>
      </c>
      <c r="H64" s="76">
        <f t="shared" si="26"/>
        <v>120.66</v>
      </c>
      <c r="I64" s="31">
        <f t="shared" si="13"/>
        <v>-367422.47744052671</v>
      </c>
      <c r="J64" s="32">
        <f t="shared" si="14"/>
        <v>-297087</v>
      </c>
      <c r="K64" s="76">
        <f t="shared" si="27"/>
        <v>99.569000000000003</v>
      </c>
      <c r="L64" s="31">
        <f t="shared" si="15"/>
        <v>-65780.400000000853</v>
      </c>
      <c r="M64" s="32">
        <f t="shared" si="16"/>
        <v>-135262.48773333334</v>
      </c>
      <c r="N64" s="82">
        <f t="shared" si="17"/>
        <v>53975.036095048796</v>
      </c>
      <c r="O64" s="82"/>
      <c r="P64" s="82"/>
      <c r="Q64" s="82">
        <f>$G$5*SUM($O$14:O64)-$H$5*SUM($P$14:P64)</f>
        <v>-35590.730199999991</v>
      </c>
      <c r="R64" s="82">
        <f t="shared" si="18"/>
        <v>18384.305895048805</v>
      </c>
      <c r="S64" s="143"/>
      <c r="U64" s="75">
        <v>45845.625</v>
      </c>
      <c r="V64" s="54">
        <v>93.91</v>
      </c>
      <c r="W64" s="75">
        <v>45841.625</v>
      </c>
      <c r="X64" s="54">
        <v>101.379</v>
      </c>
      <c r="Y64" s="125">
        <v>45848.625</v>
      </c>
      <c r="Z64" s="54">
        <v>121.86</v>
      </c>
      <c r="AA64" s="75">
        <v>45931.625</v>
      </c>
      <c r="AB64" s="54">
        <v>99.536000000000001</v>
      </c>
      <c r="AF64" s="133">
        <v>45936.625</v>
      </c>
      <c r="AG64" s="45">
        <f t="shared" si="78"/>
        <v>80.86</v>
      </c>
      <c r="AH64" s="46">
        <f t="shared" si="79"/>
        <v>127408.32815413272</v>
      </c>
      <c r="AI64" s="46">
        <f t="shared" si="80"/>
        <v>-205624.99999999997</v>
      </c>
      <c r="AJ64" s="45">
        <f t="shared" si="81"/>
        <v>100.5859375</v>
      </c>
      <c r="AK64" s="46">
        <f t="shared" si="82"/>
        <v>141462.05357142858</v>
      </c>
      <c r="AL64" s="47">
        <f t="shared" si="83"/>
        <v>-9122.3225911458285</v>
      </c>
      <c r="AM64" s="45">
        <f t="shared" si="84"/>
        <v>111.19</v>
      </c>
      <c r="AN64" s="46">
        <f t="shared" si="85"/>
        <v>572111.53285438253</v>
      </c>
      <c r="AO64" s="47">
        <f t="shared" si="86"/>
        <v>-211500.00000000003</v>
      </c>
      <c r="AP64" s="45">
        <f t="shared" si="87"/>
        <v>100.5859375</v>
      </c>
      <c r="AQ64" s="46">
        <f t="shared" si="88"/>
        <v>123325.89285714287</v>
      </c>
      <c r="AR64" s="47">
        <f t="shared" si="89"/>
        <v>-7952.7940538194525</v>
      </c>
      <c r="AS64" s="45">
        <f t="shared" si="90"/>
        <v>103.828125</v>
      </c>
      <c r="AT64" s="46">
        <f t="shared" si="91"/>
        <v>109654.01785714287</v>
      </c>
      <c r="AU64" s="47">
        <f t="shared" si="92"/>
        <v>3329.7200520833358</v>
      </c>
      <c r="AV64" s="45">
        <f t="shared" si="93"/>
        <v>97.796875</v>
      </c>
      <c r="AW64" s="46">
        <f t="shared" si="94"/>
        <v>226171.875</v>
      </c>
      <c r="AX64" s="47">
        <f t="shared" si="95"/>
        <v>8979.7330729166642</v>
      </c>
      <c r="AY64" s="82">
        <f t="shared" si="96"/>
        <v>-107659.49089506632</v>
      </c>
      <c r="AZ64" s="82"/>
      <c r="BA64" s="82"/>
      <c r="BB64" s="82">
        <f>$AO$4*SUM($AZ$14:AZ64)-$AP$4*SUM($BA$14:BA64)</f>
        <v>71425.005826778885</v>
      </c>
      <c r="BC64" s="82">
        <f t="shared" si="97"/>
        <v>-179084.49672184521</v>
      </c>
      <c r="BE64" s="75">
        <v>45841.625</v>
      </c>
      <c r="BF64" s="54">
        <v>80.37</v>
      </c>
      <c r="BI64" s="75">
        <v>45841.625</v>
      </c>
      <c r="BJ64" s="54">
        <v>109.06</v>
      </c>
      <c r="BM64" s="75">
        <v>45842.625</v>
      </c>
      <c r="BN64" s="54">
        <v>102.28125</v>
      </c>
      <c r="BO64" s="75">
        <v>45842.625</v>
      </c>
      <c r="BP64" s="54">
        <v>96.25</v>
      </c>
      <c r="BR64" s="131">
        <f t="shared" si="20"/>
        <v>45936.625</v>
      </c>
      <c r="BS64" s="45">
        <f t="shared" si="98"/>
        <v>108.1194</v>
      </c>
      <c r="BT64" s="46">
        <f t="shared" si="99"/>
        <v>135324.99999999814</v>
      </c>
      <c r="BU64" s="46">
        <f t="shared" si="100"/>
        <v>243055.55555555556</v>
      </c>
      <c r="BV64" s="45">
        <f t="shared" si="101"/>
        <v>46.581000000000003</v>
      </c>
      <c r="BW64" s="46">
        <f t="shared" si="102"/>
        <v>204356.24999999977</v>
      </c>
      <c r="BX64" s="47">
        <f t="shared" si="103"/>
        <v>243055.55555555556</v>
      </c>
      <c r="BY64" s="45">
        <f t="shared" si="104"/>
        <v>-69031.25000000163</v>
      </c>
      <c r="CA64" s="129">
        <v>45848.625</v>
      </c>
      <c r="CB64" s="54">
        <v>107.7636</v>
      </c>
      <c r="CC64" s="129">
        <v>45848.625</v>
      </c>
      <c r="CD64" s="54">
        <v>49.853999999999999</v>
      </c>
      <c r="CF64" s="131">
        <v>45936.625</v>
      </c>
      <c r="CG64" s="45">
        <f t="shared" si="105"/>
        <v>239.226</v>
      </c>
      <c r="CH64" s="46">
        <f t="shared" si="106"/>
        <v>258248.76000000013</v>
      </c>
      <c r="CI64" s="46">
        <f t="shared" si="107"/>
        <v>204166.66666666669</v>
      </c>
      <c r="CJ64" s="45">
        <f t="shared" si="108"/>
        <v>49.597000000000001</v>
      </c>
      <c r="CK64" s="46">
        <f t="shared" si="109"/>
        <v>138712.76999999981</v>
      </c>
      <c r="CL64" s="47">
        <f t="shared" si="110"/>
        <v>183750</v>
      </c>
      <c r="CM64" s="45">
        <f t="shared" si="111"/>
        <v>139952.65666666697</v>
      </c>
      <c r="CO64" s="129">
        <v>45845.625</v>
      </c>
      <c r="CP64" s="54">
        <v>281.32</v>
      </c>
      <c r="CQ64" s="129">
        <v>45845.625</v>
      </c>
      <c r="CR64" s="54">
        <v>53.741999999999997</v>
      </c>
      <c r="DF64" s="133">
        <v>45937.625</v>
      </c>
      <c r="DG64" s="58">
        <f t="shared" si="66"/>
        <v>-104281.8252669642</v>
      </c>
      <c r="DH64" s="58">
        <f t="shared" si="67"/>
        <v>-205138.2530238007</v>
      </c>
      <c r="DI64" s="58">
        <f t="shared" si="68"/>
        <v>-64131.250000001863</v>
      </c>
      <c r="DJ64" s="58">
        <f t="shared" si="69"/>
        <v>131938.61333333363</v>
      </c>
      <c r="DK64" s="58">
        <f t="shared" si="70"/>
        <v>-72373.822184060191</v>
      </c>
      <c r="DL64" s="58">
        <f t="shared" si="71"/>
        <v>-26053.756301955495</v>
      </c>
      <c r="DM64" s="58">
        <f t="shared" si="72"/>
        <v>4899.9999999997672</v>
      </c>
      <c r="DN64" s="58">
        <f t="shared" si="73"/>
        <v>-8014.0433333333349</v>
      </c>
      <c r="DO64" s="58">
        <f t="shared" si="74"/>
        <v>-72373.822184060191</v>
      </c>
      <c r="DP64" s="58">
        <f t="shared" si="75"/>
        <v>-26053.756301955495</v>
      </c>
      <c r="DQ64" s="58">
        <f t="shared" si="76"/>
        <v>4899.9999999997672</v>
      </c>
      <c r="DR64" s="58">
        <f t="shared" si="77"/>
        <v>-8014.0433333333349</v>
      </c>
      <c r="DS64" s="58">
        <f>SUM(DO$15:DO64)</f>
        <v>-112676.15318750059</v>
      </c>
      <c r="DT64" s="58">
        <f>SUM(DP$15:DP64)</f>
        <v>-197528.63260298429</v>
      </c>
      <c r="DU64" s="58">
        <f>SUM(DQ$15:DQ64)</f>
        <v>-49449.999999999185</v>
      </c>
      <c r="DV64" s="58">
        <f>SUM(DR$15:DR64)</f>
        <v>114424.84666666677</v>
      </c>
      <c r="DZ64" s="133">
        <v>45937.625</v>
      </c>
      <c r="EA64" s="152">
        <v>-49449.999999999185</v>
      </c>
      <c r="EB64" s="152">
        <v>-197528.63260298429</v>
      </c>
      <c r="EC64" s="152">
        <v>136220.05555555565</v>
      </c>
      <c r="ED64" s="152">
        <v>-134137.01139940548</v>
      </c>
    </row>
    <row r="65" spans="1:134" x14ac:dyDescent="0.3">
      <c r="A65" s="142">
        <v>45917.625</v>
      </c>
      <c r="B65" s="76">
        <f t="shared" si="24"/>
        <v>92.39</v>
      </c>
      <c r="C65" s="31">
        <f t="shared" si="9"/>
        <v>-337699.68051118235</v>
      </c>
      <c r="D65" s="32">
        <f t="shared" si="10"/>
        <v>-175192.49999999997</v>
      </c>
      <c r="E65" s="76">
        <f t="shared" si="25"/>
        <v>100.971</v>
      </c>
      <c r="F65" s="31">
        <f t="shared" si="11"/>
        <v>-45359.999999999331</v>
      </c>
      <c r="G65" s="32">
        <f t="shared" si="12"/>
        <v>-62373.311140000005</v>
      </c>
      <c r="H65" s="76">
        <f t="shared" si="26"/>
        <v>120.67</v>
      </c>
      <c r="I65" s="31">
        <f t="shared" si="13"/>
        <v>-364459.39294503926</v>
      </c>
      <c r="J65" s="32">
        <f t="shared" si="14"/>
        <v>-301331.09999999998</v>
      </c>
      <c r="K65" s="76">
        <f t="shared" si="27"/>
        <v>99.600999999999999</v>
      </c>
      <c r="L65" s="31">
        <f t="shared" si="15"/>
        <v>-54759.600000002079</v>
      </c>
      <c r="M65" s="32">
        <f t="shared" si="16"/>
        <v>-137194.80898666667</v>
      </c>
      <c r="N65" s="82">
        <f t="shared" si="17"/>
        <v>68677.214587187511</v>
      </c>
      <c r="O65" s="82"/>
      <c r="P65" s="82"/>
      <c r="Q65" s="82">
        <f>$G$5*SUM($O$14:O65)-$H$5*SUM($P$14:P65)</f>
        <v>-35590.730199999991</v>
      </c>
      <c r="R65" s="82">
        <f t="shared" si="18"/>
        <v>33086.48438718752</v>
      </c>
      <c r="S65" s="143"/>
      <c r="U65" s="75">
        <v>45846.625</v>
      </c>
      <c r="V65" s="54">
        <v>93.9</v>
      </c>
      <c r="W65" s="75">
        <v>45842.625</v>
      </c>
      <c r="X65" s="54">
        <v>101.465</v>
      </c>
      <c r="Y65" s="125">
        <v>45849.625</v>
      </c>
      <c r="Z65" s="54">
        <v>121.72</v>
      </c>
      <c r="AA65" s="75">
        <v>45932.625</v>
      </c>
      <c r="AB65" s="54">
        <v>99.51</v>
      </c>
      <c r="AF65" s="133">
        <v>45937.625</v>
      </c>
      <c r="AG65" s="45">
        <f t="shared" si="78"/>
        <v>80.77</v>
      </c>
      <c r="AH65" s="46">
        <f t="shared" si="79"/>
        <v>99440.64636420169</v>
      </c>
      <c r="AI65" s="46">
        <f t="shared" si="80"/>
        <v>-208562.49999999997</v>
      </c>
      <c r="AJ65" s="45">
        <f t="shared" si="81"/>
        <v>100.7421875</v>
      </c>
      <c r="AK65" s="46">
        <f t="shared" si="82"/>
        <v>163225.44642857142</v>
      </c>
      <c r="AL65" s="47">
        <f t="shared" si="83"/>
        <v>-9252.6414853050665</v>
      </c>
      <c r="AM65" s="45">
        <f t="shared" si="84"/>
        <v>111.4</v>
      </c>
      <c r="AN65" s="46">
        <f t="shared" si="85"/>
        <v>621757.57496158313</v>
      </c>
      <c r="AO65" s="47">
        <f t="shared" si="86"/>
        <v>-214521.42857142858</v>
      </c>
      <c r="AP65" s="45">
        <f t="shared" si="87"/>
        <v>100.7421875</v>
      </c>
      <c r="AQ65" s="46">
        <f t="shared" si="88"/>
        <v>142299.10714285716</v>
      </c>
      <c r="AR65" s="47">
        <f t="shared" si="89"/>
        <v>-8066.4053974454291</v>
      </c>
      <c r="AS65" s="45">
        <f t="shared" si="90"/>
        <v>104.09375</v>
      </c>
      <c r="AT65" s="46">
        <f t="shared" si="91"/>
        <v>123883.92857142858</v>
      </c>
      <c r="AU65" s="47">
        <f t="shared" si="92"/>
        <v>3377.2874813988092</v>
      </c>
      <c r="AV65" s="45">
        <f t="shared" si="93"/>
        <v>98.328125</v>
      </c>
      <c r="AW65" s="46">
        <f t="shared" si="94"/>
        <v>266015.625</v>
      </c>
      <c r="AX65" s="47">
        <f t="shared" si="95"/>
        <v>9108.0149739583358</v>
      </c>
      <c r="AY65" s="82">
        <f t="shared" si="96"/>
        <v>-133713.24719702182</v>
      </c>
      <c r="AZ65" s="82"/>
      <c r="BA65" s="82"/>
      <c r="BB65" s="82">
        <f>$AO$4*SUM($AZ$14:AZ65)-$AP$4*SUM($BA$14:BA65)</f>
        <v>71425.005826778885</v>
      </c>
      <c r="BC65" s="82">
        <f t="shared" si="97"/>
        <v>-205138.2530238007</v>
      </c>
      <c r="BE65" s="75">
        <v>45845.625</v>
      </c>
      <c r="BF65" s="54">
        <v>80.099999999999994</v>
      </c>
      <c r="BI65" s="75">
        <v>45845.625</v>
      </c>
      <c r="BJ65" s="54">
        <v>108.41</v>
      </c>
      <c r="BM65" s="75">
        <v>45845.625</v>
      </c>
      <c r="BN65" s="54">
        <v>101.984375</v>
      </c>
      <c r="BO65" s="75">
        <v>45845.625</v>
      </c>
      <c r="BP65" s="54">
        <v>95.375</v>
      </c>
      <c r="BR65" s="131">
        <f t="shared" si="20"/>
        <v>45937.625</v>
      </c>
      <c r="BS65" s="45">
        <f t="shared" si="98"/>
        <v>108.0094</v>
      </c>
      <c r="BT65" s="46">
        <f t="shared" si="99"/>
        <v>107824.99999999828</v>
      </c>
      <c r="BU65" s="46">
        <f t="shared" si="100"/>
        <v>246527.77777777775</v>
      </c>
      <c r="BV65" s="45">
        <f t="shared" si="101"/>
        <v>47.156999999999996</v>
      </c>
      <c r="BW65" s="46">
        <f t="shared" si="102"/>
        <v>171956.25000000012</v>
      </c>
      <c r="BX65" s="47">
        <f t="shared" si="103"/>
        <v>246527.77777777775</v>
      </c>
      <c r="BY65" s="45">
        <f t="shared" si="104"/>
        <v>-64131.250000001863</v>
      </c>
      <c r="CA65" s="129">
        <v>45849.625</v>
      </c>
      <c r="CB65" s="54">
        <v>107.52670000000001</v>
      </c>
      <c r="CC65" s="129">
        <v>45849.625</v>
      </c>
      <c r="CD65" s="54">
        <v>50.515999999999998</v>
      </c>
      <c r="CF65" s="131">
        <v>45937.625</v>
      </c>
      <c r="CG65" s="45">
        <f t="shared" si="105"/>
        <v>242.00200000000001</v>
      </c>
      <c r="CH65" s="46">
        <f t="shared" si="106"/>
        <v>232598.52000000005</v>
      </c>
      <c r="CI65" s="46">
        <f t="shared" si="107"/>
        <v>207083.33333333334</v>
      </c>
      <c r="CJ65" s="45">
        <f t="shared" si="108"/>
        <v>49.996000000000002</v>
      </c>
      <c r="CK65" s="46">
        <f t="shared" si="109"/>
        <v>121368.23999999976</v>
      </c>
      <c r="CL65" s="47">
        <f t="shared" si="110"/>
        <v>186375</v>
      </c>
      <c r="CM65" s="45">
        <f t="shared" si="111"/>
        <v>131938.61333333363</v>
      </c>
      <c r="CO65" s="129">
        <v>45846.625</v>
      </c>
      <c r="CP65" s="54">
        <v>282.44299999999998</v>
      </c>
      <c r="CQ65" s="129">
        <v>45846.625</v>
      </c>
      <c r="CR65" s="54">
        <v>54.017000000000003</v>
      </c>
      <c r="DF65" s="133">
        <v>45938.625</v>
      </c>
      <c r="DG65" s="58">
        <f t="shared" si="66"/>
        <v>-124356.60667124439</v>
      </c>
      <c r="DH65" s="58">
        <f t="shared" si="67"/>
        <v>-206236.56819611689</v>
      </c>
      <c r="DI65" s="58">
        <f t="shared" si="68"/>
        <v>-65618.750000002794</v>
      </c>
      <c r="DJ65" s="58">
        <f t="shared" si="69"/>
        <v>114953.79000000027</v>
      </c>
      <c r="DK65" s="58">
        <f t="shared" si="70"/>
        <v>-20074.781404280191</v>
      </c>
      <c r="DL65" s="58">
        <f t="shared" si="71"/>
        <v>-1098.3151723161864</v>
      </c>
      <c r="DM65" s="58">
        <f t="shared" si="72"/>
        <v>-1487.5000000009313</v>
      </c>
      <c r="DN65" s="58">
        <f t="shared" si="73"/>
        <v>-16984.823333333363</v>
      </c>
      <c r="DO65" s="58">
        <f t="shared" si="74"/>
        <v>-20074.781404280191</v>
      </c>
      <c r="DP65" s="58">
        <f t="shared" si="75"/>
        <v>-1098.3151723161864</v>
      </c>
      <c r="DQ65" s="58">
        <f t="shared" si="76"/>
        <v>-1487.5000000009313</v>
      </c>
      <c r="DR65" s="58">
        <f t="shared" si="77"/>
        <v>-16984.823333333363</v>
      </c>
      <c r="DS65" s="58">
        <f>SUM(DO$15:DO65)</f>
        <v>-132750.93459178077</v>
      </c>
      <c r="DT65" s="58">
        <f>SUM(DP$15:DP65)</f>
        <v>-198626.94777530048</v>
      </c>
      <c r="DU65" s="58">
        <f>SUM(DQ$15:DQ65)</f>
        <v>-50937.500000000116</v>
      </c>
      <c r="DV65" s="58">
        <f>SUM(DR$15:DR65)</f>
        <v>97440.023333333404</v>
      </c>
      <c r="DZ65" s="133">
        <v>45938.625</v>
      </c>
      <c r="EA65" s="152">
        <v>-50937.500000000116</v>
      </c>
      <c r="EB65" s="152">
        <v>-198626.94777530048</v>
      </c>
      <c r="EC65" s="152">
        <v>116000.02777777784</v>
      </c>
      <c r="ED65" s="152">
        <v>-158035.56069021509</v>
      </c>
    </row>
    <row r="66" spans="1:134" x14ac:dyDescent="0.3">
      <c r="A66" s="142">
        <v>45918.625</v>
      </c>
      <c r="B66" s="76">
        <f t="shared" si="24"/>
        <v>92.67</v>
      </c>
      <c r="C66" s="31">
        <f t="shared" si="9"/>
        <v>-275079.87220447336</v>
      </c>
      <c r="D66" s="32">
        <f t="shared" si="10"/>
        <v>-177660</v>
      </c>
      <c r="E66" s="76">
        <f t="shared" si="25"/>
        <v>100.956</v>
      </c>
      <c r="F66" s="31">
        <f t="shared" si="11"/>
        <v>-47879.999999999425</v>
      </c>
      <c r="G66" s="32">
        <f t="shared" si="12"/>
        <v>-63251.808479999992</v>
      </c>
      <c r="H66" s="76">
        <f t="shared" si="26"/>
        <v>120.7</v>
      </c>
      <c r="I66" s="31">
        <f t="shared" si="13"/>
        <v>-355570.13945857302</v>
      </c>
      <c r="J66" s="32">
        <f t="shared" si="14"/>
        <v>-305575.2</v>
      </c>
      <c r="K66" s="76">
        <f t="shared" si="27"/>
        <v>99.516000000000005</v>
      </c>
      <c r="L66" s="31">
        <f t="shared" si="15"/>
        <v>-84033.599999999919</v>
      </c>
      <c r="M66" s="32">
        <f t="shared" si="16"/>
        <v>-139127.13024000003</v>
      </c>
      <c r="N66" s="82">
        <f t="shared" si="17"/>
        <v>96376.545494099148</v>
      </c>
      <c r="O66" s="82"/>
      <c r="P66" s="82"/>
      <c r="Q66" s="82">
        <f>$G$5*SUM($O$14:O66)-$H$5*SUM($P$14:P66)</f>
        <v>-35590.730199999991</v>
      </c>
      <c r="R66" s="82">
        <f t="shared" si="18"/>
        <v>60785.815294099157</v>
      </c>
      <c r="S66" s="143"/>
      <c r="U66" s="75">
        <v>45847.625</v>
      </c>
      <c r="V66" s="54">
        <v>94.17</v>
      </c>
      <c r="W66" s="75">
        <v>45845.625</v>
      </c>
      <c r="X66" s="54">
        <v>101.348</v>
      </c>
      <c r="Y66" s="125">
        <v>45852.625</v>
      </c>
      <c r="Z66" s="54">
        <v>121.74</v>
      </c>
      <c r="AA66" s="75">
        <v>45933.625</v>
      </c>
      <c r="AB66" s="54">
        <v>99.492999999999995</v>
      </c>
      <c r="AF66" s="133">
        <v>45938.625</v>
      </c>
      <c r="AG66" s="45">
        <f t="shared" si="78"/>
        <v>80.650000000000006</v>
      </c>
      <c r="AH66" s="46">
        <f t="shared" si="79"/>
        <v>62150.403977628834</v>
      </c>
      <c r="AI66" s="46">
        <f t="shared" si="80"/>
        <v>-211500</v>
      </c>
      <c r="AJ66" s="45">
        <f t="shared" si="81"/>
        <v>100.6875</v>
      </c>
      <c r="AK66" s="46">
        <f t="shared" si="82"/>
        <v>155608.25892857142</v>
      </c>
      <c r="AL66" s="47">
        <f t="shared" si="83"/>
        <v>-9382.9603794642753</v>
      </c>
      <c r="AM66" s="45">
        <f t="shared" si="84"/>
        <v>111.26</v>
      </c>
      <c r="AN66" s="46">
        <f t="shared" si="85"/>
        <v>588660.2135567884</v>
      </c>
      <c r="AO66" s="47">
        <f t="shared" si="86"/>
        <v>-217542.85714285716</v>
      </c>
      <c r="AP66" s="45">
        <f t="shared" si="87"/>
        <v>100.6875</v>
      </c>
      <c r="AQ66" s="46">
        <f t="shared" si="88"/>
        <v>135658.48214285716</v>
      </c>
      <c r="AR66" s="47">
        <f t="shared" si="89"/>
        <v>-8180.0167410714203</v>
      </c>
      <c r="AS66" s="45">
        <f t="shared" si="90"/>
        <v>104.0625</v>
      </c>
      <c r="AT66" s="46">
        <f t="shared" si="91"/>
        <v>122209.82142857143</v>
      </c>
      <c r="AU66" s="47">
        <f t="shared" si="92"/>
        <v>3424.8549107142899</v>
      </c>
      <c r="AV66" s="45">
        <f t="shared" si="93"/>
        <v>98.375</v>
      </c>
      <c r="AW66" s="46">
        <f t="shared" si="94"/>
        <v>269531.25</v>
      </c>
      <c r="AX66" s="47">
        <f t="shared" si="95"/>
        <v>9236.2968750000073</v>
      </c>
      <c r="AY66" s="82">
        <f t="shared" si="96"/>
        <v>-134811.562369338</v>
      </c>
      <c r="AZ66" s="82"/>
      <c r="BA66" s="82"/>
      <c r="BB66" s="82">
        <f>$AO$4*SUM($AZ$14:AZ66)-$AP$4*SUM($BA$14:BA66)</f>
        <v>71425.005826778885</v>
      </c>
      <c r="BC66" s="82">
        <f t="shared" si="97"/>
        <v>-206236.56819611689</v>
      </c>
      <c r="BE66" s="75">
        <v>45846.625</v>
      </c>
      <c r="BF66" s="54">
        <v>79.989999999999995</v>
      </c>
      <c r="BI66" s="75">
        <v>45846.625</v>
      </c>
      <c r="BJ66" s="54">
        <v>108.1</v>
      </c>
      <c r="BM66" s="75">
        <v>45846.625</v>
      </c>
      <c r="BN66" s="54">
        <v>101.8125</v>
      </c>
      <c r="BO66" s="75">
        <v>45846.625</v>
      </c>
      <c r="BP66" s="54">
        <v>95.234375</v>
      </c>
      <c r="BR66" s="131">
        <f t="shared" si="20"/>
        <v>45938.625</v>
      </c>
      <c r="BS66" s="45">
        <f t="shared" si="98"/>
        <v>107.92919999999999</v>
      </c>
      <c r="BT66" s="46">
        <f t="shared" si="99"/>
        <v>87774.999999997046</v>
      </c>
      <c r="BU66" s="46">
        <f t="shared" si="100"/>
        <v>250000</v>
      </c>
      <c r="BV66" s="45">
        <f t="shared" si="101"/>
        <v>47.487000000000002</v>
      </c>
      <c r="BW66" s="46">
        <f t="shared" si="102"/>
        <v>153393.74999999983</v>
      </c>
      <c r="BX66" s="47">
        <f t="shared" si="103"/>
        <v>250000</v>
      </c>
      <c r="BY66" s="45">
        <f t="shared" si="104"/>
        <v>-65618.750000002794</v>
      </c>
      <c r="CA66" s="129">
        <v>45852.625</v>
      </c>
      <c r="CB66" s="54">
        <v>107.4284</v>
      </c>
      <c r="CC66" s="129">
        <v>45852.625</v>
      </c>
      <c r="CD66" s="54">
        <v>50.954000000000001</v>
      </c>
      <c r="CF66" s="131">
        <v>45938.625</v>
      </c>
      <c r="CG66" s="45">
        <f t="shared" si="105"/>
        <v>244.23400000000001</v>
      </c>
      <c r="CH66" s="46">
        <f t="shared" si="106"/>
        <v>211974.84000000008</v>
      </c>
      <c r="CI66" s="46">
        <f t="shared" si="107"/>
        <v>210000</v>
      </c>
      <c r="CJ66" s="45">
        <f t="shared" si="108"/>
        <v>50.073</v>
      </c>
      <c r="CK66" s="46">
        <f t="shared" si="109"/>
        <v>118021.04999999984</v>
      </c>
      <c r="CL66" s="47">
        <f t="shared" si="110"/>
        <v>189000</v>
      </c>
      <c r="CM66" s="45">
        <f t="shared" si="111"/>
        <v>114953.79000000027</v>
      </c>
      <c r="CO66" s="129">
        <v>45847.625</v>
      </c>
      <c r="CP66" s="54">
        <v>278.82100000000003</v>
      </c>
      <c r="CQ66" s="129">
        <v>45847.625</v>
      </c>
      <c r="CR66" s="54">
        <v>53.445999999999998</v>
      </c>
      <c r="DF66" s="133">
        <v>45939.625</v>
      </c>
      <c r="DG66" s="58">
        <f t="shared" si="66"/>
        <v>-143366.79284610899</v>
      </c>
      <c r="DH66" s="58">
        <f t="shared" si="67"/>
        <v>-232007.72939624547</v>
      </c>
      <c r="DI66" s="58">
        <f t="shared" si="68"/>
        <v>-84606.250000002678</v>
      </c>
      <c r="DJ66" s="58">
        <f t="shared" si="69"/>
        <v>96547.056666666991</v>
      </c>
      <c r="DK66" s="58">
        <f t="shared" si="70"/>
        <v>-19010.186174864604</v>
      </c>
      <c r="DL66" s="58">
        <f t="shared" si="71"/>
        <v>-25771.161200128583</v>
      </c>
      <c r="DM66" s="58">
        <f t="shared" si="72"/>
        <v>-18987.499999999884</v>
      </c>
      <c r="DN66" s="58">
        <f t="shared" si="73"/>
        <v>-18406.733333333279</v>
      </c>
      <c r="DO66" s="58">
        <f t="shared" si="74"/>
        <v>-19010.186174864604</v>
      </c>
      <c r="DP66" s="58">
        <f t="shared" si="75"/>
        <v>-25771.161200128583</v>
      </c>
      <c r="DQ66" s="58">
        <f t="shared" si="76"/>
        <v>-18987.499999999884</v>
      </c>
      <c r="DR66" s="58">
        <f t="shared" si="77"/>
        <v>-18406.733333333279</v>
      </c>
      <c r="DS66" s="58">
        <f>SUM(DO$15:DO66)</f>
        <v>-151761.12076664536</v>
      </c>
      <c r="DT66" s="58">
        <f>SUM(DP$15:DP66)</f>
        <v>-224398.10897542906</v>
      </c>
      <c r="DU66" s="58">
        <f>SUM(DQ$15:DQ66)</f>
        <v>-69925</v>
      </c>
      <c r="DV66" s="58">
        <f>SUM(DR$15:DR66)</f>
        <v>79033.290000000125</v>
      </c>
      <c r="DZ66" s="133">
        <v>45939.625</v>
      </c>
      <c r="EA66" s="152">
        <v>-69925</v>
      </c>
      <c r="EB66" s="152">
        <v>-224398.10897542906</v>
      </c>
      <c r="EC66" s="152">
        <v>94087.250000000146</v>
      </c>
      <c r="ED66" s="152">
        <v>-180666.73470791109</v>
      </c>
    </row>
    <row r="67" spans="1:134" x14ac:dyDescent="0.3">
      <c r="A67" s="142">
        <v>45919.625</v>
      </c>
      <c r="B67" s="76">
        <f t="shared" si="24"/>
        <v>92.67</v>
      </c>
      <c r="C67" s="31">
        <f t="shared" si="9"/>
        <v>-275079.87220447336</v>
      </c>
      <c r="D67" s="32">
        <f t="shared" si="10"/>
        <v>-180127.5</v>
      </c>
      <c r="E67" s="76">
        <f t="shared" si="25"/>
        <v>100.904</v>
      </c>
      <c r="F67" s="31">
        <f t="shared" si="11"/>
        <v>-56616.000000000553</v>
      </c>
      <c r="G67" s="32">
        <f t="shared" si="12"/>
        <v>-64130.305820000009</v>
      </c>
      <c r="H67" s="76">
        <f t="shared" si="26"/>
        <v>120.71</v>
      </c>
      <c r="I67" s="31">
        <f t="shared" si="13"/>
        <v>-352607.05496308964</v>
      </c>
      <c r="J67" s="32">
        <f t="shared" si="14"/>
        <v>-309819.3</v>
      </c>
      <c r="K67" s="76">
        <f t="shared" si="27"/>
        <v>99.414000000000001</v>
      </c>
      <c r="L67" s="31">
        <f t="shared" si="15"/>
        <v>-119162.40000000126</v>
      </c>
      <c r="M67" s="32">
        <f t="shared" si="16"/>
        <v>-141059.45149333336</v>
      </c>
      <c r="N67" s="82">
        <f t="shared" si="17"/>
        <v>67743.437085282261</v>
      </c>
      <c r="O67" s="82"/>
      <c r="P67" s="82"/>
      <c r="Q67" s="82">
        <f>$G$5*SUM($O$14:O67)-$H$5*SUM($P$14:P67)</f>
        <v>-35590.730199999991</v>
      </c>
      <c r="R67" s="82">
        <f t="shared" si="18"/>
        <v>32152.70688528227</v>
      </c>
      <c r="S67" s="143"/>
      <c r="U67" s="75">
        <v>45848.625</v>
      </c>
      <c r="V67" s="54">
        <v>94.22</v>
      </c>
      <c r="W67" s="75">
        <v>45846.625</v>
      </c>
      <c r="X67" s="54">
        <v>101.241</v>
      </c>
      <c r="Y67" s="125">
        <v>45853.625</v>
      </c>
      <c r="Z67" s="54">
        <v>121.85</v>
      </c>
      <c r="AA67" s="75">
        <v>45936.625</v>
      </c>
      <c r="AB67" s="54">
        <v>99.536000000000001</v>
      </c>
      <c r="AF67" s="133">
        <v>45939.625</v>
      </c>
      <c r="AG67" s="45">
        <f t="shared" si="78"/>
        <v>80.42</v>
      </c>
      <c r="AH67" s="46">
        <f t="shared" si="79"/>
        <v>-9322.5605966446019</v>
      </c>
      <c r="AI67" s="46">
        <f t="shared" si="80"/>
        <v>-214437.49999999997</v>
      </c>
      <c r="AJ67" s="45">
        <f t="shared" si="81"/>
        <v>100.625</v>
      </c>
      <c r="AK67" s="46">
        <f t="shared" si="82"/>
        <v>146902.90178571429</v>
      </c>
      <c r="AL67" s="47">
        <f t="shared" si="83"/>
        <v>-9513.2792736235133</v>
      </c>
      <c r="AM67" s="45">
        <f t="shared" si="84"/>
        <v>111.04</v>
      </c>
      <c r="AN67" s="46">
        <f t="shared" si="85"/>
        <v>536650.074206391</v>
      </c>
      <c r="AO67" s="47">
        <f t="shared" si="86"/>
        <v>-220564.28571428571</v>
      </c>
      <c r="AP67" s="45">
        <f t="shared" si="87"/>
        <v>100.625</v>
      </c>
      <c r="AQ67" s="46">
        <f t="shared" si="88"/>
        <v>128069.19642857145</v>
      </c>
      <c r="AR67" s="47">
        <f t="shared" si="89"/>
        <v>-8293.6280846974114</v>
      </c>
      <c r="AS67" s="45">
        <f t="shared" si="90"/>
        <v>103.984375</v>
      </c>
      <c r="AT67" s="46">
        <f t="shared" si="91"/>
        <v>118024.55357142857</v>
      </c>
      <c r="AU67" s="47">
        <f t="shared" si="92"/>
        <v>3472.4223400297633</v>
      </c>
      <c r="AV67" s="45">
        <f t="shared" si="93"/>
        <v>98.328125</v>
      </c>
      <c r="AW67" s="46">
        <f t="shared" si="94"/>
        <v>266015.625</v>
      </c>
      <c r="AX67" s="47">
        <f t="shared" si="95"/>
        <v>9364.5787760416642</v>
      </c>
      <c r="AY67" s="82">
        <f t="shared" si="96"/>
        <v>-160582.72356946659</v>
      </c>
      <c r="AZ67" s="82"/>
      <c r="BA67" s="82"/>
      <c r="BB67" s="82">
        <f>$AO$4*SUM($AZ$14:AZ67)-$AP$4*SUM($BA$14:BA67)</f>
        <v>71425.005826778885</v>
      </c>
      <c r="BC67" s="82">
        <f t="shared" si="97"/>
        <v>-232007.72939624547</v>
      </c>
      <c r="BE67" s="75">
        <v>45847.625</v>
      </c>
      <c r="BF67" s="54">
        <v>80.209999999999994</v>
      </c>
      <c r="BI67" s="75">
        <v>45847.625</v>
      </c>
      <c r="BJ67" s="54">
        <v>108.71</v>
      </c>
      <c r="BM67" s="75">
        <v>45847.625</v>
      </c>
      <c r="BN67" s="54">
        <v>102.359375</v>
      </c>
      <c r="BO67" s="75">
        <v>45847.625</v>
      </c>
      <c r="BP67" s="54">
        <v>96.15625</v>
      </c>
      <c r="BR67" s="131">
        <f t="shared" si="20"/>
        <v>45939.625</v>
      </c>
      <c r="BS67" s="45">
        <f t="shared" si="98"/>
        <v>107.73399999999999</v>
      </c>
      <c r="BT67" s="46">
        <f t="shared" si="99"/>
        <v>38974.999999997097</v>
      </c>
      <c r="BU67" s="46">
        <f t="shared" si="100"/>
        <v>253472.22222222222</v>
      </c>
      <c r="BV67" s="45">
        <f t="shared" si="101"/>
        <v>48.017000000000003</v>
      </c>
      <c r="BW67" s="46">
        <f t="shared" si="102"/>
        <v>123581.24999999975</v>
      </c>
      <c r="BX67" s="47">
        <f t="shared" si="103"/>
        <v>253472.22222222225</v>
      </c>
      <c r="BY67" s="45">
        <f t="shared" si="104"/>
        <v>-84606.250000002678</v>
      </c>
      <c r="CA67" s="129">
        <v>45853.625</v>
      </c>
      <c r="CB67" s="54">
        <v>107.2017</v>
      </c>
      <c r="CC67" s="129">
        <v>45853.625</v>
      </c>
      <c r="CD67" s="54">
        <v>51.889000000000003</v>
      </c>
      <c r="CF67" s="131">
        <v>45939.625</v>
      </c>
      <c r="CG67" s="45">
        <f t="shared" si="105"/>
        <v>249.739</v>
      </c>
      <c r="CH67" s="46">
        <f t="shared" si="106"/>
        <v>161108.64000000007</v>
      </c>
      <c r="CI67" s="46">
        <f t="shared" si="107"/>
        <v>212916.66666666666</v>
      </c>
      <c r="CJ67" s="45">
        <f t="shared" si="108"/>
        <v>50.813000000000002</v>
      </c>
      <c r="CK67" s="46">
        <f t="shared" si="109"/>
        <v>85853.249999999753</v>
      </c>
      <c r="CL67" s="47">
        <f t="shared" si="110"/>
        <v>191625</v>
      </c>
      <c r="CM67" s="45">
        <f t="shared" si="111"/>
        <v>96547.056666666991</v>
      </c>
      <c r="CO67" s="129">
        <v>45848.625</v>
      </c>
      <c r="CP67" s="54">
        <v>278.61399999999998</v>
      </c>
      <c r="CQ67" s="129">
        <v>45848.625</v>
      </c>
      <c r="CR67" s="54">
        <v>53.453000000000003</v>
      </c>
      <c r="DF67" s="133">
        <v>45940.625</v>
      </c>
      <c r="DG67" s="58">
        <f t="shared" si="66"/>
        <v>-139527.97921020104</v>
      </c>
      <c r="DH67" s="58">
        <f t="shared" si="67"/>
        <v>-303580.68973480002</v>
      </c>
      <c r="DI67" s="58">
        <f t="shared" si="68"/>
        <v>-95912.499999999651</v>
      </c>
      <c r="DJ67" s="58">
        <f t="shared" si="69"/>
        <v>93832.783333333849</v>
      </c>
      <c r="DK67" s="58">
        <f t="shared" si="70"/>
        <v>3838.8136359079508</v>
      </c>
      <c r="DL67" s="58">
        <f t="shared" si="71"/>
        <v>-71572.960338554549</v>
      </c>
      <c r="DM67" s="58">
        <f t="shared" si="72"/>
        <v>-11306.249999996973</v>
      </c>
      <c r="DN67" s="58">
        <f t="shared" si="73"/>
        <v>-2714.2733333331416</v>
      </c>
      <c r="DO67" s="58">
        <f t="shared" si="74"/>
        <v>3838.8136359079508</v>
      </c>
      <c r="DP67" s="58">
        <f t="shared" si="75"/>
        <v>-71572.960338554549</v>
      </c>
      <c r="DQ67" s="58">
        <f t="shared" si="76"/>
        <v>-11306.249999996973</v>
      </c>
      <c r="DR67" s="58">
        <f t="shared" si="77"/>
        <v>-2714.2733333331416</v>
      </c>
      <c r="DS67" s="58">
        <f>SUM(DO$15:DO67)</f>
        <v>-147922.3071307374</v>
      </c>
      <c r="DT67" s="58">
        <f>SUM(DP$15:DP67)</f>
        <v>-295971.06931398361</v>
      </c>
      <c r="DU67" s="58">
        <f>SUM(DQ$15:DQ67)</f>
        <v>-81231.249999996973</v>
      </c>
      <c r="DV67" s="58">
        <f>SUM(DR$15:DR67)</f>
        <v>76319.016666666983</v>
      </c>
      <c r="DZ67" s="133">
        <v>45940.625</v>
      </c>
      <c r="EA67" s="152">
        <v>-81231.249999996973</v>
      </c>
      <c r="EB67" s="152">
        <v>-295971.06931398361</v>
      </c>
      <c r="EC67" s="152">
        <v>90855.972222222743</v>
      </c>
      <c r="ED67" s="152">
        <v>-176096.71847468743</v>
      </c>
    </row>
    <row r="68" spans="1:134" x14ac:dyDescent="0.3">
      <c r="A68" s="142">
        <v>45922.625</v>
      </c>
      <c r="B68" s="76">
        <f t="shared" si="24"/>
        <v>92.52</v>
      </c>
      <c r="C68" s="31">
        <f t="shared" si="9"/>
        <v>-308626.19808306923</v>
      </c>
      <c r="D68" s="32">
        <f t="shared" si="10"/>
        <v>-187529.99999999997</v>
      </c>
      <c r="E68" s="76">
        <f t="shared" si="25"/>
        <v>100.913</v>
      </c>
      <c r="F68" s="31">
        <f t="shared" si="11"/>
        <v>-55104.000000000495</v>
      </c>
      <c r="G68" s="32">
        <f t="shared" si="12"/>
        <v>-66765.797839999956</v>
      </c>
      <c r="H68" s="76">
        <f t="shared" si="26"/>
        <v>120.61</v>
      </c>
      <c r="I68" s="31">
        <f t="shared" si="13"/>
        <v>-382237.89991796773</v>
      </c>
      <c r="J68" s="32">
        <f t="shared" si="14"/>
        <v>-322551.59999999998</v>
      </c>
      <c r="K68" s="76">
        <f t="shared" si="27"/>
        <v>99.441000000000003</v>
      </c>
      <c r="L68" s="31">
        <f t="shared" si="15"/>
        <v>-109863.60000000089</v>
      </c>
      <c r="M68" s="32">
        <f t="shared" si="16"/>
        <v>-146856.41525333331</v>
      </c>
      <c r="N68" s="82">
        <f t="shared" si="17"/>
        <v>73783.084421564738</v>
      </c>
      <c r="O68" s="82"/>
      <c r="P68" s="82"/>
      <c r="Q68" s="82">
        <f>$G$5*SUM($O$14:O68)-$H$5*SUM($P$14:P68)</f>
        <v>-35590.730199999991</v>
      </c>
      <c r="R68" s="82">
        <f t="shared" si="18"/>
        <v>38192.354221564747</v>
      </c>
      <c r="S68" s="143"/>
      <c r="U68" s="75">
        <v>45849.625</v>
      </c>
      <c r="V68" s="54">
        <v>94.12</v>
      </c>
      <c r="W68" s="75">
        <v>45847.625</v>
      </c>
      <c r="X68" s="54">
        <v>101.289</v>
      </c>
      <c r="Y68" s="125">
        <v>45854.625</v>
      </c>
      <c r="Z68" s="54">
        <v>121.87</v>
      </c>
      <c r="AA68" s="75">
        <v>45937.625</v>
      </c>
      <c r="AB68" s="54">
        <v>99.483000000000004</v>
      </c>
      <c r="AF68" s="133">
        <v>45940.625</v>
      </c>
      <c r="AG68" s="45">
        <f t="shared" si="78"/>
        <v>79.984999999999999</v>
      </c>
      <c r="AH68" s="46">
        <f t="shared" si="79"/>
        <v>-144499.68924798162</v>
      </c>
      <c r="AI68" s="46">
        <f t="shared" si="80"/>
        <v>-217375</v>
      </c>
      <c r="AJ68" s="45">
        <f t="shared" si="81"/>
        <v>101.0078125</v>
      </c>
      <c r="AK68" s="46">
        <f t="shared" si="82"/>
        <v>200223.21428571429</v>
      </c>
      <c r="AL68" s="47">
        <f t="shared" si="83"/>
        <v>-9643.5981677827222</v>
      </c>
      <c r="AM68" s="45">
        <f t="shared" si="84"/>
        <v>111.36</v>
      </c>
      <c r="AN68" s="46">
        <f t="shared" si="85"/>
        <v>612301.18598878465</v>
      </c>
      <c r="AO68" s="47">
        <f t="shared" si="86"/>
        <v>-223585.71428571429</v>
      </c>
      <c r="AP68" s="45">
        <f t="shared" si="87"/>
        <v>101.0078125</v>
      </c>
      <c r="AQ68" s="46">
        <f t="shared" si="88"/>
        <v>174553.57142857145</v>
      </c>
      <c r="AR68" s="47">
        <f t="shared" si="89"/>
        <v>-8407.2394283234025</v>
      </c>
      <c r="AS68" s="45">
        <f t="shared" si="90"/>
        <v>104.671875</v>
      </c>
      <c r="AT68" s="46">
        <f t="shared" si="91"/>
        <v>154854.91071428574</v>
      </c>
      <c r="AU68" s="47">
        <f t="shared" si="92"/>
        <v>3519.989769345244</v>
      </c>
      <c r="AV68" s="45">
        <f t="shared" si="93"/>
        <v>99.78125</v>
      </c>
      <c r="AW68" s="46">
        <f t="shared" si="94"/>
        <v>375000</v>
      </c>
      <c r="AX68" s="47">
        <f t="shared" si="95"/>
        <v>9492.8606770833358</v>
      </c>
      <c r="AY68" s="82">
        <f t="shared" si="96"/>
        <v>-232155.68390802111</v>
      </c>
      <c r="AZ68" s="82"/>
      <c r="BA68" s="82"/>
      <c r="BB68" s="82">
        <f>$AO$4*SUM($AZ$14:AZ68)-$AP$4*SUM($BA$14:BA68)</f>
        <v>71425.005826778885</v>
      </c>
      <c r="BC68" s="82">
        <f t="shared" si="97"/>
        <v>-303580.68973480002</v>
      </c>
      <c r="BE68" s="75">
        <v>45848.625</v>
      </c>
      <c r="BF68" s="54">
        <v>80.13</v>
      </c>
      <c r="BI68" s="75">
        <v>45848.625</v>
      </c>
      <c r="BJ68" s="54">
        <v>108.74</v>
      </c>
      <c r="BM68" s="75">
        <v>45848.625</v>
      </c>
      <c r="BN68" s="54">
        <v>102.296875</v>
      </c>
      <c r="BO68" s="75">
        <v>45848.625</v>
      </c>
      <c r="BP68" s="54">
        <v>96.21875</v>
      </c>
      <c r="BR68" s="131">
        <f t="shared" si="20"/>
        <v>45940.625</v>
      </c>
      <c r="BS68" s="45">
        <f t="shared" si="98"/>
        <v>107.01220000000001</v>
      </c>
      <c r="BT68" s="46">
        <f t="shared" si="99"/>
        <v>-141474.9999999998</v>
      </c>
      <c r="BU68" s="46">
        <f t="shared" si="100"/>
        <v>256944.44444444447</v>
      </c>
      <c r="BV68" s="45">
        <f t="shared" si="101"/>
        <v>51.024000000000001</v>
      </c>
      <c r="BW68" s="46">
        <f t="shared" si="102"/>
        <v>-45562.500000000131</v>
      </c>
      <c r="BX68" s="47">
        <f t="shared" si="103"/>
        <v>256944.44444444444</v>
      </c>
      <c r="BY68" s="45">
        <f t="shared" si="104"/>
        <v>-95912.499999999651</v>
      </c>
      <c r="CA68" s="129">
        <v>45854.625</v>
      </c>
      <c r="CB68" s="54">
        <v>107.2169</v>
      </c>
      <c r="CC68" s="129">
        <v>45854.625</v>
      </c>
      <c r="CD68" s="54">
        <v>51.680999999999997</v>
      </c>
      <c r="CF68" s="131">
        <v>45940.625</v>
      </c>
      <c r="CG68" s="45">
        <f t="shared" si="105"/>
        <v>260.29199999999997</v>
      </c>
      <c r="CH68" s="46">
        <f t="shared" si="106"/>
        <v>63598.920000000362</v>
      </c>
      <c r="CI68" s="46">
        <f t="shared" si="107"/>
        <v>215833.33333333331</v>
      </c>
      <c r="CJ68" s="45">
        <f t="shared" si="108"/>
        <v>52.987000000000002</v>
      </c>
      <c r="CK68" s="46">
        <f t="shared" si="109"/>
        <v>-8650.5300000002244</v>
      </c>
      <c r="CL68" s="47">
        <f t="shared" si="110"/>
        <v>194250</v>
      </c>
      <c r="CM68" s="45">
        <f t="shared" si="111"/>
        <v>93832.783333333849</v>
      </c>
      <c r="CO68" s="129">
        <v>45849.625</v>
      </c>
      <c r="CP68" s="54">
        <v>281.92899999999997</v>
      </c>
      <c r="CQ68" s="129">
        <v>45849.625</v>
      </c>
      <c r="CR68" s="54">
        <v>54.234999999999999</v>
      </c>
      <c r="DF68" s="133">
        <v>45943.625</v>
      </c>
      <c r="DG68" s="58">
        <f t="shared" si="66"/>
        <v>-124190.47417984054</v>
      </c>
      <c r="DH68" s="58">
        <f t="shared" si="67"/>
        <v>-220751.04391397614</v>
      </c>
      <c r="DI68" s="58">
        <f t="shared" si="68"/>
        <v>-95912.499999999593</v>
      </c>
      <c r="DJ68" s="58">
        <f t="shared" si="69"/>
        <v>99275.493333333521</v>
      </c>
      <c r="DK68" s="58">
        <f t="shared" si="70"/>
        <v>15337.505030360495</v>
      </c>
      <c r="DL68" s="58">
        <f t="shared" si="71"/>
        <v>82829.645820823876</v>
      </c>
      <c r="DM68" s="58">
        <f t="shared" si="72"/>
        <v>0</v>
      </c>
      <c r="DN68" s="58">
        <f t="shared" si="73"/>
        <v>5442.7099999996717</v>
      </c>
      <c r="DO68" s="58">
        <f t="shared" si="74"/>
        <v>15337.505030360495</v>
      </c>
      <c r="DP68" s="58">
        <f t="shared" si="75"/>
        <v>82829.645820823876</v>
      </c>
      <c r="DQ68" s="58">
        <f t="shared" si="76"/>
        <v>0</v>
      </c>
      <c r="DR68" s="58">
        <f t="shared" si="77"/>
        <v>5442.7099999996717</v>
      </c>
      <c r="DS68" s="58">
        <f>SUM(DO$15:DO68)</f>
        <v>-132584.80210037692</v>
      </c>
      <c r="DT68" s="58">
        <f>SUM(DP$15:DP68)</f>
        <v>-213141.42349315973</v>
      </c>
      <c r="DU68" s="58">
        <f>SUM(DQ$15:DQ68)</f>
        <v>-81231.249999996973</v>
      </c>
      <c r="DV68" s="58">
        <f>SUM(DR$15:DR68)</f>
        <v>81761.726666666655</v>
      </c>
      <c r="DZ68" s="133">
        <v>45943.625</v>
      </c>
      <c r="EA68" s="152">
        <v>-81231.249999996973</v>
      </c>
      <c r="EB68" s="152">
        <v>-213141.42349315973</v>
      </c>
      <c r="EC68" s="152">
        <v>97335.388888888963</v>
      </c>
      <c r="ED68" s="152">
        <v>-157837.78391473449</v>
      </c>
    </row>
    <row r="69" spans="1:134" x14ac:dyDescent="0.3">
      <c r="A69" s="142">
        <v>45923.625</v>
      </c>
      <c r="B69" s="76">
        <f t="shared" si="24"/>
        <v>92.67</v>
      </c>
      <c r="C69" s="31">
        <f t="shared" si="9"/>
        <v>-275079.87220447336</v>
      </c>
      <c r="D69" s="32">
        <f t="shared" si="10"/>
        <v>-189997.49999999997</v>
      </c>
      <c r="E69" s="76">
        <f t="shared" si="25"/>
        <v>100.883</v>
      </c>
      <c r="F69" s="31">
        <f t="shared" si="11"/>
        <v>-60144.000000000691</v>
      </c>
      <c r="G69" s="32">
        <f t="shared" si="12"/>
        <v>-67644.295179999986</v>
      </c>
      <c r="H69" s="76">
        <f t="shared" si="26"/>
        <v>120.6</v>
      </c>
      <c r="I69" s="31">
        <f t="shared" si="13"/>
        <v>-385200.98441345512</v>
      </c>
      <c r="J69" s="32">
        <f t="shared" si="14"/>
        <v>-326795.69999999995</v>
      </c>
      <c r="K69" s="76">
        <f t="shared" si="27"/>
        <v>99.381</v>
      </c>
      <c r="L69" s="31">
        <f t="shared" si="15"/>
        <v>-130527.60000000169</v>
      </c>
      <c r="M69" s="32">
        <f t="shared" si="16"/>
        <v>-148788.73650666664</v>
      </c>
      <c r="N69" s="82">
        <f t="shared" si="17"/>
        <v>95391.2708823141</v>
      </c>
      <c r="O69" s="82"/>
      <c r="P69" s="82"/>
      <c r="Q69" s="82">
        <f>$G$5*SUM($O$14:O69)-$H$5*SUM($P$14:P69)</f>
        <v>-35590.730199999991</v>
      </c>
      <c r="R69" s="82">
        <f t="shared" si="18"/>
        <v>59800.540682314109</v>
      </c>
      <c r="S69" s="143"/>
      <c r="U69" s="75">
        <v>45852.625</v>
      </c>
      <c r="V69" s="54">
        <v>94.05</v>
      </c>
      <c r="W69" s="75">
        <v>45848.625</v>
      </c>
      <c r="X69" s="54">
        <v>101.181</v>
      </c>
      <c r="Y69" s="125">
        <v>45855.625</v>
      </c>
      <c r="Z69" s="54">
        <v>120.13</v>
      </c>
      <c r="AA69" s="75">
        <v>45938.625</v>
      </c>
      <c r="AB69" s="54">
        <v>99.673000000000002</v>
      </c>
      <c r="AF69" s="133">
        <v>45943.625</v>
      </c>
      <c r="AG69" s="45">
        <f t="shared" si="78"/>
        <v>80.45</v>
      </c>
      <c r="AH69" s="46">
        <f t="shared" si="79"/>
        <v>0</v>
      </c>
      <c r="AI69" s="46">
        <f t="shared" si="80"/>
        <v>-226187.49999999997</v>
      </c>
      <c r="AJ69" s="45">
        <f t="shared" si="81"/>
        <v>101.109375</v>
      </c>
      <c r="AK69" s="46">
        <f t="shared" si="82"/>
        <v>214369.41964285716</v>
      </c>
      <c r="AL69" s="47">
        <f t="shared" si="83"/>
        <v>-10034.554850260407</v>
      </c>
      <c r="AM69" s="45">
        <f t="shared" si="84"/>
        <v>111.73</v>
      </c>
      <c r="AN69" s="46">
        <f t="shared" si="85"/>
        <v>699772.78398718487</v>
      </c>
      <c r="AO69" s="47">
        <f t="shared" si="86"/>
        <v>-232649.99999999997</v>
      </c>
      <c r="AP69" s="45">
        <f t="shared" si="87"/>
        <v>101.109375</v>
      </c>
      <c r="AQ69" s="46">
        <f t="shared" si="88"/>
        <v>186886.16071428571</v>
      </c>
      <c r="AR69" s="47">
        <f t="shared" si="89"/>
        <v>-8748.073459201376</v>
      </c>
      <c r="AS69" s="45">
        <f t="shared" si="90"/>
        <v>104.84375</v>
      </c>
      <c r="AT69" s="46">
        <f t="shared" si="91"/>
        <v>164062.5</v>
      </c>
      <c r="AU69" s="47">
        <f t="shared" si="92"/>
        <v>3662.6920572916715</v>
      </c>
      <c r="AV69" s="45">
        <f t="shared" si="93"/>
        <v>100.015625</v>
      </c>
      <c r="AW69" s="46">
        <f t="shared" si="94"/>
        <v>392578.125</v>
      </c>
      <c r="AX69" s="47">
        <f t="shared" si="95"/>
        <v>9877.7063802083358</v>
      </c>
      <c r="AY69" s="82">
        <f t="shared" si="96"/>
        <v>-149326.03808719726</v>
      </c>
      <c r="AZ69" s="82"/>
      <c r="BA69" s="82"/>
      <c r="BB69" s="82">
        <f>$AO$4*SUM($AZ$14:AZ69)-$AP$4*SUM($BA$14:BA69)</f>
        <v>71425.005826778885</v>
      </c>
      <c r="BC69" s="82">
        <f t="shared" si="97"/>
        <v>-220751.04391397614</v>
      </c>
      <c r="BE69" s="75">
        <v>45849.625</v>
      </c>
      <c r="BF69" s="54">
        <v>80.03</v>
      </c>
      <c r="BI69" s="75">
        <v>45849.625</v>
      </c>
      <c r="BJ69" s="54">
        <v>108.08</v>
      </c>
      <c r="BM69" s="75">
        <v>45849.625</v>
      </c>
      <c r="BN69" s="54">
        <v>101.71875</v>
      </c>
      <c r="BO69" s="75">
        <v>45849.625</v>
      </c>
      <c r="BP69" s="54">
        <v>94.859375</v>
      </c>
      <c r="BR69" s="131">
        <f t="shared" si="20"/>
        <v>45943.625</v>
      </c>
      <c r="BS69" s="45">
        <f t="shared" si="98"/>
        <v>107.01220000000001</v>
      </c>
      <c r="BT69" s="46">
        <f t="shared" si="99"/>
        <v>-141474.9999999998</v>
      </c>
      <c r="BU69" s="46">
        <f t="shared" si="100"/>
        <v>267361.11111111112</v>
      </c>
      <c r="BV69" s="45">
        <f t="shared" si="101"/>
        <v>51.024000000000001</v>
      </c>
      <c r="BW69" s="46">
        <f t="shared" si="102"/>
        <v>-45562.500000000131</v>
      </c>
      <c r="BX69" s="47">
        <f t="shared" si="103"/>
        <v>267361.11111111107</v>
      </c>
      <c r="BY69" s="45">
        <f t="shared" si="104"/>
        <v>-95912.499999999593</v>
      </c>
      <c r="CA69" s="129">
        <v>45855.625</v>
      </c>
      <c r="CB69" s="54">
        <v>107.4862</v>
      </c>
      <c r="CC69" s="129">
        <v>45855.625</v>
      </c>
      <c r="CD69" s="54">
        <v>50.808</v>
      </c>
      <c r="CF69" s="131">
        <v>45943.625</v>
      </c>
      <c r="CG69" s="45">
        <f t="shared" si="105"/>
        <v>260.25400000000002</v>
      </c>
      <c r="CH69" s="46">
        <f t="shared" si="106"/>
        <v>63950.039999999943</v>
      </c>
      <c r="CI69" s="46">
        <f t="shared" si="107"/>
        <v>224583.33333333331</v>
      </c>
      <c r="CJ69" s="45">
        <f t="shared" si="108"/>
        <v>53.084000000000003</v>
      </c>
      <c r="CK69" s="46">
        <f t="shared" si="109"/>
        <v>-12867.120000000281</v>
      </c>
      <c r="CL69" s="47">
        <f t="shared" si="110"/>
        <v>202125</v>
      </c>
      <c r="CM69" s="45">
        <f t="shared" si="111"/>
        <v>99275.493333333521</v>
      </c>
      <c r="CO69" s="129">
        <v>45852.625</v>
      </c>
      <c r="CP69" s="54">
        <v>283.81700000000001</v>
      </c>
      <c r="CQ69" s="129">
        <v>45852.625</v>
      </c>
      <c r="CR69" s="54">
        <v>54.883000000000003</v>
      </c>
      <c r="DF69" s="133">
        <v>45944.625</v>
      </c>
      <c r="DG69" s="58">
        <f t="shared" si="66"/>
        <v>-123426.01269662936</v>
      </c>
      <c r="DH69" s="58">
        <f t="shared" si="67"/>
        <v>-273114.63538440625</v>
      </c>
      <c r="DI69" s="58">
        <f t="shared" si="68"/>
        <v>-102756.25000000201</v>
      </c>
      <c r="DJ69" s="58">
        <f t="shared" si="69"/>
        <v>85794.730000000389</v>
      </c>
      <c r="DK69" s="58">
        <f t="shared" si="70"/>
        <v>764.4614832111838</v>
      </c>
      <c r="DL69" s="58">
        <f t="shared" si="71"/>
        <v>-52363.59147043011</v>
      </c>
      <c r="DM69" s="58">
        <f t="shared" si="72"/>
        <v>-6843.7500000024156</v>
      </c>
      <c r="DN69" s="58">
        <f t="shared" si="73"/>
        <v>-13480.763333333132</v>
      </c>
      <c r="DO69" s="58">
        <f t="shared" si="74"/>
        <v>764.4614832111838</v>
      </c>
      <c r="DP69" s="58">
        <f t="shared" si="75"/>
        <v>-52363.59147043011</v>
      </c>
      <c r="DQ69" s="58">
        <f t="shared" si="76"/>
        <v>-6843.7500000024156</v>
      </c>
      <c r="DR69" s="58">
        <f t="shared" si="77"/>
        <v>-13480.763333333132</v>
      </c>
      <c r="DS69" s="58">
        <f>SUM(DO$15:DO69)</f>
        <v>-131820.34061716573</v>
      </c>
      <c r="DT69" s="58">
        <f>SUM(DP$15:DP69)</f>
        <v>-265505.01496358984</v>
      </c>
      <c r="DU69" s="58">
        <f>SUM(DQ$15:DQ69)</f>
        <v>-88074.999999999389</v>
      </c>
      <c r="DV69" s="58">
        <f>SUM(DR$15:DR69)</f>
        <v>68280.963333333522</v>
      </c>
      <c r="DZ69" s="133">
        <v>45944.625</v>
      </c>
      <c r="EA69" s="152">
        <v>-88074.999999999389</v>
      </c>
      <c r="EB69" s="152">
        <v>-265505.01496358984</v>
      </c>
      <c r="EC69" s="152">
        <v>81286.861111111386</v>
      </c>
      <c r="ED69" s="152">
        <v>-156927.71072043531</v>
      </c>
    </row>
    <row r="70" spans="1:134" x14ac:dyDescent="0.3">
      <c r="A70" s="142">
        <v>45924.625</v>
      </c>
      <c r="B70" s="76">
        <f t="shared" si="24"/>
        <v>92.59</v>
      </c>
      <c r="C70" s="31">
        <f t="shared" si="9"/>
        <v>-292971.24600639025</v>
      </c>
      <c r="D70" s="32">
        <f t="shared" si="10"/>
        <v>-192465</v>
      </c>
      <c r="E70" s="76">
        <f t="shared" si="25"/>
        <v>100.893</v>
      </c>
      <c r="F70" s="31">
        <f t="shared" si="11"/>
        <v>-58463.999999999825</v>
      </c>
      <c r="G70" s="32">
        <f t="shared" si="12"/>
        <v>-68522.792520000003</v>
      </c>
      <c r="H70" s="76">
        <f t="shared" si="26"/>
        <v>120.67</v>
      </c>
      <c r="I70" s="31">
        <f t="shared" si="13"/>
        <v>-364459.39294503926</v>
      </c>
      <c r="J70" s="32">
        <f t="shared" si="14"/>
        <v>-331039.8</v>
      </c>
      <c r="K70" s="76">
        <f t="shared" si="27"/>
        <v>99.414000000000001</v>
      </c>
      <c r="L70" s="31">
        <f t="shared" si="15"/>
        <v>-119162.40000000126</v>
      </c>
      <c r="M70" s="32">
        <f t="shared" si="16"/>
        <v>-150721.05776</v>
      </c>
      <c r="N70" s="82">
        <f t="shared" si="17"/>
        <v>67166.281698647595</v>
      </c>
      <c r="O70" s="82"/>
      <c r="P70" s="82"/>
      <c r="Q70" s="82">
        <f>$G$5*SUM($O$14:O70)-$H$5*SUM($P$14:P70)</f>
        <v>-35590.730199999991</v>
      </c>
      <c r="R70" s="82">
        <f t="shared" si="18"/>
        <v>31575.551498647605</v>
      </c>
      <c r="S70" s="143"/>
      <c r="U70" s="75">
        <v>45853.625</v>
      </c>
      <c r="V70" s="54">
        <v>94.05</v>
      </c>
      <c r="W70" s="75">
        <v>45849.625</v>
      </c>
      <c r="X70" s="54">
        <v>101.123</v>
      </c>
      <c r="Y70" s="125">
        <v>45856.625</v>
      </c>
      <c r="Z70" s="54">
        <v>120.01</v>
      </c>
      <c r="AA70" s="75">
        <v>45939.625</v>
      </c>
      <c r="AB70" s="54">
        <v>99.552999999999997</v>
      </c>
      <c r="AF70" s="133">
        <v>45944.625</v>
      </c>
      <c r="AG70" s="45">
        <f t="shared" si="78"/>
        <v>80.540000000000006</v>
      </c>
      <c r="AH70" s="46">
        <f t="shared" si="79"/>
        <v>27967.68178993103</v>
      </c>
      <c r="AI70" s="46">
        <f t="shared" si="80"/>
        <v>-229125</v>
      </c>
      <c r="AJ70" s="45">
        <f t="shared" si="81"/>
        <v>101.25</v>
      </c>
      <c r="AK70" s="46">
        <f t="shared" si="82"/>
        <v>233956.47321428571</v>
      </c>
      <c r="AL70" s="47">
        <f t="shared" si="83"/>
        <v>-10164.87374441963</v>
      </c>
      <c r="AM70" s="45">
        <f t="shared" si="84"/>
        <v>112.1</v>
      </c>
      <c r="AN70" s="46">
        <f t="shared" si="85"/>
        <v>787244.38198557938</v>
      </c>
      <c r="AO70" s="47">
        <f t="shared" si="86"/>
        <v>-235671.42857142858</v>
      </c>
      <c r="AP70" s="45">
        <f t="shared" si="87"/>
        <v>101.25</v>
      </c>
      <c r="AQ70" s="46">
        <f t="shared" si="88"/>
        <v>203962.05357142858</v>
      </c>
      <c r="AR70" s="47">
        <f t="shared" si="89"/>
        <v>-8861.6848028273816</v>
      </c>
      <c r="AS70" s="45">
        <f t="shared" si="90"/>
        <v>104.953125</v>
      </c>
      <c r="AT70" s="46">
        <f t="shared" si="91"/>
        <v>169921.875</v>
      </c>
      <c r="AU70" s="47">
        <f t="shared" si="92"/>
        <v>3710.2594866071377</v>
      </c>
      <c r="AV70" s="45">
        <f t="shared" si="93"/>
        <v>100.0625</v>
      </c>
      <c r="AW70" s="46">
        <f t="shared" si="94"/>
        <v>396093.75</v>
      </c>
      <c r="AX70" s="47">
        <f t="shared" si="95"/>
        <v>10005.98828125</v>
      </c>
      <c r="AY70" s="82">
        <f t="shared" si="96"/>
        <v>-201689.62955762737</v>
      </c>
      <c r="AZ70" s="82"/>
      <c r="BA70" s="82"/>
      <c r="BB70" s="82">
        <f>$AO$4*SUM($AZ$14:AZ70)-$AP$4*SUM($BA$14:BA70)</f>
        <v>71425.005826778885</v>
      </c>
      <c r="BC70" s="82">
        <f t="shared" si="97"/>
        <v>-273114.63538440625</v>
      </c>
      <c r="BE70" s="75">
        <v>45852.625</v>
      </c>
      <c r="BF70" s="54">
        <v>80.09</v>
      </c>
      <c r="BI70" s="75">
        <v>45852.625</v>
      </c>
      <c r="BJ70" s="54">
        <v>108.05</v>
      </c>
      <c r="BM70" s="75">
        <v>45852.625</v>
      </c>
      <c r="BN70" s="54">
        <v>101.65625</v>
      </c>
      <c r="BO70" s="75">
        <v>45852.625</v>
      </c>
      <c r="BP70" s="54">
        <v>94.640625</v>
      </c>
      <c r="BR70" s="131">
        <f t="shared" si="20"/>
        <v>45944.625</v>
      </c>
      <c r="BS70" s="45">
        <f t="shared" si="98"/>
        <v>107.4841</v>
      </c>
      <c r="BT70" s="46">
        <f t="shared" si="99"/>
        <v>-23500.000000002077</v>
      </c>
      <c r="BU70" s="46">
        <f t="shared" si="100"/>
        <v>270833.33333333337</v>
      </c>
      <c r="BV70" s="45">
        <f t="shared" si="101"/>
        <v>48.805</v>
      </c>
      <c r="BW70" s="46">
        <f t="shared" si="102"/>
        <v>79256.249999999942</v>
      </c>
      <c r="BX70" s="47">
        <f t="shared" si="103"/>
        <v>270833.33333333337</v>
      </c>
      <c r="BY70" s="45">
        <f t="shared" si="104"/>
        <v>-102756.25000000201</v>
      </c>
      <c r="CA70" s="129">
        <v>45856.625</v>
      </c>
      <c r="CB70" s="54">
        <v>107.51779999999999</v>
      </c>
      <c r="CC70" s="129">
        <v>45856.625</v>
      </c>
      <c r="CD70" s="54">
        <v>50.996000000000002</v>
      </c>
      <c r="CF70" s="131">
        <v>45944.625</v>
      </c>
      <c r="CG70" s="45">
        <f t="shared" si="105"/>
        <v>257.16699999999997</v>
      </c>
      <c r="CH70" s="46">
        <f t="shared" si="106"/>
        <v>92473.920000000362</v>
      </c>
      <c r="CI70" s="46">
        <f t="shared" si="107"/>
        <v>227500</v>
      </c>
      <c r="CJ70" s="45">
        <f t="shared" si="108"/>
        <v>52.110999999999997</v>
      </c>
      <c r="CK70" s="46">
        <f t="shared" si="109"/>
        <v>29429.189999999981</v>
      </c>
      <c r="CL70" s="47">
        <f t="shared" si="110"/>
        <v>204750</v>
      </c>
      <c r="CM70" s="45">
        <f t="shared" si="111"/>
        <v>85794.730000000389</v>
      </c>
      <c r="CO70" s="129">
        <v>45853.625</v>
      </c>
      <c r="CP70" s="54">
        <v>284.40899999999999</v>
      </c>
      <c r="CQ70" s="129">
        <v>45853.625</v>
      </c>
      <c r="CR70" s="54">
        <v>55.322000000000003</v>
      </c>
      <c r="DF70" s="133">
        <v>45945.625</v>
      </c>
      <c r="DG70" s="58">
        <f t="shared" si="66"/>
        <v>-72586.033982760768</v>
      </c>
      <c r="DH70" s="58">
        <f t="shared" si="67"/>
        <v>-213192.17833260354</v>
      </c>
      <c r="DI70" s="58">
        <f t="shared" si="68"/>
        <v>-83668.749999999825</v>
      </c>
      <c r="DJ70" s="58">
        <f t="shared" si="69"/>
        <v>97274.566666667059</v>
      </c>
      <c r="DK70" s="58">
        <f t="shared" si="70"/>
        <v>50839.978713868593</v>
      </c>
      <c r="DL70" s="58">
        <f t="shared" si="71"/>
        <v>59922.457051802718</v>
      </c>
      <c r="DM70" s="58">
        <f t="shared" si="72"/>
        <v>19087.500000002183</v>
      </c>
      <c r="DN70" s="58">
        <f t="shared" si="73"/>
        <v>11479.83666666667</v>
      </c>
      <c r="DO70" s="58">
        <f t="shared" si="74"/>
        <v>50839.978713868593</v>
      </c>
      <c r="DP70" s="58">
        <f t="shared" si="75"/>
        <v>59922.457051802718</v>
      </c>
      <c r="DQ70" s="58">
        <f t="shared" si="76"/>
        <v>19087.500000002183</v>
      </c>
      <c r="DR70" s="58">
        <f t="shared" si="77"/>
        <v>11479.83666666667</v>
      </c>
      <c r="DS70" s="58">
        <f>SUM(DO$15:DO70)</f>
        <v>-80980.361903297133</v>
      </c>
      <c r="DT70" s="58">
        <f>SUM(DP$15:DP70)</f>
        <v>-205582.55791178712</v>
      </c>
      <c r="DU70" s="58">
        <f>SUM(DQ$15:DQ70)</f>
        <v>-68987.499999997206</v>
      </c>
      <c r="DV70" s="58">
        <f>SUM(DR$15:DR70)</f>
        <v>79760.800000000192</v>
      </c>
      <c r="DZ70" s="133">
        <v>45945.625</v>
      </c>
      <c r="EA70" s="152">
        <v>-68987.499999997206</v>
      </c>
      <c r="EB70" s="152">
        <v>-205582.55791178712</v>
      </c>
      <c r="EC70" s="152">
        <v>94953.333333333576</v>
      </c>
      <c r="ED70" s="152">
        <v>-96403.926537258783</v>
      </c>
    </row>
    <row r="71" spans="1:134" x14ac:dyDescent="0.3">
      <c r="A71" s="142">
        <v>45925.625</v>
      </c>
      <c r="B71" s="76">
        <f t="shared" si="24"/>
        <v>92.45</v>
      </c>
      <c r="C71" s="31">
        <f t="shared" si="9"/>
        <v>-324281.15015974588</v>
      </c>
      <c r="D71" s="32">
        <f t="shared" si="10"/>
        <v>-194932.49999999997</v>
      </c>
      <c r="E71" s="76">
        <f t="shared" si="25"/>
        <v>100.822</v>
      </c>
      <c r="F71" s="31">
        <f t="shared" si="11"/>
        <v>-70391.999999999476</v>
      </c>
      <c r="G71" s="32">
        <f t="shared" si="12"/>
        <v>-69401.28985999999</v>
      </c>
      <c r="H71" s="76">
        <f t="shared" si="26"/>
        <v>120.43</v>
      </c>
      <c r="I71" s="31">
        <f t="shared" si="13"/>
        <v>-435573.4208367531</v>
      </c>
      <c r="J71" s="32">
        <f t="shared" si="14"/>
        <v>-335283.89999999997</v>
      </c>
      <c r="K71" s="76">
        <f t="shared" si="27"/>
        <v>99.263000000000005</v>
      </c>
      <c r="L71" s="31">
        <f t="shared" si="15"/>
        <v>-171166.79999999996</v>
      </c>
      <c r="M71" s="32">
        <f t="shared" si="16"/>
        <v>-152653.37901333332</v>
      </c>
      <c r="N71" s="82">
        <f t="shared" si="17"/>
        <v>67616.781523673388</v>
      </c>
      <c r="O71" s="82"/>
      <c r="P71" s="82"/>
      <c r="Q71" s="82">
        <f>$G$5*SUM($O$14:O71)-$H$5*SUM($P$14:P71)</f>
        <v>-35590.730199999991</v>
      </c>
      <c r="R71" s="82">
        <f t="shared" si="18"/>
        <v>32026.051323673397</v>
      </c>
      <c r="S71" s="143"/>
      <c r="U71" s="75">
        <v>45854.625</v>
      </c>
      <c r="V71" s="54">
        <v>93.96</v>
      </c>
      <c r="W71" s="75">
        <v>45852.625</v>
      </c>
      <c r="X71" s="54">
        <v>101.181</v>
      </c>
      <c r="Y71" s="125">
        <v>45859.625</v>
      </c>
      <c r="Z71" s="54">
        <v>120.31</v>
      </c>
      <c r="AA71" s="75">
        <v>45940.625</v>
      </c>
      <c r="AB71" s="54">
        <v>99.754000000000005</v>
      </c>
      <c r="AF71" s="133">
        <v>45945.625</v>
      </c>
      <c r="AG71" s="45">
        <f t="shared" si="78"/>
        <v>80.8</v>
      </c>
      <c r="AH71" s="46">
        <f t="shared" si="79"/>
        <v>108763.20696084351</v>
      </c>
      <c r="AI71" s="46">
        <f t="shared" si="80"/>
        <v>-232062.49999999997</v>
      </c>
      <c r="AJ71" s="45">
        <f t="shared" si="81"/>
        <v>101.140625</v>
      </c>
      <c r="AK71" s="46">
        <f t="shared" si="82"/>
        <v>218722.09821428571</v>
      </c>
      <c r="AL71" s="47">
        <f t="shared" si="83"/>
        <v>-10295.192638578868</v>
      </c>
      <c r="AM71" s="45">
        <f t="shared" si="84"/>
        <v>112.1</v>
      </c>
      <c r="AN71" s="46">
        <f t="shared" si="85"/>
        <v>787244.38198557938</v>
      </c>
      <c r="AO71" s="47">
        <f t="shared" si="86"/>
        <v>-238692.85714285716</v>
      </c>
      <c r="AP71" s="45">
        <f t="shared" si="87"/>
        <v>101.140625</v>
      </c>
      <c r="AQ71" s="46">
        <f t="shared" si="88"/>
        <v>190680.80357142855</v>
      </c>
      <c r="AR71" s="47">
        <f t="shared" si="89"/>
        <v>-8975.2961464533582</v>
      </c>
      <c r="AS71" s="45">
        <f t="shared" si="90"/>
        <v>104.828125</v>
      </c>
      <c r="AT71" s="46">
        <f t="shared" si="91"/>
        <v>163225.44642857142</v>
      </c>
      <c r="AU71" s="47">
        <f t="shared" si="92"/>
        <v>3757.8269159226256</v>
      </c>
      <c r="AV71" s="45">
        <f t="shared" si="93"/>
        <v>99.84375</v>
      </c>
      <c r="AW71" s="46">
        <f t="shared" si="94"/>
        <v>379687.5</v>
      </c>
      <c r="AX71" s="47">
        <f t="shared" si="95"/>
        <v>10134.270182291672</v>
      </c>
      <c r="AY71" s="82">
        <f t="shared" si="96"/>
        <v>-141767.17250582465</v>
      </c>
      <c r="AZ71" s="82"/>
      <c r="BA71" s="82"/>
      <c r="BB71" s="82">
        <f>$AO$4*SUM($AZ$14:AZ71)-$AP$4*SUM($BA$14:BA71)</f>
        <v>71425.005826778885</v>
      </c>
      <c r="BC71" s="82">
        <f t="shared" si="97"/>
        <v>-213192.17833260354</v>
      </c>
      <c r="BE71" s="75">
        <v>45853.625</v>
      </c>
      <c r="BF71" s="54">
        <v>79.849999999999994</v>
      </c>
      <c r="BI71" s="75">
        <v>45853.625</v>
      </c>
      <c r="BJ71" s="54">
        <v>107.66</v>
      </c>
      <c r="BM71" s="75">
        <v>45853.625</v>
      </c>
      <c r="BN71" s="54">
        <v>101.21875</v>
      </c>
      <c r="BO71" s="75">
        <v>45853.625</v>
      </c>
      <c r="BP71" s="54">
        <v>94.015625</v>
      </c>
      <c r="BR71" s="131">
        <f t="shared" si="20"/>
        <v>45945.625</v>
      </c>
      <c r="BS71" s="45">
        <f t="shared" si="98"/>
        <v>107.62390000000001</v>
      </c>
      <c r="BT71" s="46">
        <f t="shared" si="99"/>
        <v>11449.99999999996</v>
      </c>
      <c r="BU71" s="46">
        <f t="shared" si="100"/>
        <v>274305.55555555556</v>
      </c>
      <c r="BV71" s="45">
        <f t="shared" si="101"/>
        <v>48.523000000000003</v>
      </c>
      <c r="BW71" s="46">
        <f t="shared" si="102"/>
        <v>95118.749999999753</v>
      </c>
      <c r="BX71" s="47">
        <f t="shared" si="103"/>
        <v>274305.55555555556</v>
      </c>
      <c r="BY71" s="45">
        <f t="shared" si="104"/>
        <v>-83668.749999999825</v>
      </c>
      <c r="CA71" s="129">
        <v>45859.625</v>
      </c>
      <c r="CB71" s="54">
        <v>107.4918</v>
      </c>
      <c r="CC71" s="129">
        <v>45859.625</v>
      </c>
      <c r="CD71" s="54">
        <v>51.058999999999997</v>
      </c>
      <c r="CF71" s="131">
        <v>45945.625</v>
      </c>
      <c r="CG71" s="45">
        <f t="shared" si="105"/>
        <v>245.131</v>
      </c>
      <c r="CH71" s="46">
        <f t="shared" si="106"/>
        <v>203686.56000000011</v>
      </c>
      <c r="CI71" s="46">
        <f t="shared" si="107"/>
        <v>230416.66666666666</v>
      </c>
      <c r="CJ71" s="45">
        <f t="shared" si="108"/>
        <v>49.81</v>
      </c>
      <c r="CK71" s="46">
        <f t="shared" si="109"/>
        <v>129453.65999999976</v>
      </c>
      <c r="CL71" s="47">
        <f t="shared" si="110"/>
        <v>207375</v>
      </c>
      <c r="CM71" s="45">
        <f t="shared" si="111"/>
        <v>97274.566666667059</v>
      </c>
      <c r="CO71" s="129">
        <v>45854.625</v>
      </c>
      <c r="CP71" s="54">
        <v>285.31700000000001</v>
      </c>
      <c r="CQ71" s="129">
        <v>45854.625</v>
      </c>
      <c r="CR71" s="54">
        <v>55.634</v>
      </c>
      <c r="DF71" s="133">
        <v>45946.625</v>
      </c>
      <c r="DG71" s="58">
        <f t="shared" si="66"/>
        <v>-111260.21478370373</v>
      </c>
      <c r="DH71" s="58">
        <f t="shared" si="67"/>
        <v>-301508.55114452378</v>
      </c>
      <c r="DI71" s="58">
        <f t="shared" si="68"/>
        <v>-97062.500000001659</v>
      </c>
      <c r="DJ71" s="58">
        <f t="shared" si="69"/>
        <v>79248.563333333645</v>
      </c>
      <c r="DK71" s="58">
        <f t="shared" si="70"/>
        <v>-38674.180800942966</v>
      </c>
      <c r="DL71" s="58">
        <f t="shared" si="71"/>
        <v>-88316.372811920242</v>
      </c>
      <c r="DM71" s="58">
        <f t="shared" si="72"/>
        <v>-13393.750000001834</v>
      </c>
      <c r="DN71" s="58">
        <f t="shared" si="73"/>
        <v>-18026.003333333414</v>
      </c>
      <c r="DO71" s="58">
        <f t="shared" si="74"/>
        <v>-38674.180800942966</v>
      </c>
      <c r="DP71" s="58">
        <f t="shared" si="75"/>
        <v>-88316.372811920242</v>
      </c>
      <c r="DQ71" s="58">
        <f t="shared" si="76"/>
        <v>-13393.750000001834</v>
      </c>
      <c r="DR71" s="58">
        <f t="shared" si="77"/>
        <v>-18026.003333333414</v>
      </c>
      <c r="DS71" s="58">
        <f>SUM(DO$15:DO71)</f>
        <v>-119654.5427042401</v>
      </c>
      <c r="DT71" s="58">
        <f>SUM(DP$15:DP71)</f>
        <v>-293898.93072370737</v>
      </c>
      <c r="DU71" s="58">
        <f>SUM(DQ$15:DQ71)</f>
        <v>-82381.24999999904</v>
      </c>
      <c r="DV71" s="58">
        <f>SUM(DR$15:DR71)</f>
        <v>61734.796666666778</v>
      </c>
      <c r="DZ71" s="133">
        <v>45946.625</v>
      </c>
      <c r="EA71" s="152">
        <v>-82381.24999999904</v>
      </c>
      <c r="EB71" s="152">
        <v>-293898.93072370737</v>
      </c>
      <c r="EC71" s="152">
        <v>73493.805555555708</v>
      </c>
      <c r="ED71" s="152">
        <v>-142444.61796695244</v>
      </c>
    </row>
    <row r="72" spans="1:134" x14ac:dyDescent="0.3">
      <c r="A72" s="142">
        <v>45926.625</v>
      </c>
      <c r="B72" s="76">
        <f t="shared" si="24"/>
        <v>92.46</v>
      </c>
      <c r="C72" s="31">
        <f t="shared" si="9"/>
        <v>-322044.72843450803</v>
      </c>
      <c r="D72" s="32">
        <f t="shared" si="10"/>
        <v>-197399.99999999997</v>
      </c>
      <c r="E72" s="76">
        <f t="shared" si="25"/>
        <v>100.866</v>
      </c>
      <c r="F72" s="31">
        <f t="shared" si="11"/>
        <v>-63000</v>
      </c>
      <c r="G72" s="32">
        <f t="shared" si="12"/>
        <v>-70279.787199999962</v>
      </c>
      <c r="H72" s="76">
        <f t="shared" si="26"/>
        <v>120.43</v>
      </c>
      <c r="I72" s="31">
        <f t="shared" si="13"/>
        <v>-435573.4208367531</v>
      </c>
      <c r="J72" s="32">
        <f t="shared" si="14"/>
        <v>-339527.99999999994</v>
      </c>
      <c r="K72" s="76">
        <f t="shared" si="27"/>
        <v>99.38</v>
      </c>
      <c r="L72" s="31">
        <f t="shared" si="15"/>
        <v>-130872.00000000333</v>
      </c>
      <c r="M72" s="32">
        <f t="shared" si="16"/>
        <v>-154585.70026666665</v>
      </c>
      <c r="N72" s="82">
        <f t="shared" si="17"/>
        <v>103478.77933557506</v>
      </c>
      <c r="O72" s="82"/>
      <c r="P72" s="82"/>
      <c r="Q72" s="82">
        <f>$G$5*SUM($O$14:O72)-$H$5*SUM($P$14:P72)</f>
        <v>-35590.730199999991</v>
      </c>
      <c r="R72" s="82">
        <f t="shared" si="18"/>
        <v>67888.049135575071</v>
      </c>
      <c r="S72" s="143"/>
      <c r="U72" s="75">
        <v>45855.625</v>
      </c>
      <c r="V72" s="54">
        <v>94.08</v>
      </c>
      <c r="W72" s="75">
        <v>45853.625</v>
      </c>
      <c r="X72" s="54">
        <v>101.23699999999999</v>
      </c>
      <c r="Y72" s="125">
        <v>45860.625</v>
      </c>
      <c r="Z72" s="54">
        <v>120.48</v>
      </c>
      <c r="AA72" s="75">
        <v>45943.625</v>
      </c>
      <c r="AB72" s="54">
        <v>99.923000000000002</v>
      </c>
      <c r="AF72" s="133">
        <v>45946.625</v>
      </c>
      <c r="AG72" s="45">
        <f t="shared" si="78"/>
        <v>80.510000000000005</v>
      </c>
      <c r="AH72" s="46">
        <f t="shared" si="79"/>
        <v>18645.121193289204</v>
      </c>
      <c r="AI72" s="46">
        <f t="shared" si="80"/>
        <v>-234999.99999999997</v>
      </c>
      <c r="AJ72" s="45">
        <f t="shared" si="81"/>
        <v>101.46875</v>
      </c>
      <c r="AK72" s="46">
        <f t="shared" si="82"/>
        <v>264425.22321428574</v>
      </c>
      <c r="AL72" s="47">
        <f t="shared" si="83"/>
        <v>-10425.511532738092</v>
      </c>
      <c r="AM72" s="45">
        <f t="shared" si="84"/>
        <v>112.42</v>
      </c>
      <c r="AN72" s="46">
        <f t="shared" si="85"/>
        <v>862895.49376797862</v>
      </c>
      <c r="AO72" s="47">
        <f t="shared" si="86"/>
        <v>-241714.28571428571</v>
      </c>
      <c r="AP72" s="45">
        <f t="shared" si="87"/>
        <v>101.46875</v>
      </c>
      <c r="AQ72" s="46">
        <f t="shared" si="88"/>
        <v>230524.55357142861</v>
      </c>
      <c r="AR72" s="47">
        <f t="shared" si="89"/>
        <v>-9088.9074900793639</v>
      </c>
      <c r="AS72" s="45">
        <f t="shared" si="90"/>
        <v>105.328125</v>
      </c>
      <c r="AT72" s="46">
        <f t="shared" si="91"/>
        <v>190011.16071428571</v>
      </c>
      <c r="AU72" s="47">
        <f t="shared" si="92"/>
        <v>3805.394345238099</v>
      </c>
      <c r="AV72" s="45">
        <f t="shared" si="93"/>
        <v>100.59375</v>
      </c>
      <c r="AW72" s="46">
        <f t="shared" si="94"/>
        <v>435937.5</v>
      </c>
      <c r="AX72" s="47">
        <f t="shared" si="95"/>
        <v>10262.552083333343</v>
      </c>
      <c r="AY72" s="82">
        <f t="shared" si="96"/>
        <v>-230083.54531774487</v>
      </c>
      <c r="AZ72" s="82"/>
      <c r="BA72" s="82"/>
      <c r="BB72" s="82">
        <f>$AO$4*SUM($AZ$14:AZ72)-$AP$4*SUM($BA$14:BA72)</f>
        <v>71425.005826778885</v>
      </c>
      <c r="BC72" s="82">
        <f t="shared" si="97"/>
        <v>-301508.55114452378</v>
      </c>
      <c r="BE72" s="75">
        <v>45854.625</v>
      </c>
      <c r="BF72" s="54">
        <v>80.06</v>
      </c>
      <c r="BI72" s="75">
        <v>45854.625</v>
      </c>
      <c r="BJ72" s="54">
        <v>107.83</v>
      </c>
      <c r="BM72" s="75">
        <v>45854.625</v>
      </c>
      <c r="BN72" s="54">
        <v>101.484375</v>
      </c>
      <c r="BO72" s="75">
        <v>45854.625</v>
      </c>
      <c r="BP72" s="54">
        <v>94.140625</v>
      </c>
      <c r="BR72" s="131">
        <f t="shared" si="20"/>
        <v>45946.625</v>
      </c>
      <c r="BS72" s="45">
        <f t="shared" si="98"/>
        <v>107.2029</v>
      </c>
      <c r="BT72" s="46">
        <f t="shared" si="99"/>
        <v>-93800.000000001659</v>
      </c>
      <c r="BU72" s="46">
        <f t="shared" si="100"/>
        <v>277777.77777777775</v>
      </c>
      <c r="BV72" s="45">
        <f t="shared" si="101"/>
        <v>50.155999999999999</v>
      </c>
      <c r="BW72" s="46">
        <f t="shared" si="102"/>
        <v>3262.4999999999909</v>
      </c>
      <c r="BX72" s="47">
        <f t="shared" si="103"/>
        <v>277777.77777777775</v>
      </c>
      <c r="BY72" s="45">
        <f t="shared" si="104"/>
        <v>-97062.500000001659</v>
      </c>
      <c r="CA72" s="129">
        <v>45860.625</v>
      </c>
      <c r="CB72" s="54">
        <v>107.44840000000001</v>
      </c>
      <c r="CC72" s="129">
        <v>45860.625</v>
      </c>
      <c r="CD72" s="54">
        <v>51.103000000000002</v>
      </c>
      <c r="CF72" s="131">
        <v>45946.625</v>
      </c>
      <c r="CG72" s="45">
        <f t="shared" si="105"/>
        <v>250.49600000000001</v>
      </c>
      <c r="CH72" s="46">
        <f t="shared" si="106"/>
        <v>154113.96000000005</v>
      </c>
      <c r="CI72" s="46">
        <f t="shared" si="107"/>
        <v>233333.33333333331</v>
      </c>
      <c r="CJ72" s="45">
        <f t="shared" si="108"/>
        <v>50.529000000000003</v>
      </c>
      <c r="CK72" s="46">
        <f t="shared" si="109"/>
        <v>98198.72999999969</v>
      </c>
      <c r="CL72" s="47">
        <f t="shared" si="110"/>
        <v>210000</v>
      </c>
      <c r="CM72" s="45">
        <f t="shared" si="111"/>
        <v>79248.563333333645</v>
      </c>
      <c r="CO72" s="129">
        <v>45855.625</v>
      </c>
      <c r="CP72" s="54">
        <v>279.93299999999999</v>
      </c>
      <c r="CQ72" s="129">
        <v>45855.625</v>
      </c>
      <c r="CR72" s="54">
        <v>54.454000000000001</v>
      </c>
    </row>
    <row r="73" spans="1:134" x14ac:dyDescent="0.3">
      <c r="A73" s="142">
        <v>45929.625</v>
      </c>
      <c r="B73" s="76">
        <f t="shared" si="24"/>
        <v>92.5</v>
      </c>
      <c r="C73" s="31">
        <f t="shared" si="9"/>
        <v>-313099.04153354728</v>
      </c>
      <c r="D73" s="32">
        <f t="shared" si="10"/>
        <v>-204802.50000000003</v>
      </c>
      <c r="E73" s="76">
        <f t="shared" si="25"/>
        <v>100.89</v>
      </c>
      <c r="F73" s="31">
        <f t="shared" si="11"/>
        <v>-58967.999999999847</v>
      </c>
      <c r="G73" s="32">
        <f t="shared" si="12"/>
        <v>-72915.279219999997</v>
      </c>
      <c r="H73" s="76">
        <f t="shared" si="26"/>
        <v>120.76</v>
      </c>
      <c r="I73" s="31">
        <f t="shared" si="13"/>
        <v>-337791.6324856446</v>
      </c>
      <c r="J73" s="32">
        <f t="shared" si="14"/>
        <v>-352260.30000000005</v>
      </c>
      <c r="K73" s="76">
        <f t="shared" si="27"/>
        <v>99.456000000000003</v>
      </c>
      <c r="L73" s="31">
        <f t="shared" si="15"/>
        <v>-104697.6000000007</v>
      </c>
      <c r="M73" s="32">
        <f t="shared" si="16"/>
        <v>-160382.66402666672</v>
      </c>
      <c r="N73" s="82">
        <f t="shared" si="17"/>
        <v>38953.406145429675</v>
      </c>
      <c r="O73" s="82"/>
      <c r="P73" s="82"/>
      <c r="Q73" s="82">
        <f>$G$5*SUM($O$14:O73)-$H$5*SUM($P$14:P73)</f>
        <v>-35590.730199999991</v>
      </c>
      <c r="R73" s="82">
        <f t="shared" si="18"/>
        <v>3362.6759454296844</v>
      </c>
      <c r="S73" s="143"/>
      <c r="U73" s="75">
        <v>45856.625</v>
      </c>
      <c r="V73" s="54">
        <v>94.09</v>
      </c>
      <c r="W73" s="75">
        <v>45854.625</v>
      </c>
      <c r="X73" s="54">
        <v>101.31</v>
      </c>
      <c r="Y73" s="125">
        <v>45861.625</v>
      </c>
      <c r="Z73" s="54">
        <v>120.5</v>
      </c>
      <c r="AA73" s="75">
        <v>45944.625</v>
      </c>
      <c r="AB73" s="54">
        <v>99.977999999999994</v>
      </c>
      <c r="AG73" s="75"/>
      <c r="AH73" s="58"/>
      <c r="AI73" s="75"/>
      <c r="AJ73" s="58"/>
      <c r="AK73" s="75"/>
      <c r="AM73" s="75"/>
      <c r="AO73" s="75"/>
      <c r="AP73" s="58"/>
      <c r="AQ73" s="75"/>
      <c r="BE73" s="75">
        <v>45855.625</v>
      </c>
      <c r="BF73" s="54">
        <v>80.14</v>
      </c>
      <c r="BI73" s="75">
        <v>45855.625</v>
      </c>
      <c r="BJ73" s="54">
        <v>108.09</v>
      </c>
      <c r="BM73" s="75">
        <v>45855.625</v>
      </c>
      <c r="BN73" s="54">
        <v>101.421875</v>
      </c>
      <c r="BO73" s="75">
        <v>45855.625</v>
      </c>
      <c r="BP73" s="54">
        <v>94.078125</v>
      </c>
      <c r="BS73" s="75"/>
      <c r="BT73" s="58"/>
      <c r="BU73" s="75"/>
      <c r="BV73" s="58"/>
      <c r="BW73" s="75"/>
      <c r="BY73" s="75"/>
      <c r="CA73" s="129">
        <v>45861.625</v>
      </c>
      <c r="CB73" s="54">
        <v>107.6756</v>
      </c>
      <c r="CC73" s="129">
        <v>45861.625</v>
      </c>
      <c r="CD73" s="54">
        <v>50.188000000000002</v>
      </c>
      <c r="CO73" s="129">
        <v>45856.625</v>
      </c>
      <c r="CP73" s="54">
        <v>277.86799999999999</v>
      </c>
      <c r="CQ73" s="129">
        <v>45856.625</v>
      </c>
      <c r="CR73" s="54">
        <v>53.975999999999999</v>
      </c>
    </row>
    <row r="74" spans="1:134" x14ac:dyDescent="0.3">
      <c r="A74" s="142">
        <v>45930.625</v>
      </c>
      <c r="B74" s="76">
        <f t="shared" si="24"/>
        <v>92.47</v>
      </c>
      <c r="C74" s="31">
        <f t="shared" si="9"/>
        <v>-319808.30670926551</v>
      </c>
      <c r="D74" s="32">
        <f t="shared" si="10"/>
        <v>-207270</v>
      </c>
      <c r="E74" s="76">
        <f t="shared" si="25"/>
        <v>100.89400000000001</v>
      </c>
      <c r="F74" s="31">
        <f t="shared" si="11"/>
        <v>-58295.999999999025</v>
      </c>
      <c r="G74" s="32">
        <f t="shared" si="12"/>
        <v>-73793.776559999998</v>
      </c>
      <c r="H74" s="76">
        <f t="shared" si="26"/>
        <v>120.78</v>
      </c>
      <c r="I74" s="31">
        <f t="shared" si="13"/>
        <v>-331865.46349466976</v>
      </c>
      <c r="J74" s="32">
        <f t="shared" si="14"/>
        <v>-356504.4</v>
      </c>
      <c r="K74" s="76">
        <f t="shared" si="27"/>
        <v>99.484999999999999</v>
      </c>
      <c r="L74" s="31">
        <f t="shared" si="15"/>
        <v>-94710.00000000195</v>
      </c>
      <c r="M74" s="32">
        <f t="shared" si="16"/>
        <v>-162314.98527999996</v>
      </c>
      <c r="N74" s="82">
        <f t="shared" si="17"/>
        <v>36356.348065401282</v>
      </c>
      <c r="O74" s="82"/>
      <c r="P74" s="82"/>
      <c r="Q74" s="82">
        <f>$G$5*SUM($O$14:O74)-$H$5*SUM($P$14:P74)</f>
        <v>-35590.730199999991</v>
      </c>
      <c r="R74" s="82">
        <f t="shared" si="18"/>
        <v>765.61786540129106</v>
      </c>
      <c r="S74" s="143"/>
      <c r="U74" s="75">
        <v>45859.625</v>
      </c>
      <c r="V74" s="54">
        <v>94.13</v>
      </c>
      <c r="W74" s="75">
        <v>45855.625</v>
      </c>
      <c r="X74" s="54">
        <v>101.328</v>
      </c>
      <c r="Y74" s="125">
        <v>45862.625</v>
      </c>
      <c r="Z74" s="54">
        <v>120.16</v>
      </c>
      <c r="AA74" s="75">
        <v>45945.625</v>
      </c>
      <c r="AB74" s="54">
        <v>100.18899999999999</v>
      </c>
      <c r="AG74" s="75"/>
      <c r="AH74" s="58"/>
      <c r="AI74" s="75"/>
      <c r="AJ74" s="58"/>
      <c r="AK74" s="75"/>
      <c r="AM74" s="75"/>
      <c r="AO74" s="75"/>
      <c r="AP74" s="58"/>
      <c r="AQ74" s="75"/>
      <c r="BE74" s="75">
        <v>45856.625</v>
      </c>
      <c r="BF74" s="54">
        <v>80.25</v>
      </c>
      <c r="BI74" s="75">
        <v>45856.625</v>
      </c>
      <c r="BJ74" s="54">
        <v>108.29</v>
      </c>
      <c r="BM74" s="75">
        <v>45856.625</v>
      </c>
      <c r="BN74" s="54">
        <v>101.671875</v>
      </c>
      <c r="BO74" s="75">
        <v>45856.625</v>
      </c>
      <c r="BP74" s="54">
        <v>94.21875</v>
      </c>
      <c r="BS74" s="75"/>
      <c r="BT74" s="58"/>
      <c r="BU74" s="75"/>
      <c r="BV74" s="58"/>
      <c r="BW74" s="75"/>
      <c r="BY74" s="75"/>
      <c r="CA74" s="129">
        <v>45862.625</v>
      </c>
      <c r="CB74" s="54">
        <v>107.5968</v>
      </c>
      <c r="CC74" s="129">
        <v>45862.625</v>
      </c>
      <c r="CD74" s="54">
        <v>50.165999999999997</v>
      </c>
      <c r="CO74" s="129">
        <v>45859.625</v>
      </c>
      <c r="CP74" s="54">
        <v>278.05399999999997</v>
      </c>
      <c r="CQ74" s="129">
        <v>45859.625</v>
      </c>
      <c r="CR74" s="54">
        <v>54.119</v>
      </c>
    </row>
    <row r="75" spans="1:134" x14ac:dyDescent="0.3">
      <c r="A75" s="142">
        <v>45931.625</v>
      </c>
      <c r="B75" s="76">
        <f t="shared" si="24"/>
        <v>92.57</v>
      </c>
      <c r="C75" s="31">
        <f t="shared" si="9"/>
        <v>-297444.08945687296</v>
      </c>
      <c r="D75" s="32">
        <f t="shared" si="10"/>
        <v>-209737.5</v>
      </c>
      <c r="E75" s="76">
        <f t="shared" si="25"/>
        <v>100.92</v>
      </c>
      <c r="F75" s="31">
        <f t="shared" si="11"/>
        <v>-53927.999999999651</v>
      </c>
      <c r="G75" s="32">
        <f t="shared" si="12"/>
        <v>-74672.273900000015</v>
      </c>
      <c r="H75" s="76">
        <f t="shared" si="26"/>
        <v>120.85</v>
      </c>
      <c r="I75" s="31">
        <f t="shared" si="13"/>
        <v>-311123.8720262539</v>
      </c>
      <c r="J75" s="32">
        <f t="shared" si="14"/>
        <v>-360748.5</v>
      </c>
      <c r="K75" s="76">
        <f t="shared" si="27"/>
        <v>99.536000000000001</v>
      </c>
      <c r="L75" s="31">
        <f t="shared" si="15"/>
        <v>-77145.600000001286</v>
      </c>
      <c r="M75" s="32">
        <f t="shared" si="16"/>
        <v>-164247.30653333335</v>
      </c>
      <c r="N75" s="82">
        <f t="shared" si="17"/>
        <v>51898.149936045986</v>
      </c>
      <c r="O75" s="82"/>
      <c r="P75" s="82"/>
      <c r="Q75" s="82">
        <f>$G$5*SUM($O$14:O75)-$H$5*SUM($P$14:P75)</f>
        <v>-35590.730199999991</v>
      </c>
      <c r="R75" s="82">
        <f t="shared" si="18"/>
        <v>16307.419736045995</v>
      </c>
      <c r="S75" s="143"/>
      <c r="U75" s="75">
        <v>45860.625</v>
      </c>
      <c r="V75" s="54">
        <v>94.13</v>
      </c>
      <c r="W75" s="75">
        <v>45856.625</v>
      </c>
      <c r="X75" s="54">
        <v>101.28</v>
      </c>
      <c r="Y75" s="125">
        <v>45863.625</v>
      </c>
      <c r="Z75" s="54">
        <v>120.06</v>
      </c>
      <c r="AA75" s="75">
        <v>45946.625</v>
      </c>
      <c r="AB75" s="54">
        <v>100.14700000000001</v>
      </c>
      <c r="AG75" s="75"/>
      <c r="AI75" s="75"/>
      <c r="AK75" s="75"/>
      <c r="AM75" s="75"/>
      <c r="AO75" s="75"/>
      <c r="AQ75" s="75"/>
      <c r="BE75" s="75">
        <v>45859.625</v>
      </c>
      <c r="BF75" s="54">
        <v>80.36</v>
      </c>
      <c r="BI75" s="75">
        <v>45859.625</v>
      </c>
      <c r="BJ75" s="54">
        <v>108.71</v>
      </c>
      <c r="BM75" s="75">
        <v>45859.625</v>
      </c>
      <c r="BN75" s="54">
        <v>102.03125</v>
      </c>
      <c r="BO75" s="75">
        <v>45859.625</v>
      </c>
      <c r="BP75" s="54">
        <v>94.96875</v>
      </c>
      <c r="BS75" s="75"/>
      <c r="BU75" s="75"/>
      <c r="BW75" s="75"/>
      <c r="BY75" s="75"/>
      <c r="CA75" s="129">
        <v>45863.625</v>
      </c>
      <c r="CB75" s="54">
        <v>107.6135</v>
      </c>
      <c r="CC75" s="129">
        <v>45863.625</v>
      </c>
      <c r="CD75" s="54">
        <v>49.981999999999999</v>
      </c>
      <c r="CO75" s="129">
        <v>45860.625</v>
      </c>
      <c r="CP75" s="54">
        <v>280.26299999999998</v>
      </c>
      <c r="CQ75" s="129">
        <v>45860.625</v>
      </c>
      <c r="CR75" s="54">
        <v>54.722000000000001</v>
      </c>
    </row>
    <row r="76" spans="1:134" x14ac:dyDescent="0.3">
      <c r="A76" s="142">
        <v>45932.625</v>
      </c>
      <c r="B76" s="76">
        <f t="shared" si="24"/>
        <v>92.64</v>
      </c>
      <c r="C76" s="31">
        <f t="shared" si="9"/>
        <v>-281789.13738019398</v>
      </c>
      <c r="D76" s="32">
        <f t="shared" si="10"/>
        <v>-212205</v>
      </c>
      <c r="E76" s="76">
        <f t="shared" si="25"/>
        <v>100.905</v>
      </c>
      <c r="F76" s="31">
        <f t="shared" si="11"/>
        <v>-56447.999999999753</v>
      </c>
      <c r="G76" s="32">
        <f t="shared" si="12"/>
        <v>-75550.771240000031</v>
      </c>
      <c r="H76" s="76">
        <f t="shared" si="26"/>
        <v>120.92</v>
      </c>
      <c r="I76" s="31">
        <f t="shared" si="13"/>
        <v>-290382.28055783408</v>
      </c>
      <c r="J76" s="32">
        <f t="shared" si="14"/>
        <v>-364992.6</v>
      </c>
      <c r="K76" s="76">
        <f t="shared" si="27"/>
        <v>99.51</v>
      </c>
      <c r="L76" s="31">
        <f t="shared" si="15"/>
        <v>-86100</v>
      </c>
      <c r="M76" s="32">
        <f t="shared" si="16"/>
        <v>-166179.62778666659</v>
      </c>
      <c r="N76" s="82">
        <f t="shared" si="17"/>
        <v>41099.886630973284</v>
      </c>
      <c r="O76" s="82"/>
      <c r="P76" s="82"/>
      <c r="Q76" s="82">
        <f>$G$5*SUM($O$14:O76)-$H$5*SUM($P$14:P76)</f>
        <v>-35590.730199999991</v>
      </c>
      <c r="R76" s="82">
        <f t="shared" si="18"/>
        <v>5509.156430973293</v>
      </c>
      <c r="S76" s="143"/>
      <c r="U76" s="75">
        <v>45861.625</v>
      </c>
      <c r="V76" s="54">
        <v>94.21</v>
      </c>
      <c r="W76" s="75">
        <v>45859.625</v>
      </c>
      <c r="X76" s="54">
        <v>101.45</v>
      </c>
      <c r="Y76" s="125">
        <v>45866.625</v>
      </c>
      <c r="Z76" s="54">
        <v>120.25</v>
      </c>
      <c r="AA76" s="75">
        <v>45947.625</v>
      </c>
      <c r="AB76" s="54">
        <v>100.146</v>
      </c>
      <c r="AG76" s="75"/>
      <c r="AI76" s="75"/>
      <c r="AK76" s="75"/>
      <c r="AM76" s="75"/>
      <c r="AO76" s="75"/>
      <c r="AQ76" s="75"/>
      <c r="BE76" s="75">
        <v>45860.625</v>
      </c>
      <c r="BF76" s="54">
        <v>80.5</v>
      </c>
      <c r="BI76" s="75">
        <v>45860.625</v>
      </c>
      <c r="BJ76" s="54">
        <v>108.97</v>
      </c>
      <c r="BM76" s="75">
        <v>45860.625</v>
      </c>
      <c r="BN76" s="54">
        <v>102.328125</v>
      </c>
      <c r="BO76" s="75">
        <v>45860.625</v>
      </c>
      <c r="BP76" s="54">
        <v>95.484375</v>
      </c>
      <c r="BS76" s="75"/>
      <c r="BU76" s="75"/>
      <c r="BW76" s="75"/>
      <c r="BY76" s="75"/>
      <c r="CA76" s="129">
        <v>45866.625</v>
      </c>
      <c r="CB76" s="54">
        <v>107.57810000000001</v>
      </c>
      <c r="CC76" s="129">
        <v>45866.625</v>
      </c>
      <c r="CD76" s="54">
        <v>50.213999999999999</v>
      </c>
      <c r="CO76" s="129">
        <v>45861.625</v>
      </c>
      <c r="CP76" s="54">
        <v>276.29399999999998</v>
      </c>
      <c r="CQ76" s="129">
        <v>45861.625</v>
      </c>
      <c r="CR76" s="54">
        <v>53.884</v>
      </c>
    </row>
    <row r="77" spans="1:134" x14ac:dyDescent="0.3">
      <c r="A77" s="142">
        <v>45933.625</v>
      </c>
      <c r="B77" s="76">
        <f t="shared" si="24"/>
        <v>92.6</v>
      </c>
      <c r="C77" s="31">
        <f t="shared" si="9"/>
        <v>-290734.8242811524</v>
      </c>
      <c r="D77" s="32">
        <f t="shared" si="10"/>
        <v>-214672.49999999997</v>
      </c>
      <c r="E77" s="76">
        <f t="shared" si="25"/>
        <v>100.893</v>
      </c>
      <c r="F77" s="31">
        <f t="shared" si="11"/>
        <v>-58463.999999999825</v>
      </c>
      <c r="G77" s="32">
        <f t="shared" si="12"/>
        <v>-76429.268579999931</v>
      </c>
      <c r="H77" s="76">
        <f t="shared" si="26"/>
        <v>120.97</v>
      </c>
      <c r="I77" s="31">
        <f t="shared" si="13"/>
        <v>-275566.85808039701</v>
      </c>
      <c r="J77" s="32">
        <f t="shared" si="14"/>
        <v>-369236.69999999995</v>
      </c>
      <c r="K77" s="76">
        <f t="shared" si="27"/>
        <v>99.492999999999995</v>
      </c>
      <c r="L77" s="31">
        <f t="shared" si="15"/>
        <v>-91954.800000003481</v>
      </c>
      <c r="M77" s="32">
        <f t="shared" si="16"/>
        <v>-168111.94903999998</v>
      </c>
      <c r="N77" s="82">
        <f t="shared" si="17"/>
        <v>14222.75333924091</v>
      </c>
      <c r="O77" s="82"/>
      <c r="P77" s="82"/>
      <c r="Q77" s="82">
        <f>$G$5*SUM($O$14:O77)-$H$5*SUM($P$14:P77)</f>
        <v>-35590.730199999991</v>
      </c>
      <c r="R77" s="82">
        <f t="shared" si="18"/>
        <v>-21367.976860759081</v>
      </c>
      <c r="S77" s="143"/>
      <c r="U77" s="75">
        <v>45862.625</v>
      </c>
      <c r="V77" s="54">
        <v>94.34</v>
      </c>
      <c r="W77" s="75">
        <v>45860.625</v>
      </c>
      <c r="X77" s="54">
        <v>101.5</v>
      </c>
      <c r="Y77" s="125">
        <v>45867.625</v>
      </c>
      <c r="Z77" s="54">
        <v>120.32</v>
      </c>
      <c r="AG77" s="75"/>
      <c r="AI77" s="75"/>
      <c r="AK77" s="75"/>
      <c r="AM77" s="75"/>
      <c r="AO77" s="75"/>
      <c r="AQ77" s="75"/>
      <c r="BE77" s="75">
        <v>45861.625</v>
      </c>
      <c r="BF77" s="54">
        <v>80.540000000000006</v>
      </c>
      <c r="BI77" s="75">
        <v>45861.625</v>
      </c>
      <c r="BJ77" s="54">
        <v>108.8</v>
      </c>
      <c r="BM77" s="75">
        <v>45861.625</v>
      </c>
      <c r="BN77" s="54">
        <v>101.953125</v>
      </c>
      <c r="BO77" s="75">
        <v>45861.625</v>
      </c>
      <c r="BP77" s="54">
        <v>94.96875</v>
      </c>
      <c r="BS77" s="75"/>
      <c r="BU77" s="75"/>
      <c r="BW77" s="75"/>
      <c r="BY77" s="75"/>
      <c r="CA77" s="129">
        <v>45867.625</v>
      </c>
      <c r="CB77" s="54">
        <v>107.3954</v>
      </c>
      <c r="CC77" s="129">
        <v>45867.625</v>
      </c>
      <c r="CD77" s="54">
        <v>50.765000000000001</v>
      </c>
      <c r="CO77" s="129">
        <v>45862.625</v>
      </c>
      <c r="CP77" s="54">
        <v>269.95100000000002</v>
      </c>
      <c r="CQ77" s="129">
        <v>45862.625</v>
      </c>
      <c r="CR77" s="54">
        <v>52.994999999999997</v>
      </c>
    </row>
    <row r="78" spans="1:134" x14ac:dyDescent="0.3">
      <c r="A78" s="142">
        <v>45936.625</v>
      </c>
      <c r="B78" s="76">
        <f t="shared" si="24"/>
        <v>92.49</v>
      </c>
      <c r="C78" s="31">
        <f t="shared" si="9"/>
        <v>-315335.46325878747</v>
      </c>
      <c r="D78" s="32">
        <f t="shared" si="10"/>
        <v>-222075</v>
      </c>
      <c r="E78" s="76">
        <f t="shared" si="25"/>
        <v>100.928</v>
      </c>
      <c r="F78" s="31">
        <f t="shared" si="11"/>
        <v>-52584.0000000004</v>
      </c>
      <c r="G78" s="32">
        <f t="shared" si="12"/>
        <v>-79064.76059999998</v>
      </c>
      <c r="H78" s="76">
        <f t="shared" si="26"/>
        <v>120.96</v>
      </c>
      <c r="I78" s="31">
        <f t="shared" si="13"/>
        <v>-278529.9425758844</v>
      </c>
      <c r="J78" s="32">
        <f t="shared" si="14"/>
        <v>-381969</v>
      </c>
      <c r="K78" s="76">
        <f t="shared" si="27"/>
        <v>99.536000000000001</v>
      </c>
      <c r="L78" s="31">
        <f t="shared" si="15"/>
        <v>-77145.600000001286</v>
      </c>
      <c r="M78" s="32">
        <f t="shared" si="16"/>
        <v>-173908.91279999999</v>
      </c>
      <c r="N78" s="82">
        <f t="shared" si="17"/>
        <v>3682.7271170959866</v>
      </c>
      <c r="O78" s="82"/>
      <c r="P78" s="82"/>
      <c r="Q78" s="82">
        <f>$G$5*SUM($O$14:O78)-$H$5*SUM($P$14:P78)</f>
        <v>-35590.730199999991</v>
      </c>
      <c r="R78" s="82">
        <f t="shared" si="18"/>
        <v>-31908.003082904004</v>
      </c>
      <c r="S78" s="143"/>
      <c r="U78" s="75">
        <v>45863.625</v>
      </c>
      <c r="V78" s="54">
        <v>94.27</v>
      </c>
      <c r="W78" s="75">
        <v>45861.625</v>
      </c>
      <c r="X78" s="54">
        <v>101.505</v>
      </c>
      <c r="Y78" s="125">
        <v>45868.625</v>
      </c>
      <c r="Z78" s="54">
        <v>120.21</v>
      </c>
      <c r="AG78" s="75"/>
      <c r="AI78" s="75"/>
      <c r="AK78" s="75"/>
      <c r="AM78" s="75"/>
      <c r="AO78" s="75"/>
      <c r="AQ78" s="75"/>
      <c r="BE78" s="75">
        <v>45862.625</v>
      </c>
      <c r="BF78" s="54">
        <v>80.44</v>
      </c>
      <c r="BI78" s="75">
        <v>45862.625</v>
      </c>
      <c r="BJ78" s="54">
        <v>108.64</v>
      </c>
      <c r="BM78" s="75">
        <v>45862.625</v>
      </c>
      <c r="BN78" s="54">
        <v>101.796875</v>
      </c>
      <c r="BO78" s="75">
        <v>45862.625</v>
      </c>
      <c r="BP78" s="54">
        <v>94.84375</v>
      </c>
      <c r="BS78" s="75"/>
      <c r="BU78" s="75"/>
      <c r="BW78" s="75"/>
      <c r="BY78" s="75"/>
      <c r="CA78" s="129">
        <v>45868.625</v>
      </c>
      <c r="CB78" s="54">
        <v>107.27</v>
      </c>
      <c r="CC78" s="129">
        <v>45868.625</v>
      </c>
      <c r="CD78" s="54">
        <v>50.996000000000002</v>
      </c>
      <c r="CO78" s="129">
        <v>45863.625</v>
      </c>
      <c r="CP78" s="54">
        <v>269.66199999999998</v>
      </c>
      <c r="CQ78" s="129">
        <v>45863.625</v>
      </c>
      <c r="CR78" s="54">
        <v>52.911000000000001</v>
      </c>
    </row>
    <row r="79" spans="1:134" x14ac:dyDescent="0.3">
      <c r="A79" s="142">
        <v>45937.625</v>
      </c>
      <c r="B79" s="76">
        <f t="shared" si="24"/>
        <v>92.19</v>
      </c>
      <c r="C79" s="31">
        <f t="shared" ref="C79:C86" si="112">(B79/$B$14-1)*$B$5</f>
        <v>-382428.11501597683</v>
      </c>
      <c r="D79" s="32">
        <f t="shared" ref="D79:D86" si="113">-1*(A79-$A$14)/360*$B$7*$B$5</f>
        <v>-224542.49999999997</v>
      </c>
      <c r="E79" s="76">
        <f t="shared" si="25"/>
        <v>100.908</v>
      </c>
      <c r="F79" s="31">
        <f t="shared" ref="F79:F86" si="114">(E79-$E$14)/100*$C$5</f>
        <v>-55943.999999999731</v>
      </c>
      <c r="G79" s="32">
        <f t="shared" ref="G79:G86" si="115">(A79-$A$14)/360*$C$6*$C$5-(A79-$A$14)/360*$C$7*$C$5*$E$14/100</f>
        <v>-79943.257939999952</v>
      </c>
      <c r="H79" s="76">
        <f t="shared" si="26"/>
        <v>120.93</v>
      </c>
      <c r="I79" s="31">
        <f t="shared" ref="I79:I86" si="116">(H79/$H$14-1)*$D$5</f>
        <v>-287419.19606234663</v>
      </c>
      <c r="J79" s="32">
        <f t="shared" ref="J79:J86" si="117">-1*(A79-$A$14)/360*$D$7*$D$5</f>
        <v>-386213.1</v>
      </c>
      <c r="K79" s="76">
        <f t="shared" si="27"/>
        <v>99.483000000000004</v>
      </c>
      <c r="L79" s="31">
        <f t="shared" ref="L79:L86" si="118">(K79-$K$14)/100*$E$5</f>
        <v>-95398.800000000352</v>
      </c>
      <c r="M79" s="32">
        <f t="shared" ref="M79:M86" si="119">(A79-$A$14)/360*$E$6*$E$5-(A79-$A$14)/360*$E$7*$E$5*$K$14/100</f>
        <v>-175841.23405333332</v>
      </c>
      <c r="N79" s="82">
        <f t="shared" ref="N79:N86" si="120">C79+D79-F79-G79-I79-J79+L79+M79</f>
        <v>-68691.095066964204</v>
      </c>
      <c r="O79" s="82"/>
      <c r="P79" s="82"/>
      <c r="Q79" s="82">
        <f>$G$5*SUM($O$14:O79)-$H$5*SUM($P$14:P79)</f>
        <v>-35590.730199999991</v>
      </c>
      <c r="R79" s="82">
        <f t="shared" ref="R79:R86" si="121">N79+Q79</f>
        <v>-104281.8252669642</v>
      </c>
      <c r="S79" s="143"/>
      <c r="U79" s="75">
        <v>45866.625</v>
      </c>
      <c r="V79" s="54">
        <v>94.37</v>
      </c>
      <c r="W79" s="75">
        <v>45862.625</v>
      </c>
      <c r="X79" s="54">
        <v>101.15300000000001</v>
      </c>
      <c r="Y79" s="125">
        <v>45869.625</v>
      </c>
      <c r="Z79" s="54">
        <v>120.26</v>
      </c>
      <c r="AG79" s="75"/>
      <c r="AI79" s="75"/>
      <c r="AK79" s="75"/>
      <c r="AM79" s="75"/>
      <c r="AO79" s="75"/>
      <c r="AQ79" s="75"/>
      <c r="BE79" s="75">
        <v>45863.625</v>
      </c>
      <c r="BF79" s="54">
        <v>80.489999999999995</v>
      </c>
      <c r="BI79" s="75">
        <v>45863.625</v>
      </c>
      <c r="BJ79" s="54">
        <v>108.99</v>
      </c>
      <c r="BM79" s="75">
        <v>45863.625</v>
      </c>
      <c r="BN79" s="54">
        <v>102.015625</v>
      </c>
      <c r="BO79" s="75">
        <v>45863.625</v>
      </c>
      <c r="BP79" s="54">
        <v>95.34375</v>
      </c>
      <c r="BS79" s="75"/>
      <c r="BU79" s="75"/>
      <c r="BW79" s="75"/>
      <c r="BY79" s="75"/>
      <c r="CA79" s="129">
        <v>45869.625</v>
      </c>
      <c r="CB79" s="54">
        <v>107.2366</v>
      </c>
      <c r="CC79" s="129">
        <v>45869.625</v>
      </c>
      <c r="CD79" s="54">
        <v>51.091000000000001</v>
      </c>
      <c r="CO79" s="129">
        <v>45866.625</v>
      </c>
      <c r="CP79" s="54">
        <v>267.17500000000001</v>
      </c>
      <c r="CQ79" s="129">
        <v>45866.625</v>
      </c>
      <c r="CR79" s="54">
        <v>52.787999999999997</v>
      </c>
    </row>
    <row r="80" spans="1:134" x14ac:dyDescent="0.3">
      <c r="A80" s="142">
        <v>45938.625</v>
      </c>
      <c r="B80" s="76">
        <f t="shared" ref="B80:B86" si="122">VLOOKUP($A80+$I$2,U$3:V$500,2)</f>
        <v>92.12</v>
      </c>
      <c r="C80" s="31">
        <f t="shared" si="112"/>
        <v>-398083.06709265115</v>
      </c>
      <c r="D80" s="32">
        <f t="shared" si="113"/>
        <v>-227009.99999999997</v>
      </c>
      <c r="E80" s="76">
        <f t="shared" ref="E80:E86" si="123">VLOOKUP($A80+$I$2,W$3:X$500,2)</f>
        <v>100.99299999999999</v>
      </c>
      <c r="F80" s="31">
        <f t="shared" si="114"/>
        <v>-41664.000000000779</v>
      </c>
      <c r="G80" s="32">
        <f t="shared" si="115"/>
        <v>-80821.755279999998</v>
      </c>
      <c r="H80" s="76">
        <f t="shared" ref="H80:H86" si="124">VLOOKUP($A80+$I$2,Y$3:Z$500,2)</f>
        <v>121.12</v>
      </c>
      <c r="I80" s="31">
        <f t="shared" si="116"/>
        <v>-231120.59064807388</v>
      </c>
      <c r="J80" s="32">
        <f t="shared" si="117"/>
        <v>-390457.19999999995</v>
      </c>
      <c r="K80" s="76">
        <f t="shared" ref="K80:K86" si="125">VLOOKUP($A80+$I$2,AA$3:AB$500,2)</f>
        <v>99.673000000000002</v>
      </c>
      <c r="L80" s="31">
        <f t="shared" si="118"/>
        <v>-29962.800000001134</v>
      </c>
      <c r="M80" s="32">
        <f t="shared" si="119"/>
        <v>-177773.55530666673</v>
      </c>
      <c r="N80" s="82">
        <f t="shared" si="120"/>
        <v>-88765.876471244395</v>
      </c>
      <c r="O80" s="82"/>
      <c r="P80" s="82"/>
      <c r="Q80" s="82">
        <f>$G$5*SUM($O$14:O80)-$H$5*SUM($P$14:P80)</f>
        <v>-35590.730199999991</v>
      </c>
      <c r="R80" s="82">
        <f t="shared" si="121"/>
        <v>-124356.60667124439</v>
      </c>
      <c r="S80" s="143"/>
      <c r="U80" s="75">
        <v>45867.625</v>
      </c>
      <c r="V80" s="54">
        <v>94.46</v>
      </c>
      <c r="W80" s="75">
        <v>45863.625</v>
      </c>
      <c r="X80" s="54">
        <v>101.054</v>
      </c>
      <c r="Y80" s="125">
        <v>45870.625</v>
      </c>
      <c r="Z80" s="54">
        <v>120.22</v>
      </c>
      <c r="AG80" s="75"/>
      <c r="AI80" s="75"/>
      <c r="AK80" s="75"/>
      <c r="AM80" s="75"/>
      <c r="AO80" s="75"/>
      <c r="AQ80" s="75"/>
      <c r="BE80" s="75">
        <v>45866.625</v>
      </c>
      <c r="BF80" s="54">
        <v>80.45</v>
      </c>
      <c r="BI80" s="75">
        <v>45866.625</v>
      </c>
      <c r="BJ80" s="54">
        <v>108.77</v>
      </c>
      <c r="BM80" s="75">
        <v>45866.625</v>
      </c>
      <c r="BN80" s="54">
        <v>101.78125</v>
      </c>
      <c r="BO80" s="75">
        <v>45866.625</v>
      </c>
      <c r="BP80" s="54">
        <v>94.78125</v>
      </c>
      <c r="BS80" s="75"/>
      <c r="BU80" s="75"/>
      <c r="BW80" s="75"/>
      <c r="BY80" s="75"/>
      <c r="CA80" s="129">
        <v>45870.625</v>
      </c>
      <c r="CB80" s="54">
        <v>106.53149999999999</v>
      </c>
      <c r="CC80" s="129">
        <v>45870.625</v>
      </c>
      <c r="CD80" s="54">
        <v>54.185000000000002</v>
      </c>
      <c r="CO80" s="129">
        <v>45867.625</v>
      </c>
      <c r="CP80" s="54">
        <v>264.13499999999999</v>
      </c>
      <c r="CQ80" s="129">
        <v>45867.625</v>
      </c>
      <c r="CR80" s="54">
        <v>52.537999999999997</v>
      </c>
    </row>
    <row r="81" spans="1:96" x14ac:dyDescent="0.3">
      <c r="A81" s="142">
        <v>45939.625</v>
      </c>
      <c r="B81" s="76">
        <f t="shared" si="122"/>
        <v>92</v>
      </c>
      <c r="C81" s="31">
        <f t="shared" si="112"/>
        <v>-424920.1277955288</v>
      </c>
      <c r="D81" s="32">
        <f t="shared" si="113"/>
        <v>-229477.5</v>
      </c>
      <c r="E81" s="76">
        <f t="shared" si="123"/>
        <v>100.934</v>
      </c>
      <c r="F81" s="31">
        <f t="shared" si="114"/>
        <v>-51576.000000000364</v>
      </c>
      <c r="G81" s="32">
        <f t="shared" si="115"/>
        <v>-81700.25261999997</v>
      </c>
      <c r="H81" s="76">
        <f t="shared" si="124"/>
        <v>120.99</v>
      </c>
      <c r="I81" s="31">
        <f t="shared" si="116"/>
        <v>-269640.68908942223</v>
      </c>
      <c r="J81" s="32">
        <f t="shared" si="117"/>
        <v>-394701.3</v>
      </c>
      <c r="K81" s="76">
        <f t="shared" si="125"/>
        <v>99.552999999999997</v>
      </c>
      <c r="L81" s="31">
        <f t="shared" si="118"/>
        <v>-71290.800000002695</v>
      </c>
      <c r="M81" s="32">
        <f t="shared" si="119"/>
        <v>-179705.87656</v>
      </c>
      <c r="N81" s="82">
        <f t="shared" si="120"/>
        <v>-107776.062646109</v>
      </c>
      <c r="O81" s="82"/>
      <c r="P81" s="82"/>
      <c r="Q81" s="82">
        <f>$G$5*SUM($O$14:O81)-$H$5*SUM($P$14:P81)</f>
        <v>-35590.730199999991</v>
      </c>
      <c r="R81" s="82">
        <f t="shared" si="121"/>
        <v>-143366.79284610899</v>
      </c>
      <c r="S81" s="143"/>
      <c r="U81" s="75">
        <v>45868.625</v>
      </c>
      <c r="V81" s="54">
        <v>94.48</v>
      </c>
      <c r="W81" s="75">
        <v>45866.625</v>
      </c>
      <c r="X81" s="54">
        <v>101.17</v>
      </c>
      <c r="Y81" s="125">
        <v>45873.625</v>
      </c>
      <c r="Z81" s="54">
        <v>120.41</v>
      </c>
      <c r="AG81" s="75"/>
      <c r="AI81" s="75"/>
      <c r="AK81" s="75"/>
      <c r="AM81" s="75"/>
      <c r="AO81" s="75"/>
      <c r="AQ81" s="75"/>
      <c r="BE81" s="75">
        <v>45867.625</v>
      </c>
      <c r="BF81" s="54">
        <v>80.5</v>
      </c>
      <c r="BI81" s="75">
        <v>45867.625</v>
      </c>
      <c r="BJ81" s="54">
        <v>109.49</v>
      </c>
      <c r="BM81" s="75">
        <v>45867.625</v>
      </c>
      <c r="BN81" s="54">
        <v>102.484375</v>
      </c>
      <c r="BO81" s="75">
        <v>45867.625</v>
      </c>
      <c r="BP81" s="54">
        <v>96.3125</v>
      </c>
      <c r="BS81" s="75"/>
      <c r="BU81" s="75"/>
      <c r="BW81" s="75"/>
      <c r="BY81" s="75"/>
      <c r="CA81" s="129">
        <v>45873.625</v>
      </c>
      <c r="CB81" s="54">
        <v>107.0245</v>
      </c>
      <c r="CC81" s="129">
        <v>45873.625</v>
      </c>
      <c r="CD81" s="54">
        <v>52.07</v>
      </c>
      <c r="CO81" s="129">
        <v>45868.625</v>
      </c>
      <c r="CP81" s="54">
        <v>265.81200000000001</v>
      </c>
      <c r="CQ81" s="129">
        <v>45868.625</v>
      </c>
      <c r="CR81" s="54">
        <v>52.783999999999999</v>
      </c>
    </row>
    <row r="82" spans="1:96" x14ac:dyDescent="0.3">
      <c r="A82" s="142">
        <v>45940.625</v>
      </c>
      <c r="B82" s="76">
        <f t="shared" si="122"/>
        <v>91.78</v>
      </c>
      <c r="C82" s="31">
        <f t="shared" si="112"/>
        <v>-474121.40575079899</v>
      </c>
      <c r="D82" s="32">
        <f t="shared" si="113"/>
        <v>-231944.99999999997</v>
      </c>
      <c r="E82" s="76">
        <f t="shared" si="123"/>
        <v>101.017</v>
      </c>
      <c r="F82" s="31">
        <f t="shared" si="114"/>
        <v>-37632.000000000633</v>
      </c>
      <c r="G82" s="32">
        <f t="shared" si="115"/>
        <v>-82578.749959999986</v>
      </c>
      <c r="H82" s="76">
        <f t="shared" si="124"/>
        <v>121</v>
      </c>
      <c r="I82" s="31">
        <f t="shared" si="116"/>
        <v>-266677.60459393077</v>
      </c>
      <c r="J82" s="32">
        <f t="shared" si="117"/>
        <v>-398945.39999999997</v>
      </c>
      <c r="K82" s="76">
        <f t="shared" si="125"/>
        <v>99.754000000000005</v>
      </c>
      <c r="L82" s="31">
        <f t="shared" si="118"/>
        <v>-2066.4000000000783</v>
      </c>
      <c r="M82" s="32">
        <f t="shared" si="119"/>
        <v>-181638.19781333333</v>
      </c>
      <c r="N82" s="82">
        <f t="shared" si="120"/>
        <v>-103937.24901020105</v>
      </c>
      <c r="O82" s="82"/>
      <c r="P82" s="82"/>
      <c r="Q82" s="82">
        <f>$G$5*SUM($O$14:O82)-$H$5*SUM($P$14:P82)</f>
        <v>-35590.730199999991</v>
      </c>
      <c r="R82" s="82">
        <f t="shared" si="121"/>
        <v>-139527.97921020104</v>
      </c>
      <c r="S82" s="143"/>
      <c r="U82" s="75">
        <v>45869.625</v>
      </c>
      <c r="V82" s="54">
        <v>94.45</v>
      </c>
      <c r="W82" s="75">
        <v>45867.625</v>
      </c>
      <c r="X82" s="54">
        <v>101.105</v>
      </c>
      <c r="Y82" s="125">
        <v>45874.625</v>
      </c>
      <c r="Z82" s="54">
        <v>120.52</v>
      </c>
      <c r="AG82" s="75"/>
      <c r="AI82" s="75"/>
      <c r="AK82" s="75"/>
      <c r="AM82" s="75"/>
      <c r="AO82" s="75"/>
      <c r="AQ82" s="75"/>
      <c r="BE82" s="75">
        <v>45868.625</v>
      </c>
      <c r="BF82" s="54">
        <v>80.33</v>
      </c>
      <c r="BI82" s="75">
        <v>45868.625</v>
      </c>
      <c r="BJ82" s="54">
        <v>109.08</v>
      </c>
      <c r="BM82" s="75">
        <v>45868.625</v>
      </c>
      <c r="BN82" s="54">
        <v>102.125</v>
      </c>
      <c r="BO82" s="75">
        <v>45868.625</v>
      </c>
      <c r="BP82" s="54">
        <v>95.75</v>
      </c>
      <c r="BS82" s="75"/>
      <c r="BU82" s="75"/>
      <c r="BW82" s="75"/>
      <c r="BY82" s="75"/>
      <c r="CA82" s="129">
        <v>45874.625</v>
      </c>
      <c r="CB82" s="54">
        <v>106.9378</v>
      </c>
      <c r="CC82" s="129">
        <v>45874.625</v>
      </c>
      <c r="CD82" s="54">
        <v>52.485999999999997</v>
      </c>
      <c r="CO82" s="129">
        <v>45869.625</v>
      </c>
      <c r="CP82" s="54">
        <v>268.60899999999998</v>
      </c>
      <c r="CQ82" s="129">
        <v>45869.625</v>
      </c>
      <c r="CR82" s="54">
        <v>53.713999999999999</v>
      </c>
    </row>
    <row r="83" spans="1:96" x14ac:dyDescent="0.3">
      <c r="A83" s="142">
        <v>45943.625</v>
      </c>
      <c r="B83" s="76">
        <f t="shared" si="122"/>
        <v>91.79</v>
      </c>
      <c r="C83" s="31">
        <f t="shared" si="112"/>
        <v>-471884.98402555881</v>
      </c>
      <c r="D83" s="32">
        <f t="shared" si="113"/>
        <v>-239347.49999999994</v>
      </c>
      <c r="E83" s="76">
        <f t="shared" si="123"/>
        <v>101.122</v>
      </c>
      <c r="F83" s="31">
        <f t="shared" si="114"/>
        <v>-19991.99999999996</v>
      </c>
      <c r="G83" s="32">
        <f t="shared" si="115"/>
        <v>-85214.241979999962</v>
      </c>
      <c r="H83" s="76">
        <f t="shared" si="124"/>
        <v>121.1</v>
      </c>
      <c r="I83" s="31">
        <f t="shared" si="116"/>
        <v>-237046.7596390527</v>
      </c>
      <c r="J83" s="32">
        <f t="shared" si="117"/>
        <v>-411677.69999999995</v>
      </c>
      <c r="K83" s="76">
        <f t="shared" si="125"/>
        <v>99.923000000000002</v>
      </c>
      <c r="L83" s="31">
        <f t="shared" si="118"/>
        <v>56137.199999998862</v>
      </c>
      <c r="M83" s="32">
        <f t="shared" si="119"/>
        <v>-187435.16157333329</v>
      </c>
      <c r="N83" s="82">
        <f t="shared" si="120"/>
        <v>-88599.743979840554</v>
      </c>
      <c r="O83" s="82"/>
      <c r="P83" s="82"/>
      <c r="Q83" s="82">
        <f>$G$5*SUM($O$14:O83)-$H$5*SUM($P$14:P83)</f>
        <v>-35590.730199999991</v>
      </c>
      <c r="R83" s="82">
        <f t="shared" si="121"/>
        <v>-124190.47417984054</v>
      </c>
      <c r="S83" s="143"/>
      <c r="U83" s="75">
        <v>45870.625</v>
      </c>
      <c r="V83" s="54">
        <v>94.32</v>
      </c>
      <c r="W83" s="75">
        <v>45868.625</v>
      </c>
      <c r="X83" s="54">
        <v>101.048</v>
      </c>
      <c r="Y83" s="125">
        <v>45875.625</v>
      </c>
      <c r="Z83" s="54">
        <v>120.41</v>
      </c>
      <c r="AM83" s="75"/>
      <c r="AO83" s="75"/>
      <c r="AQ83" s="75"/>
      <c r="BE83" s="75">
        <v>45869.625</v>
      </c>
      <c r="BF83" s="54">
        <v>80.38</v>
      </c>
      <c r="BI83" s="75">
        <v>45869.625</v>
      </c>
      <c r="BJ83" s="54">
        <v>109.11</v>
      </c>
      <c r="BM83" s="75">
        <v>45869.625</v>
      </c>
      <c r="BN83" s="54">
        <v>102.1875</v>
      </c>
      <c r="BO83" s="75">
        <v>45869.625</v>
      </c>
      <c r="BP83" s="54">
        <v>95.828125</v>
      </c>
      <c r="BY83" s="75"/>
      <c r="CA83" s="129">
        <v>45875.625</v>
      </c>
      <c r="CB83" s="54">
        <v>107.005</v>
      </c>
      <c r="CC83" s="129">
        <v>45875.625</v>
      </c>
      <c r="CD83" s="54">
        <v>52.058999999999997</v>
      </c>
      <c r="CO83" s="129">
        <v>45870.625</v>
      </c>
      <c r="CP83" s="54">
        <v>281.363</v>
      </c>
      <c r="CQ83" s="129">
        <v>45870.625</v>
      </c>
      <c r="CR83" s="54">
        <v>56.575000000000003</v>
      </c>
    </row>
    <row r="84" spans="1:96" x14ac:dyDescent="0.3">
      <c r="A84" s="142">
        <v>45944.625</v>
      </c>
      <c r="B84" s="76">
        <f t="shared" si="122"/>
        <v>91.85</v>
      </c>
      <c r="C84" s="31">
        <f t="shared" si="112"/>
        <v>-458466.45367412461</v>
      </c>
      <c r="D84" s="32">
        <f t="shared" si="113"/>
        <v>-241814.99999999994</v>
      </c>
      <c r="E84" s="76">
        <f t="shared" si="123"/>
        <v>101.13800000000001</v>
      </c>
      <c r="F84" s="31">
        <f t="shared" si="114"/>
        <v>-17303.999999999065</v>
      </c>
      <c r="G84" s="32">
        <f t="shared" si="115"/>
        <v>-86092.739319999979</v>
      </c>
      <c r="H84" s="76">
        <f t="shared" si="124"/>
        <v>121.2</v>
      </c>
      <c r="I84" s="31">
        <f t="shared" si="116"/>
        <v>-207415.91468416661</v>
      </c>
      <c r="J84" s="32">
        <f t="shared" si="117"/>
        <v>-415921.79999999993</v>
      </c>
      <c r="K84" s="76">
        <f t="shared" si="125"/>
        <v>99.977999999999994</v>
      </c>
      <c r="L84" s="31">
        <f t="shared" si="118"/>
        <v>75079.199999996315</v>
      </c>
      <c r="M84" s="32">
        <f t="shared" si="119"/>
        <v>-189367.48282666667</v>
      </c>
      <c r="N84" s="82">
        <f t="shared" si="120"/>
        <v>-87835.28249662937</v>
      </c>
      <c r="O84" s="82"/>
      <c r="P84" s="82"/>
      <c r="Q84" s="82">
        <f>$G$5*SUM($O$14:O84)-$H$5*SUM($P$14:P84)</f>
        <v>-35590.730199999991</v>
      </c>
      <c r="R84" s="82">
        <f t="shared" si="121"/>
        <v>-123426.01269662936</v>
      </c>
      <c r="S84" s="143"/>
      <c r="U84" s="75">
        <v>45873.625</v>
      </c>
      <c r="V84" s="54">
        <v>94.38</v>
      </c>
      <c r="W84" s="75">
        <v>45869.625</v>
      </c>
      <c r="X84" s="54">
        <v>101.02200000000001</v>
      </c>
      <c r="Y84" s="125">
        <v>45876.625</v>
      </c>
      <c r="Z84" s="54">
        <v>120.52</v>
      </c>
      <c r="AM84" s="75"/>
      <c r="AO84" s="75"/>
      <c r="BE84" s="75">
        <v>45870.625</v>
      </c>
      <c r="BF84" s="54">
        <v>79.98</v>
      </c>
      <c r="BI84" s="75">
        <v>45870.625</v>
      </c>
      <c r="BJ84" s="54">
        <v>109.63</v>
      </c>
      <c r="BM84" s="75">
        <v>45870.625</v>
      </c>
      <c r="BN84" s="54">
        <v>103.359375</v>
      </c>
      <c r="BO84" s="75">
        <v>45870.625</v>
      </c>
      <c r="BP84" s="54">
        <v>97.03125</v>
      </c>
      <c r="BY84" s="75"/>
      <c r="CA84" s="129">
        <v>45876.625</v>
      </c>
      <c r="CB84" s="54">
        <v>106.95959999999999</v>
      </c>
      <c r="CC84" s="129">
        <v>45876.625</v>
      </c>
      <c r="CD84" s="54">
        <v>52.031999999999996</v>
      </c>
      <c r="CO84" s="129">
        <v>45873.625</v>
      </c>
      <c r="CP84" s="54">
        <v>276.33199999999999</v>
      </c>
      <c r="CQ84" s="129">
        <v>45873.625</v>
      </c>
      <c r="CR84" s="54">
        <v>55.798000000000002</v>
      </c>
    </row>
    <row r="85" spans="1:96" x14ac:dyDescent="0.3">
      <c r="A85" s="142">
        <v>45945.625</v>
      </c>
      <c r="B85" s="76">
        <f t="shared" si="122"/>
        <v>92.38</v>
      </c>
      <c r="C85" s="31">
        <f t="shared" si="112"/>
        <v>-339936.10223642492</v>
      </c>
      <c r="D85" s="32">
        <f t="shared" si="113"/>
        <v>-244282.5</v>
      </c>
      <c r="E85" s="76">
        <f t="shared" si="123"/>
        <v>101.23699999999999</v>
      </c>
      <c r="F85" s="31">
        <f t="shared" si="114"/>
        <v>-672.00000000082127</v>
      </c>
      <c r="G85" s="32">
        <f t="shared" si="115"/>
        <v>-86971.23666000001</v>
      </c>
      <c r="H85" s="76">
        <f t="shared" si="124"/>
        <v>121.62</v>
      </c>
      <c r="I85" s="31">
        <f t="shared" si="116"/>
        <v>-82966.365873667441</v>
      </c>
      <c r="J85" s="32">
        <f t="shared" si="117"/>
        <v>-420165.9</v>
      </c>
      <c r="K85" s="76">
        <f t="shared" si="125"/>
        <v>100.18899999999999</v>
      </c>
      <c r="L85" s="31">
        <f t="shared" si="118"/>
        <v>147747.59999999581</v>
      </c>
      <c r="M85" s="32">
        <f t="shared" si="119"/>
        <v>-191299.80407999997</v>
      </c>
      <c r="N85" s="82">
        <f t="shared" si="120"/>
        <v>-36995.303782760777</v>
      </c>
      <c r="O85" s="82"/>
      <c r="P85" s="82"/>
      <c r="Q85" s="82">
        <f>$G$5*SUM($O$14:O85)-$H$5*SUM($P$14:P85)</f>
        <v>-35590.730199999991</v>
      </c>
      <c r="R85" s="82">
        <f t="shared" si="121"/>
        <v>-72586.033982760768</v>
      </c>
      <c r="S85" s="143"/>
      <c r="U85" s="75">
        <v>45874.625</v>
      </c>
      <c r="V85" s="54">
        <v>94.45</v>
      </c>
      <c r="W85" s="75">
        <v>45870.625</v>
      </c>
      <c r="X85" s="54">
        <v>101.155</v>
      </c>
      <c r="Y85" s="125">
        <v>45877.625</v>
      </c>
      <c r="Z85" s="54">
        <v>120.29</v>
      </c>
      <c r="AM85" s="75"/>
      <c r="AO85" s="75"/>
      <c r="BE85" s="75">
        <v>45873.625</v>
      </c>
      <c r="BF85" s="54">
        <v>80.25</v>
      </c>
      <c r="BI85" s="75">
        <v>45873.625</v>
      </c>
      <c r="BJ85" s="54">
        <v>109.82</v>
      </c>
      <c r="BM85" s="75">
        <v>45873.625</v>
      </c>
      <c r="BN85" s="54">
        <v>103.46875</v>
      </c>
      <c r="BO85" s="75">
        <v>45873.625</v>
      </c>
      <c r="BP85" s="54">
        <v>97.28125</v>
      </c>
      <c r="BY85" s="75"/>
      <c r="CA85" s="129">
        <v>45877.625</v>
      </c>
      <c r="CB85" s="54">
        <v>107.1588</v>
      </c>
      <c r="CC85" s="129">
        <v>45877.625</v>
      </c>
      <c r="CD85" s="54">
        <v>51.154000000000003</v>
      </c>
      <c r="CO85" s="129">
        <v>45874.625</v>
      </c>
      <c r="CP85" s="54">
        <v>275.041</v>
      </c>
      <c r="CQ85" s="129">
        <v>45874.625</v>
      </c>
      <c r="CR85" s="54">
        <v>55.579000000000001</v>
      </c>
    </row>
    <row r="86" spans="1:96" x14ac:dyDescent="0.3">
      <c r="A86" s="142">
        <v>45946.625</v>
      </c>
      <c r="B86" s="76">
        <f t="shared" si="122"/>
        <v>92.23</v>
      </c>
      <c r="C86" s="31">
        <f t="shared" si="112"/>
        <v>-373482.42811501608</v>
      </c>
      <c r="D86" s="32">
        <f t="shared" si="113"/>
        <v>-246750</v>
      </c>
      <c r="E86" s="76">
        <f t="shared" si="123"/>
        <v>101.221</v>
      </c>
      <c r="F86" s="31">
        <f t="shared" si="114"/>
        <v>-3359.9999999993315</v>
      </c>
      <c r="G86" s="32">
        <f t="shared" si="115"/>
        <v>-87849.733999999997</v>
      </c>
      <c r="H86" s="76">
        <f t="shared" si="124"/>
        <v>121.6</v>
      </c>
      <c r="I86" s="31">
        <f t="shared" si="116"/>
        <v>-88892.534864646266</v>
      </c>
      <c r="J86" s="32">
        <f t="shared" si="117"/>
        <v>-424410</v>
      </c>
      <c r="K86" s="76">
        <f t="shared" si="125"/>
        <v>100.14700000000001</v>
      </c>
      <c r="L86" s="31">
        <f t="shared" si="118"/>
        <v>133282.80000000016</v>
      </c>
      <c r="M86" s="32">
        <f t="shared" si="119"/>
        <v>-193232.12533333333</v>
      </c>
      <c r="N86" s="82">
        <f t="shared" si="120"/>
        <v>-75669.484583703743</v>
      </c>
      <c r="O86" s="82"/>
      <c r="P86" s="82"/>
      <c r="Q86" s="82">
        <f>$G$5*SUM($O$14:O86)-$H$5*SUM($P$14:P86)</f>
        <v>-35590.730199999991</v>
      </c>
      <c r="R86" s="82">
        <f t="shared" si="121"/>
        <v>-111260.21478370373</v>
      </c>
      <c r="S86" s="143"/>
      <c r="U86" s="75">
        <v>45875.625</v>
      </c>
      <c r="V86" s="54">
        <v>94.47</v>
      </c>
      <c r="W86" s="75">
        <v>45873.625</v>
      </c>
      <c r="X86" s="54">
        <v>101.214</v>
      </c>
      <c r="Y86" s="125">
        <v>45880.625</v>
      </c>
      <c r="Z86" s="54">
        <v>120.27</v>
      </c>
      <c r="AM86" s="75"/>
      <c r="AO86" s="75"/>
      <c r="BE86" s="75">
        <v>45874.625</v>
      </c>
      <c r="BF86" s="54">
        <v>80.209999999999994</v>
      </c>
      <c r="BI86" s="75">
        <v>45874.625</v>
      </c>
      <c r="BJ86" s="54">
        <v>109.9</v>
      </c>
      <c r="BM86" s="75">
        <v>45874.625</v>
      </c>
      <c r="BN86" s="54">
        <v>103.4375</v>
      </c>
      <c r="BO86" s="75">
        <v>45874.625</v>
      </c>
      <c r="BP86" s="54">
        <v>97.59375</v>
      </c>
      <c r="BY86" s="75"/>
      <c r="CA86" s="129">
        <v>45880.625</v>
      </c>
      <c r="CB86" s="54">
        <v>107.04949999999999</v>
      </c>
      <c r="CC86" s="129">
        <v>45880.625</v>
      </c>
      <c r="CD86" s="54">
        <v>51.481000000000002</v>
      </c>
      <c r="CO86" s="129">
        <v>45875.625</v>
      </c>
      <c r="CP86" s="54">
        <v>276.83699999999999</v>
      </c>
      <c r="CQ86" s="129">
        <v>45875.625</v>
      </c>
      <c r="CR86" s="54">
        <v>55.622999999999998</v>
      </c>
    </row>
    <row r="87" spans="1:96" x14ac:dyDescent="0.3">
      <c r="U87" s="75">
        <v>45876.625</v>
      </c>
      <c r="V87" s="54">
        <v>94.64</v>
      </c>
      <c r="W87" s="75">
        <v>45874.625</v>
      </c>
      <c r="X87" s="54">
        <v>101.217</v>
      </c>
      <c r="Y87" s="125">
        <v>45881.625</v>
      </c>
      <c r="Z87" s="54">
        <v>120.15</v>
      </c>
      <c r="AM87" s="75"/>
      <c r="AO87" s="75"/>
      <c r="BE87" s="75">
        <v>45875.625</v>
      </c>
      <c r="BF87" s="54">
        <v>80.290000000000006</v>
      </c>
      <c r="BI87" s="75">
        <v>45875.625</v>
      </c>
      <c r="BJ87" s="54">
        <v>109.87</v>
      </c>
      <c r="BM87" s="75">
        <v>45875.625</v>
      </c>
      <c r="BN87" s="54">
        <v>103.296875</v>
      </c>
      <c r="BO87" s="75">
        <v>45875.625</v>
      </c>
      <c r="BP87" s="54">
        <v>97</v>
      </c>
      <c r="BY87" s="75"/>
      <c r="CA87" s="129">
        <v>45881.625</v>
      </c>
      <c r="CB87" s="54">
        <v>107.3578</v>
      </c>
      <c r="CC87" s="129">
        <v>45881.625</v>
      </c>
      <c r="CD87" s="54">
        <v>50.027000000000001</v>
      </c>
      <c r="CO87" s="129">
        <v>45876.625</v>
      </c>
      <c r="CP87" s="54">
        <v>269.959</v>
      </c>
      <c r="CQ87" s="129">
        <v>45876.625</v>
      </c>
      <c r="CR87" s="54">
        <v>54.149000000000001</v>
      </c>
    </row>
    <row r="88" spans="1:96" x14ac:dyDescent="0.3">
      <c r="U88" s="75">
        <v>45877.625</v>
      </c>
      <c r="V88" s="54">
        <v>94.67</v>
      </c>
      <c r="W88" s="75">
        <v>45875.625</v>
      </c>
      <c r="X88" s="54">
        <v>101.197</v>
      </c>
      <c r="Y88" s="125">
        <v>45882.625</v>
      </c>
      <c r="Z88" s="54">
        <v>120.52</v>
      </c>
      <c r="AM88" s="75"/>
      <c r="AO88" s="75"/>
      <c r="BE88" s="75">
        <v>45876.625</v>
      </c>
      <c r="BF88" s="54">
        <v>80.209999999999994</v>
      </c>
      <c r="BI88" s="75">
        <v>45876.625</v>
      </c>
      <c r="BJ88" s="54">
        <v>109.76</v>
      </c>
      <c r="BM88" s="75">
        <v>45876.625</v>
      </c>
      <c r="BN88" s="54">
        <v>103.21875</v>
      </c>
      <c r="BO88" s="75">
        <v>45876.625</v>
      </c>
      <c r="BP88" s="54">
        <v>96.84375</v>
      </c>
      <c r="BY88" s="75"/>
      <c r="CA88" s="129">
        <v>45882.625</v>
      </c>
      <c r="CB88" s="54">
        <v>107.5305</v>
      </c>
      <c r="CC88" s="129">
        <v>45882.625</v>
      </c>
      <c r="CD88" s="54">
        <v>49.564</v>
      </c>
      <c r="CO88" s="129">
        <v>45877.625</v>
      </c>
      <c r="CP88" s="54">
        <v>267.15899999999999</v>
      </c>
      <c r="CQ88" s="129">
        <v>45877.625</v>
      </c>
      <c r="CR88" s="54">
        <v>53.585000000000001</v>
      </c>
    </row>
    <row r="89" spans="1:96" x14ac:dyDescent="0.3">
      <c r="U89" s="75">
        <v>45880.625</v>
      </c>
      <c r="V89" s="54">
        <v>94.66</v>
      </c>
      <c r="W89" s="75">
        <v>45876.625</v>
      </c>
      <c r="X89" s="54">
        <v>101.16500000000001</v>
      </c>
      <c r="Y89" s="125">
        <v>45883.625</v>
      </c>
      <c r="Z89" s="54">
        <v>120.46</v>
      </c>
      <c r="AM89" s="75"/>
      <c r="AO89" s="75"/>
      <c r="BE89" s="75">
        <v>45877.625</v>
      </c>
      <c r="BF89" s="54">
        <v>80.22</v>
      </c>
      <c r="BI89" s="75">
        <v>45877.625</v>
      </c>
      <c r="BJ89" s="54">
        <v>109.41</v>
      </c>
      <c r="BM89" s="75">
        <v>45877.625</v>
      </c>
      <c r="BN89" s="54">
        <v>102.90625</v>
      </c>
      <c r="BO89" s="75">
        <v>45877.625</v>
      </c>
      <c r="BP89" s="54">
        <v>96.375</v>
      </c>
      <c r="BY89" s="75"/>
      <c r="CA89" s="129">
        <v>45883.625</v>
      </c>
      <c r="CB89" s="54">
        <v>107.40009999999999</v>
      </c>
      <c r="CC89" s="129">
        <v>45883.625</v>
      </c>
      <c r="CD89" s="54">
        <v>49.968000000000004</v>
      </c>
      <c r="CO89" s="129">
        <v>45880.625</v>
      </c>
      <c r="CP89" s="54">
        <v>267.584</v>
      </c>
      <c r="CQ89" s="129">
        <v>45880.625</v>
      </c>
      <c r="CR89" s="54">
        <v>53.674999999999997</v>
      </c>
    </row>
    <row r="90" spans="1:96" x14ac:dyDescent="0.3">
      <c r="U90" s="75">
        <v>45881.625</v>
      </c>
      <c r="V90" s="54">
        <v>94.75</v>
      </c>
      <c r="W90" s="75">
        <v>45877.625</v>
      </c>
      <c r="X90" s="54">
        <v>101.039</v>
      </c>
      <c r="Y90" s="125">
        <v>45887.625</v>
      </c>
      <c r="Z90" s="54">
        <v>120.14</v>
      </c>
      <c r="AM90" s="75"/>
      <c r="AO90" s="75"/>
      <c r="BE90" s="75">
        <v>45880.625</v>
      </c>
      <c r="BF90" s="54">
        <v>80.22</v>
      </c>
      <c r="BI90" s="75">
        <v>45880.625</v>
      </c>
      <c r="BJ90" s="54">
        <v>109.58499999999999</v>
      </c>
      <c r="BM90" s="75">
        <v>45880.625</v>
      </c>
      <c r="BN90" s="54">
        <v>102.953125</v>
      </c>
      <c r="BO90" s="75">
        <v>45880.625</v>
      </c>
      <c r="BP90" s="54">
        <v>96.46875</v>
      </c>
      <c r="BY90" s="75"/>
      <c r="CA90" s="129">
        <v>45884.625</v>
      </c>
      <c r="CB90" s="54">
        <v>107.37390000000001</v>
      </c>
      <c r="CC90" s="129">
        <v>45884.625</v>
      </c>
      <c r="CD90" s="54">
        <v>49.91</v>
      </c>
      <c r="CO90" s="129">
        <v>45881.625</v>
      </c>
      <c r="CP90" s="54">
        <v>265.14</v>
      </c>
      <c r="CQ90" s="129">
        <v>45881.625</v>
      </c>
      <c r="CR90" s="54">
        <v>52.881999999999998</v>
      </c>
    </row>
    <row r="91" spans="1:96" x14ac:dyDescent="0.3">
      <c r="U91" s="75">
        <v>45882.625</v>
      </c>
      <c r="V91" s="54">
        <v>94.88</v>
      </c>
      <c r="W91" s="75">
        <v>45880.625</v>
      </c>
      <c r="X91" s="54">
        <v>101.004</v>
      </c>
      <c r="Y91" s="125">
        <v>45888.625</v>
      </c>
      <c r="Z91" s="54">
        <v>120.27</v>
      </c>
      <c r="AM91" s="75"/>
      <c r="BE91" s="75">
        <v>45881.625</v>
      </c>
      <c r="BF91" s="54">
        <v>80.400000000000006</v>
      </c>
      <c r="BI91" s="75">
        <v>45881.625</v>
      </c>
      <c r="BJ91" s="54">
        <v>109.68</v>
      </c>
      <c r="BM91" s="75">
        <v>45881.625</v>
      </c>
      <c r="BN91" s="54">
        <v>102.84375</v>
      </c>
      <c r="BO91" s="75">
        <v>45881.625</v>
      </c>
      <c r="BP91" s="54">
        <v>95.96875</v>
      </c>
      <c r="BY91" s="75"/>
      <c r="CA91" s="129">
        <v>45887.625</v>
      </c>
      <c r="CB91" s="54">
        <v>107.3562</v>
      </c>
      <c r="CC91" s="129">
        <v>45887.625</v>
      </c>
      <c r="CD91" s="54">
        <v>50.018000000000001</v>
      </c>
      <c r="CO91" s="129">
        <v>45882.625</v>
      </c>
      <c r="CP91" s="54">
        <v>260.87599999999998</v>
      </c>
      <c r="CQ91" s="129">
        <v>45882.625</v>
      </c>
      <c r="CR91" s="54">
        <v>51.805</v>
      </c>
    </row>
    <row r="92" spans="1:96" x14ac:dyDescent="0.3">
      <c r="U92" s="75">
        <v>45883.625</v>
      </c>
      <c r="V92" s="54">
        <v>94.94</v>
      </c>
      <c r="W92" s="75">
        <v>45881.625</v>
      </c>
      <c r="X92" s="54">
        <v>100.947</v>
      </c>
      <c r="Y92" s="125">
        <v>45889.625</v>
      </c>
      <c r="Z92" s="54">
        <v>120.39</v>
      </c>
      <c r="AM92" s="75"/>
      <c r="BE92" s="75">
        <v>45882.625</v>
      </c>
      <c r="BF92" s="54">
        <v>80.61</v>
      </c>
      <c r="BI92" s="75">
        <v>45882.625</v>
      </c>
      <c r="BJ92" s="54">
        <v>110.26</v>
      </c>
      <c r="BM92" s="75">
        <v>45882.625</v>
      </c>
      <c r="BN92" s="54">
        <v>103.28125</v>
      </c>
      <c r="BO92" s="75">
        <v>45882.625</v>
      </c>
      <c r="BP92" s="54">
        <v>96.765625</v>
      </c>
      <c r="BY92" s="75"/>
      <c r="CA92" s="129">
        <v>45888.625</v>
      </c>
      <c r="CB92" s="54">
        <v>107.22490000000001</v>
      </c>
      <c r="CC92" s="129">
        <v>45888.625</v>
      </c>
      <c r="CD92" s="54">
        <v>50.395000000000003</v>
      </c>
      <c r="CO92" s="129">
        <v>45883.625</v>
      </c>
      <c r="CP92" s="54">
        <v>260.50799999999998</v>
      </c>
      <c r="CQ92" s="129">
        <v>45883.625</v>
      </c>
      <c r="CR92" s="54">
        <v>51.789000000000001</v>
      </c>
    </row>
    <row r="93" spans="1:96" x14ac:dyDescent="0.3">
      <c r="U93" s="75">
        <v>45884.625</v>
      </c>
      <c r="V93" s="54">
        <v>94.87</v>
      </c>
      <c r="W93" s="75">
        <v>45882.625</v>
      </c>
      <c r="X93" s="54">
        <v>101.11799999999999</v>
      </c>
      <c r="Y93" s="125">
        <v>45890.625</v>
      </c>
      <c r="Z93" s="54">
        <v>120.12</v>
      </c>
      <c r="AM93" s="75"/>
      <c r="BE93" s="75">
        <v>45883.625</v>
      </c>
      <c r="BF93" s="54">
        <v>80.400000000000006</v>
      </c>
      <c r="BI93" s="75">
        <v>45883.625</v>
      </c>
      <c r="BJ93" s="54">
        <v>109.88</v>
      </c>
      <c r="BM93" s="75">
        <v>45883.625</v>
      </c>
      <c r="BN93" s="54">
        <v>102.859375</v>
      </c>
      <c r="BO93" s="75">
        <v>45883.625</v>
      </c>
      <c r="BP93" s="54">
        <v>96.015625</v>
      </c>
      <c r="BY93" s="75"/>
      <c r="CA93" s="129">
        <v>45889.625</v>
      </c>
      <c r="CB93" s="54">
        <v>107.1161</v>
      </c>
      <c r="CC93" s="129">
        <v>45889.625</v>
      </c>
      <c r="CD93" s="54">
        <v>50.768000000000001</v>
      </c>
      <c r="CO93" s="129">
        <v>45884.625</v>
      </c>
      <c r="CP93" s="54">
        <v>259.67399999999998</v>
      </c>
      <c r="CQ93" s="129">
        <v>45884.625</v>
      </c>
      <c r="CR93" s="54">
        <v>51.633000000000003</v>
      </c>
    </row>
    <row r="94" spans="1:96" x14ac:dyDescent="0.3">
      <c r="U94" s="75">
        <v>45887.625</v>
      </c>
      <c r="V94" s="54">
        <v>94.83</v>
      </c>
      <c r="W94" s="75">
        <v>45883.625</v>
      </c>
      <c r="X94" s="54">
        <v>101.057</v>
      </c>
      <c r="Y94" s="125">
        <v>45891.625</v>
      </c>
      <c r="Z94" s="54">
        <v>120.28</v>
      </c>
      <c r="AM94" s="75"/>
      <c r="BE94" s="75">
        <v>45884.625</v>
      </c>
      <c r="BF94" s="54">
        <v>80.459999999999994</v>
      </c>
      <c r="BI94" s="75">
        <v>45884.625</v>
      </c>
      <c r="BJ94" s="54">
        <v>109.74</v>
      </c>
      <c r="BM94" s="75">
        <v>45884.625</v>
      </c>
      <c r="BN94" s="54">
        <v>102.609375</v>
      </c>
      <c r="BO94" s="75">
        <v>45884.625</v>
      </c>
      <c r="BP94" s="54">
        <v>95.359375</v>
      </c>
      <c r="BY94" s="75"/>
      <c r="CA94" s="129">
        <v>45890.625</v>
      </c>
      <c r="CB94" s="54">
        <v>106.9358</v>
      </c>
      <c r="CC94" s="129">
        <v>45890.625</v>
      </c>
      <c r="CD94" s="54">
        <v>51.694000000000003</v>
      </c>
      <c r="CO94" s="129">
        <v>45887.625</v>
      </c>
      <c r="CP94" s="54">
        <v>260.94299999999998</v>
      </c>
      <c r="CQ94" s="129">
        <v>45887.625</v>
      </c>
      <c r="CR94" s="54">
        <v>51.783999999999999</v>
      </c>
    </row>
    <row r="95" spans="1:96" x14ac:dyDescent="0.3">
      <c r="U95" s="75">
        <v>45888.625</v>
      </c>
      <c r="V95" s="54">
        <v>94.8</v>
      </c>
      <c r="W95" s="75">
        <v>45884.625</v>
      </c>
      <c r="X95" s="54">
        <v>100.946</v>
      </c>
      <c r="Y95" s="125">
        <v>45898.625</v>
      </c>
      <c r="Z95" s="54">
        <v>120.25</v>
      </c>
      <c r="BE95" s="75">
        <v>45887.625</v>
      </c>
      <c r="BF95" s="54">
        <v>80.400000000000006</v>
      </c>
      <c r="BI95" s="75">
        <v>45887.625</v>
      </c>
      <c r="BJ95" s="54">
        <v>109.54</v>
      </c>
      <c r="BM95" s="75">
        <v>45887.625</v>
      </c>
      <c r="BN95" s="54">
        <v>102.484375</v>
      </c>
      <c r="BO95" s="75">
        <v>45887.625</v>
      </c>
      <c r="BP95" s="54">
        <v>95.0625</v>
      </c>
      <c r="CA95" s="129">
        <v>45891.625</v>
      </c>
      <c r="CB95" s="54">
        <v>107.5735</v>
      </c>
      <c r="CC95" s="129">
        <v>45891.625</v>
      </c>
      <c r="CD95" s="54">
        <v>49.182000000000002</v>
      </c>
      <c r="CO95" s="129">
        <v>45888.625</v>
      </c>
      <c r="CP95" s="54">
        <v>260.10500000000002</v>
      </c>
      <c r="CQ95" s="129">
        <v>45888.625</v>
      </c>
      <c r="CR95" s="54">
        <v>51.459000000000003</v>
      </c>
    </row>
    <row r="96" spans="1:96" x14ac:dyDescent="0.3">
      <c r="U96" s="75">
        <v>45889.625</v>
      </c>
      <c r="V96" s="54">
        <v>94.64</v>
      </c>
      <c r="W96" s="75">
        <v>45887.625</v>
      </c>
      <c r="X96" s="54">
        <v>100.953</v>
      </c>
      <c r="Y96" s="125">
        <v>45901.625</v>
      </c>
      <c r="Z96" s="54">
        <v>120.1</v>
      </c>
      <c r="BE96" s="75">
        <v>45888.625</v>
      </c>
      <c r="BF96" s="54">
        <v>80.38</v>
      </c>
      <c r="BI96" s="75">
        <v>45888.625</v>
      </c>
      <c r="BJ96" s="54">
        <v>109.71</v>
      </c>
      <c r="BM96" s="75">
        <v>45888.625</v>
      </c>
      <c r="BN96" s="54">
        <v>102.765625</v>
      </c>
      <c r="BO96" s="75">
        <v>45888.625</v>
      </c>
      <c r="BP96" s="54">
        <v>95.625</v>
      </c>
      <c r="CA96" s="129">
        <v>45894.625</v>
      </c>
      <c r="CB96" s="54">
        <v>107.43819999999999</v>
      </c>
      <c r="CC96" s="129">
        <v>45894.625</v>
      </c>
      <c r="CD96" s="54">
        <v>49.68</v>
      </c>
      <c r="CO96" s="129">
        <v>45889.625</v>
      </c>
      <c r="CP96" s="54">
        <v>265.99299999999999</v>
      </c>
      <c r="CQ96" s="129">
        <v>45889.625</v>
      </c>
      <c r="CR96" s="54">
        <v>52.55</v>
      </c>
    </row>
    <row r="97" spans="21:96" x14ac:dyDescent="0.3">
      <c r="U97" s="75">
        <v>45890.625</v>
      </c>
      <c r="V97" s="54">
        <v>94.47</v>
      </c>
      <c r="W97" s="75">
        <v>45888.625</v>
      </c>
      <c r="X97" s="54">
        <v>100.99</v>
      </c>
      <c r="Y97" s="125">
        <v>45902.625</v>
      </c>
      <c r="Z97" s="54">
        <v>119.81</v>
      </c>
      <c r="BE97" s="75">
        <v>45889.625</v>
      </c>
      <c r="BF97" s="54">
        <v>80.349999999999994</v>
      </c>
      <c r="BI97" s="75">
        <v>45889.625</v>
      </c>
      <c r="BJ97" s="54">
        <v>109.76</v>
      </c>
      <c r="BM97" s="75">
        <v>45889.625</v>
      </c>
      <c r="BN97" s="54">
        <v>102.890625</v>
      </c>
      <c r="BO97" s="75">
        <v>45889.625</v>
      </c>
      <c r="BP97" s="54">
        <v>95.78125</v>
      </c>
      <c r="CA97" s="129">
        <v>45895.625</v>
      </c>
      <c r="CB97" s="54">
        <v>107.50369999999999</v>
      </c>
      <c r="CC97" s="129">
        <v>45895.625</v>
      </c>
      <c r="CD97" s="54">
        <v>49.631</v>
      </c>
      <c r="CO97" s="129">
        <v>45890.625</v>
      </c>
      <c r="CP97" s="54">
        <v>266.79599999999999</v>
      </c>
      <c r="CQ97" s="129">
        <v>45890.625</v>
      </c>
      <c r="CR97" s="54">
        <v>52.808999999999997</v>
      </c>
    </row>
    <row r="98" spans="21:96" x14ac:dyDescent="0.3">
      <c r="U98" s="75">
        <v>45891.625</v>
      </c>
      <c r="V98" s="54">
        <v>94.76</v>
      </c>
      <c r="W98" s="75">
        <v>45889.625</v>
      </c>
      <c r="X98" s="54">
        <v>101.083</v>
      </c>
      <c r="Y98" s="125">
        <v>45903.625</v>
      </c>
      <c r="Z98" s="54">
        <v>120.08</v>
      </c>
      <c r="BE98" s="75">
        <v>45890.625</v>
      </c>
      <c r="BF98" s="54">
        <v>80.2</v>
      </c>
      <c r="BI98" s="75">
        <v>45890.625</v>
      </c>
      <c r="BJ98" s="54">
        <v>109.34</v>
      </c>
      <c r="BM98" s="75">
        <v>45890.625</v>
      </c>
      <c r="BN98" s="54">
        <v>102.5625</v>
      </c>
      <c r="BO98" s="75">
        <v>45890.625</v>
      </c>
      <c r="BP98" s="54">
        <v>95.3125</v>
      </c>
      <c r="CA98" s="129">
        <v>45896.625</v>
      </c>
      <c r="CB98" s="54">
        <v>107.3715</v>
      </c>
      <c r="CC98" s="129">
        <v>45896.625</v>
      </c>
      <c r="CD98" s="54">
        <v>50.168999999999997</v>
      </c>
      <c r="CO98" s="129">
        <v>45891.625</v>
      </c>
      <c r="CP98" s="54">
        <v>261.90800000000002</v>
      </c>
      <c r="CQ98" s="129">
        <v>45891.625</v>
      </c>
      <c r="CR98" s="54">
        <v>51.709000000000003</v>
      </c>
    </row>
    <row r="99" spans="21:96" x14ac:dyDescent="0.3">
      <c r="U99" s="75">
        <v>45895.625</v>
      </c>
      <c r="V99" s="54">
        <v>94.59</v>
      </c>
      <c r="W99" s="75">
        <v>45890.625</v>
      </c>
      <c r="X99" s="54">
        <v>100.955</v>
      </c>
      <c r="Y99" s="125">
        <v>45904.625</v>
      </c>
      <c r="Z99" s="54">
        <v>120.3</v>
      </c>
      <c r="BE99" s="75">
        <v>45891.625</v>
      </c>
      <c r="BF99" s="54">
        <v>80.849999999999994</v>
      </c>
      <c r="BI99" s="75">
        <v>45891.625</v>
      </c>
      <c r="BJ99" s="54">
        <v>110.2</v>
      </c>
      <c r="BM99" s="75">
        <v>45891.625</v>
      </c>
      <c r="BN99" s="54">
        <v>103.125</v>
      </c>
      <c r="BO99" s="75">
        <v>45891.625</v>
      </c>
      <c r="BP99" s="54">
        <v>95.9375</v>
      </c>
      <c r="CA99" s="129">
        <v>45897.625</v>
      </c>
      <c r="CB99" s="54">
        <v>107.40689999999999</v>
      </c>
      <c r="CC99" s="129">
        <v>45897.625</v>
      </c>
      <c r="CD99" s="54">
        <v>50.031999999999996</v>
      </c>
      <c r="CO99" s="129">
        <v>45895.625</v>
      </c>
      <c r="CP99" s="54">
        <v>267.59399999999999</v>
      </c>
      <c r="CQ99" s="129">
        <v>45895.625</v>
      </c>
      <c r="CR99" s="54">
        <v>53.003</v>
      </c>
    </row>
    <row r="100" spans="21:96" x14ac:dyDescent="0.3">
      <c r="U100" s="75">
        <v>45896.625</v>
      </c>
      <c r="V100" s="54">
        <v>94.56</v>
      </c>
      <c r="W100" s="75">
        <v>45891.625</v>
      </c>
      <c r="X100" s="54">
        <v>101.027</v>
      </c>
      <c r="Y100" s="125">
        <v>45905.625</v>
      </c>
      <c r="Z100" s="54">
        <v>120.64</v>
      </c>
      <c r="BE100" s="75">
        <v>45894.625</v>
      </c>
      <c r="BF100" s="54">
        <v>80.69</v>
      </c>
      <c r="BI100" s="75">
        <v>45894.625</v>
      </c>
      <c r="BJ100" s="54">
        <v>109.91</v>
      </c>
      <c r="BM100" s="75">
        <v>45894.625</v>
      </c>
      <c r="BN100" s="54">
        <v>102.9375</v>
      </c>
      <c r="BO100" s="75">
        <v>45894.625</v>
      </c>
      <c r="BP100" s="54">
        <v>95.71875</v>
      </c>
      <c r="CA100" s="129">
        <v>45898.625</v>
      </c>
      <c r="CB100" s="54">
        <v>107.20489999999999</v>
      </c>
      <c r="CC100" s="129">
        <v>45898.625</v>
      </c>
      <c r="CD100" s="54">
        <v>50.929000000000002</v>
      </c>
      <c r="CO100" s="129">
        <v>45896.625</v>
      </c>
      <c r="CP100" s="54">
        <v>274.23899999999998</v>
      </c>
      <c r="CQ100" s="129">
        <v>45896.625</v>
      </c>
      <c r="CR100" s="54">
        <v>54.777000000000001</v>
      </c>
    </row>
    <row r="101" spans="21:96" x14ac:dyDescent="0.3">
      <c r="U101" s="75">
        <v>45897.625</v>
      </c>
      <c r="V101" s="54">
        <v>94.44</v>
      </c>
      <c r="W101" s="75">
        <v>45894.625</v>
      </c>
      <c r="X101" s="54">
        <v>100.916</v>
      </c>
      <c r="Y101" s="125">
        <v>45908.625</v>
      </c>
      <c r="Z101" s="54">
        <v>120.74</v>
      </c>
      <c r="BE101" s="75">
        <v>45895.625</v>
      </c>
      <c r="BF101" s="54">
        <v>80.87</v>
      </c>
      <c r="BI101" s="75">
        <v>45895.625</v>
      </c>
      <c r="BJ101" s="54">
        <v>109.99</v>
      </c>
      <c r="BM101" s="75">
        <v>45895.625</v>
      </c>
      <c r="BN101" s="54">
        <v>103.171875</v>
      </c>
      <c r="BO101" s="75">
        <v>45895.625</v>
      </c>
      <c r="BP101" s="54">
        <v>95.609375</v>
      </c>
      <c r="CA101" s="129">
        <v>45902.625</v>
      </c>
      <c r="CB101" s="54">
        <v>107.1491</v>
      </c>
      <c r="CC101" s="129">
        <v>45902.625</v>
      </c>
      <c r="CD101" s="54">
        <v>51.244999999999997</v>
      </c>
      <c r="CO101" s="129">
        <v>45897.625</v>
      </c>
      <c r="CP101" s="54">
        <v>264.39100000000002</v>
      </c>
      <c r="CQ101" s="129">
        <v>45897.625</v>
      </c>
      <c r="CR101" s="54">
        <v>54.683</v>
      </c>
    </row>
    <row r="102" spans="21:96" x14ac:dyDescent="0.3">
      <c r="U102" s="75">
        <v>45898.625</v>
      </c>
      <c r="V102" s="54">
        <v>94.44</v>
      </c>
      <c r="W102" s="75">
        <v>45895.625</v>
      </c>
      <c r="X102" s="54">
        <v>101.051</v>
      </c>
      <c r="Y102" s="125">
        <v>45909.625</v>
      </c>
      <c r="Z102" s="54">
        <v>120.66</v>
      </c>
      <c r="BE102" s="75">
        <v>45896.625</v>
      </c>
      <c r="BF102" s="54">
        <v>80.97</v>
      </c>
      <c r="BI102" s="75">
        <v>45896.625</v>
      </c>
      <c r="BJ102" s="54">
        <v>110.03</v>
      </c>
      <c r="BM102" s="75">
        <v>45896.625</v>
      </c>
      <c r="BN102" s="54">
        <v>103.34375</v>
      </c>
      <c r="BO102" s="75">
        <v>45896.625</v>
      </c>
      <c r="BP102" s="54">
        <v>95.46875</v>
      </c>
      <c r="CA102" s="129">
        <v>45903.625</v>
      </c>
      <c r="CB102" s="54">
        <v>107.15860000000001</v>
      </c>
      <c r="CC102" s="129">
        <v>45903.625</v>
      </c>
      <c r="CD102" s="54">
        <v>50.915999999999997</v>
      </c>
      <c r="CO102" s="129">
        <v>45898.625</v>
      </c>
      <c r="CP102" s="54">
        <v>267.71499999999997</v>
      </c>
      <c r="CQ102" s="129">
        <v>45898.625</v>
      </c>
      <c r="CR102" s="54">
        <v>55.435000000000002</v>
      </c>
    </row>
    <row r="103" spans="21:96" x14ac:dyDescent="0.3">
      <c r="U103" s="75">
        <v>45901.625</v>
      </c>
      <c r="V103" s="54">
        <v>94.4</v>
      </c>
      <c r="W103" s="75">
        <v>45896.625</v>
      </c>
      <c r="X103" s="54">
        <v>101.142</v>
      </c>
      <c r="Y103" s="125">
        <v>45910.625</v>
      </c>
      <c r="Z103" s="54">
        <v>120.75</v>
      </c>
      <c r="BE103" s="75">
        <v>45897.625</v>
      </c>
      <c r="BF103" s="54">
        <v>81.010000000000005</v>
      </c>
      <c r="BI103" s="75">
        <v>45897.625</v>
      </c>
      <c r="BJ103" s="54">
        <v>110.2</v>
      </c>
      <c r="BM103" s="75">
        <v>45897.625</v>
      </c>
      <c r="BN103" s="54">
        <v>103.59375</v>
      </c>
      <c r="BO103" s="75">
        <v>45897.625</v>
      </c>
      <c r="BP103" s="54">
        <v>96.0625</v>
      </c>
      <c r="CA103" s="129">
        <v>45904.625</v>
      </c>
      <c r="CB103" s="54">
        <v>107.4136</v>
      </c>
      <c r="CC103" s="129">
        <v>45904.625</v>
      </c>
      <c r="CD103" s="54">
        <v>49.465000000000003</v>
      </c>
      <c r="CO103" s="129">
        <v>45901.625</v>
      </c>
      <c r="CP103" s="54">
        <v>268.10199999999998</v>
      </c>
      <c r="CQ103" s="129">
        <v>45901.625</v>
      </c>
      <c r="CR103" s="54">
        <v>55.500999999999998</v>
      </c>
    </row>
    <row r="104" spans="21:96" x14ac:dyDescent="0.3">
      <c r="U104" s="75">
        <v>45902.625</v>
      </c>
      <c r="V104" s="54">
        <v>94.24</v>
      </c>
      <c r="W104" s="75">
        <v>45897.625</v>
      </c>
      <c r="X104" s="54">
        <v>101.092</v>
      </c>
      <c r="Y104" s="125">
        <v>45911.625</v>
      </c>
      <c r="Z104" s="54">
        <v>120.76</v>
      </c>
      <c r="BE104" s="75">
        <v>45898.625</v>
      </c>
      <c r="BF104" s="54">
        <v>80.86</v>
      </c>
      <c r="BI104" s="75">
        <v>45898.625</v>
      </c>
      <c r="BJ104" s="54">
        <v>109.83</v>
      </c>
      <c r="BM104" s="75">
        <v>45898.625</v>
      </c>
      <c r="BN104" s="54">
        <v>103.453125</v>
      </c>
      <c r="BO104" s="75">
        <v>45898.625</v>
      </c>
      <c r="BP104" s="54">
        <v>95.375</v>
      </c>
      <c r="CA104" s="129">
        <v>45905.625</v>
      </c>
      <c r="CB104" s="54">
        <v>107.2762</v>
      </c>
      <c r="CC104" s="129">
        <v>45905.625</v>
      </c>
      <c r="CD104" s="54">
        <v>50.021000000000001</v>
      </c>
      <c r="CO104" s="129">
        <v>45902.625</v>
      </c>
      <c r="CP104" s="54">
        <v>274.209</v>
      </c>
      <c r="CQ104" s="129">
        <v>45902.625</v>
      </c>
      <c r="CR104" s="54">
        <v>56.918999999999997</v>
      </c>
    </row>
    <row r="105" spans="21:96" x14ac:dyDescent="0.3">
      <c r="U105" s="75">
        <v>45903.625</v>
      </c>
      <c r="V105" s="54">
        <v>94.38</v>
      </c>
      <c r="W105" s="75">
        <v>45898.625</v>
      </c>
      <c r="X105" s="54">
        <v>101.096</v>
      </c>
      <c r="Y105" s="125">
        <v>45912.625</v>
      </c>
      <c r="Z105" s="54">
        <v>120.63</v>
      </c>
      <c r="BE105" s="75">
        <v>45902.625</v>
      </c>
      <c r="BF105" s="54">
        <v>80.39</v>
      </c>
      <c r="BI105" s="75">
        <v>45902.625</v>
      </c>
      <c r="BJ105" s="54">
        <v>109.05</v>
      </c>
      <c r="BM105" s="75">
        <v>45901.625</v>
      </c>
      <c r="BN105" s="54">
        <v>103.40625</v>
      </c>
      <c r="BO105" s="75">
        <v>45901.625</v>
      </c>
      <c r="BP105" s="54">
        <v>95.28125</v>
      </c>
      <c r="CA105" s="129">
        <v>45908.625</v>
      </c>
      <c r="CB105" s="54">
        <v>107.2625</v>
      </c>
      <c r="CC105" s="129">
        <v>45908.625</v>
      </c>
      <c r="CD105" s="54">
        <v>49.890999999999998</v>
      </c>
      <c r="CO105" s="129">
        <v>45903.625</v>
      </c>
      <c r="CP105" s="54">
        <v>267.14</v>
      </c>
      <c r="CQ105" s="129">
        <v>45903.625</v>
      </c>
      <c r="CR105" s="54">
        <v>55.265000000000001</v>
      </c>
    </row>
    <row r="106" spans="21:96" x14ac:dyDescent="0.3">
      <c r="U106" s="75">
        <v>45904.625</v>
      </c>
      <c r="V106" s="54">
        <v>94.54</v>
      </c>
      <c r="W106" s="75">
        <v>45901.625</v>
      </c>
      <c r="X106" s="54">
        <v>101.01900000000001</v>
      </c>
      <c r="Y106" s="125">
        <v>45915.625</v>
      </c>
      <c r="Z106" s="54">
        <v>120.7</v>
      </c>
      <c r="BE106" s="75">
        <v>45903.625</v>
      </c>
      <c r="BF106" s="54">
        <v>80.61</v>
      </c>
      <c r="BI106" s="75">
        <v>45903.625</v>
      </c>
      <c r="BJ106" s="54">
        <v>109.7</v>
      </c>
      <c r="BM106" s="75">
        <v>45902.625</v>
      </c>
      <c r="BN106" s="54">
        <v>103.09375</v>
      </c>
      <c r="BO106" s="75">
        <v>45902.625</v>
      </c>
      <c r="BP106" s="54">
        <v>94.6875</v>
      </c>
      <c r="CA106" s="129">
        <v>45909.625</v>
      </c>
      <c r="CB106" s="54">
        <v>107.24930000000001</v>
      </c>
      <c r="CC106" s="129">
        <v>45909.625</v>
      </c>
      <c r="CD106" s="54">
        <v>49.667000000000002</v>
      </c>
      <c r="CO106" s="129">
        <v>45904.625</v>
      </c>
      <c r="CP106" s="54">
        <v>264.74099999999999</v>
      </c>
      <c r="CQ106" s="129">
        <v>45904.625</v>
      </c>
      <c r="CR106" s="54">
        <v>54.372999999999998</v>
      </c>
    </row>
    <row r="107" spans="21:96" x14ac:dyDescent="0.3">
      <c r="U107" s="75">
        <v>45905.625</v>
      </c>
      <c r="V107" s="54">
        <v>94.64</v>
      </c>
      <c r="W107" s="75">
        <v>45902.625</v>
      </c>
      <c r="X107" s="54">
        <v>100.976</v>
      </c>
      <c r="Y107" s="125">
        <v>45916.625</v>
      </c>
      <c r="Z107" s="54">
        <v>120.66</v>
      </c>
      <c r="BE107" s="75">
        <v>45904.625</v>
      </c>
      <c r="BF107" s="54">
        <v>80.819999999999993</v>
      </c>
      <c r="BI107" s="75">
        <v>45904.625</v>
      </c>
      <c r="BJ107" s="54">
        <v>110.45</v>
      </c>
      <c r="BM107" s="75">
        <v>45903.625</v>
      </c>
      <c r="BN107" s="54">
        <v>103.46875</v>
      </c>
      <c r="BO107" s="75">
        <v>45903.625</v>
      </c>
      <c r="BP107" s="54">
        <v>95.6875</v>
      </c>
      <c r="CA107" s="129">
        <v>45910.625</v>
      </c>
      <c r="CB107" s="54">
        <v>107.3793</v>
      </c>
      <c r="CC107" s="129">
        <v>45910.625</v>
      </c>
      <c r="CD107" s="54">
        <v>49.031999999999996</v>
      </c>
      <c r="CO107" s="129">
        <v>45905.625</v>
      </c>
      <c r="CP107" s="54">
        <v>263.56599999999997</v>
      </c>
      <c r="CQ107" s="129">
        <v>45905.625</v>
      </c>
      <c r="CR107" s="54">
        <v>54.095999999999997</v>
      </c>
    </row>
    <row r="108" spans="21:96" x14ac:dyDescent="0.3">
      <c r="U108" s="75">
        <v>45908.625</v>
      </c>
      <c r="V108" s="54">
        <v>94.65</v>
      </c>
      <c r="W108" s="75">
        <v>45903.625</v>
      </c>
      <c r="X108" s="54">
        <v>101.038</v>
      </c>
      <c r="Y108" s="125">
        <v>45917.625</v>
      </c>
      <c r="Z108" s="54">
        <v>120.67</v>
      </c>
      <c r="BE108" s="75">
        <v>45905.625</v>
      </c>
      <c r="BF108" s="54">
        <v>80.87</v>
      </c>
      <c r="BI108" s="75">
        <v>45905.625</v>
      </c>
      <c r="BJ108" s="54">
        <v>111.17</v>
      </c>
      <c r="BM108" s="75">
        <v>45904.625</v>
      </c>
      <c r="BN108" s="54">
        <v>103.9375</v>
      </c>
      <c r="BO108" s="75">
        <v>45904.625</v>
      </c>
      <c r="BP108" s="54">
        <v>96.328125</v>
      </c>
      <c r="CA108" s="129">
        <v>45911.625</v>
      </c>
      <c r="CB108" s="54">
        <v>107.7234</v>
      </c>
      <c r="CC108" s="129">
        <v>45911.625</v>
      </c>
      <c r="CD108" s="54">
        <v>47.65</v>
      </c>
      <c r="CO108" s="129">
        <v>45908.625</v>
      </c>
      <c r="CP108" s="54">
        <v>261.50299999999999</v>
      </c>
      <c r="CQ108" s="129">
        <v>45908.625</v>
      </c>
      <c r="CR108" s="54">
        <v>53.42</v>
      </c>
    </row>
    <row r="109" spans="21:96" x14ac:dyDescent="0.3">
      <c r="U109" s="75">
        <v>45909.625</v>
      </c>
      <c r="V109" s="54">
        <v>94.54</v>
      </c>
      <c r="W109" s="75">
        <v>45904.625</v>
      </c>
      <c r="X109" s="54">
        <v>101.06399999999999</v>
      </c>
      <c r="Y109" s="125">
        <v>45918.625</v>
      </c>
      <c r="Z109" s="54">
        <v>120.7</v>
      </c>
      <c r="BE109" s="75">
        <v>45908.625</v>
      </c>
      <c r="BF109" s="54">
        <v>80.87</v>
      </c>
      <c r="BI109" s="75">
        <v>45908.625</v>
      </c>
      <c r="BJ109" s="54">
        <v>111.56</v>
      </c>
      <c r="BM109" s="75">
        <v>45905.625</v>
      </c>
      <c r="BN109" s="54">
        <v>104.5</v>
      </c>
      <c r="BO109" s="75">
        <v>45905.625</v>
      </c>
      <c r="BP109" s="54">
        <v>97.703125</v>
      </c>
      <c r="CA109" s="129">
        <v>45912.625</v>
      </c>
      <c r="CB109" s="54">
        <v>107.64149999999999</v>
      </c>
      <c r="CC109" s="129">
        <v>45912.625</v>
      </c>
      <c r="CD109" s="54">
        <v>47.94</v>
      </c>
      <c r="CO109" s="129">
        <v>45909.625</v>
      </c>
      <c r="CP109" s="54">
        <v>261.88799999999998</v>
      </c>
      <c r="CQ109" s="129">
        <v>45909.625</v>
      </c>
      <c r="CR109" s="54">
        <v>53.2</v>
      </c>
    </row>
    <row r="110" spans="21:96" x14ac:dyDescent="0.3">
      <c r="U110" s="75">
        <v>45910.625</v>
      </c>
      <c r="V110" s="54">
        <v>94.53</v>
      </c>
      <c r="W110" s="75">
        <v>45905.625</v>
      </c>
      <c r="X110" s="54">
        <v>101.19</v>
      </c>
      <c r="Y110" s="125">
        <v>45919.625</v>
      </c>
      <c r="Z110" s="54">
        <v>120.71</v>
      </c>
      <c r="BE110" s="75">
        <v>45909.625</v>
      </c>
      <c r="BF110" s="54">
        <v>80.78</v>
      </c>
      <c r="BI110" s="75">
        <v>45909.625</v>
      </c>
      <c r="BJ110" s="54">
        <v>111.36</v>
      </c>
      <c r="BM110" s="75">
        <v>45908.625</v>
      </c>
      <c r="BN110" s="54">
        <v>104.828125</v>
      </c>
      <c r="BO110" s="75">
        <v>45908.625</v>
      </c>
      <c r="BP110" s="54">
        <v>98.953125</v>
      </c>
      <c r="CA110" s="129">
        <v>45915.625</v>
      </c>
      <c r="CB110" s="54">
        <v>107.8558</v>
      </c>
      <c r="CC110" s="129">
        <v>45915.625</v>
      </c>
      <c r="CD110" s="54">
        <v>47.017000000000003</v>
      </c>
      <c r="CO110" s="129">
        <v>45910.625</v>
      </c>
      <c r="CP110" s="54">
        <v>258.988</v>
      </c>
      <c r="CQ110" s="129">
        <v>45910.625</v>
      </c>
      <c r="CR110" s="54">
        <v>52.481000000000002</v>
      </c>
    </row>
    <row r="111" spans="21:96" x14ac:dyDescent="0.3">
      <c r="U111" s="75">
        <v>45911.625</v>
      </c>
      <c r="V111" s="54">
        <v>92.29</v>
      </c>
      <c r="W111" s="75">
        <v>45908.625</v>
      </c>
      <c r="X111" s="54">
        <v>101.23099999999999</v>
      </c>
      <c r="Y111" s="125">
        <v>45922.625</v>
      </c>
      <c r="Z111" s="54">
        <v>120.61</v>
      </c>
      <c r="BE111" s="75">
        <v>45910.625</v>
      </c>
      <c r="BF111" s="54">
        <v>80.84</v>
      </c>
      <c r="BI111" s="75">
        <v>45910.625</v>
      </c>
      <c r="BJ111" s="54">
        <v>111.69</v>
      </c>
      <c r="BM111" s="75">
        <v>45909.625</v>
      </c>
      <c r="BN111" s="54">
        <v>104.5625</v>
      </c>
      <c r="BO111" s="75">
        <v>45909.625</v>
      </c>
      <c r="BP111" s="54">
        <v>98.421875</v>
      </c>
      <c r="CA111" s="129">
        <v>45916.625</v>
      </c>
      <c r="CB111" s="54">
        <v>107.8259</v>
      </c>
      <c r="CC111" s="129">
        <v>45916.625</v>
      </c>
      <c r="CD111" s="54">
        <v>47.42</v>
      </c>
      <c r="CO111" s="129">
        <v>45911.625</v>
      </c>
      <c r="CP111" s="54">
        <v>253.00800000000001</v>
      </c>
      <c r="CQ111" s="129">
        <v>45911.625</v>
      </c>
      <c r="CR111" s="54">
        <v>51.143000000000001</v>
      </c>
    </row>
    <row r="112" spans="21:96" x14ac:dyDescent="0.3">
      <c r="U112" s="75">
        <v>45912.625</v>
      </c>
      <c r="V112" s="54">
        <v>92.46</v>
      </c>
      <c r="W112" s="75">
        <v>45909.625</v>
      </c>
      <c r="X112" s="54">
        <v>101.163</v>
      </c>
      <c r="Y112" s="125">
        <v>45923.625</v>
      </c>
      <c r="Z112" s="54">
        <v>120.6</v>
      </c>
      <c r="BE112" s="75">
        <v>45911.625</v>
      </c>
      <c r="BF112" s="54">
        <v>81.040000000000006</v>
      </c>
      <c r="BI112" s="75">
        <v>45911.625</v>
      </c>
      <c r="BJ112" s="54">
        <v>112.21</v>
      </c>
      <c r="BM112" s="75">
        <v>45910.625</v>
      </c>
      <c r="BN112" s="54">
        <v>104.875</v>
      </c>
      <c r="BO112" s="75">
        <v>45910.625</v>
      </c>
      <c r="BP112" s="54">
        <v>98.921875</v>
      </c>
      <c r="CA112" s="129">
        <v>45917.625</v>
      </c>
      <c r="CB112" s="54">
        <v>107.72799999999999</v>
      </c>
      <c r="CC112" s="129">
        <v>45917.625</v>
      </c>
      <c r="CD112" s="54">
        <v>47.936999999999998</v>
      </c>
      <c r="CO112" s="129">
        <v>45912.625</v>
      </c>
      <c r="CP112" s="54">
        <v>252.27</v>
      </c>
      <c r="CQ112" s="129">
        <v>45912.625</v>
      </c>
      <c r="CR112" s="54">
        <v>50.945999999999998</v>
      </c>
    </row>
    <row r="113" spans="21:96" x14ac:dyDescent="0.3">
      <c r="U113" s="75">
        <v>45915.625</v>
      </c>
      <c r="V113" s="54">
        <v>92.46</v>
      </c>
      <c r="W113" s="75">
        <v>45910.625</v>
      </c>
      <c r="X113" s="54">
        <v>101.126</v>
      </c>
      <c r="Y113" s="125">
        <v>45924.625</v>
      </c>
      <c r="Z113" s="54">
        <v>120.67</v>
      </c>
      <c r="BE113" s="75">
        <v>45912.625</v>
      </c>
      <c r="BF113" s="54">
        <v>80.959999999999994</v>
      </c>
      <c r="BI113" s="75">
        <v>45912.625</v>
      </c>
      <c r="BJ113" s="54">
        <v>112.01</v>
      </c>
      <c r="BM113" s="75">
        <v>45911.625</v>
      </c>
      <c r="BN113" s="54">
        <v>105.046875</v>
      </c>
      <c r="BO113" s="75">
        <v>45911.625</v>
      </c>
      <c r="BP113" s="54">
        <v>99.578125</v>
      </c>
      <c r="CA113" s="129">
        <v>45918.625</v>
      </c>
      <c r="CB113" s="54">
        <v>107.9539</v>
      </c>
      <c r="CC113" s="129">
        <v>45918.625</v>
      </c>
      <c r="CD113" s="54">
        <v>46.959000000000003</v>
      </c>
      <c r="CO113" s="129">
        <v>45915.625</v>
      </c>
      <c r="CP113" s="54">
        <v>247.80699999999999</v>
      </c>
      <c r="CQ113" s="129">
        <v>45915.625</v>
      </c>
      <c r="CR113" s="54">
        <v>50.042000000000002</v>
      </c>
    </row>
    <row r="114" spans="21:96" x14ac:dyDescent="0.3">
      <c r="U114" s="75">
        <v>45916.625</v>
      </c>
      <c r="V114" s="54">
        <v>92.35</v>
      </c>
      <c r="W114" s="75">
        <v>45911.625</v>
      </c>
      <c r="X114" s="54">
        <v>101.012</v>
      </c>
      <c r="Y114" s="125">
        <v>45925.625</v>
      </c>
      <c r="Z114" s="54">
        <v>120.43</v>
      </c>
      <c r="BE114" s="75">
        <v>45915.625</v>
      </c>
      <c r="BF114" s="54">
        <v>81.19</v>
      </c>
      <c r="BI114" s="75">
        <v>45915.625</v>
      </c>
      <c r="BJ114" s="54">
        <v>112.36</v>
      </c>
      <c r="BM114" s="75">
        <v>45912.625</v>
      </c>
      <c r="BN114" s="54">
        <v>104.71875</v>
      </c>
      <c r="BO114" s="75">
        <v>45912.625</v>
      </c>
      <c r="BP114" s="54">
        <v>99.140625</v>
      </c>
      <c r="CA114" s="129">
        <v>45919.625</v>
      </c>
      <c r="CB114" s="54">
        <v>107.8977</v>
      </c>
      <c r="CC114" s="129">
        <v>45919.625</v>
      </c>
      <c r="CD114" s="54">
        <v>47.231000000000002</v>
      </c>
      <c r="CO114" s="129">
        <v>45916.625</v>
      </c>
      <c r="CP114" s="54">
        <v>251.81700000000001</v>
      </c>
      <c r="CQ114" s="129">
        <v>45916.625</v>
      </c>
      <c r="CR114" s="54">
        <v>50.780999999999999</v>
      </c>
    </row>
    <row r="115" spans="21:96" x14ac:dyDescent="0.3">
      <c r="U115" s="75">
        <v>45917.625</v>
      </c>
      <c r="V115" s="54">
        <v>92.39</v>
      </c>
      <c r="W115" s="75">
        <v>45912.625</v>
      </c>
      <c r="X115" s="54">
        <v>100.934</v>
      </c>
      <c r="Y115" s="125">
        <v>45929.625</v>
      </c>
      <c r="Z115" s="54">
        <v>120.76</v>
      </c>
      <c r="BE115" s="75">
        <v>45916.625</v>
      </c>
      <c r="BF115" s="54">
        <v>81.13</v>
      </c>
      <c r="BI115" s="75">
        <v>45916.625</v>
      </c>
      <c r="BJ115" s="54">
        <v>112.26</v>
      </c>
      <c r="BM115" s="75">
        <v>45915.625</v>
      </c>
      <c r="BN115" s="54">
        <v>104.890625</v>
      </c>
      <c r="BO115" s="75">
        <v>45915.625</v>
      </c>
      <c r="BP115" s="54">
        <v>99.390625</v>
      </c>
      <c r="CA115" s="129">
        <v>45922.625</v>
      </c>
      <c r="CB115" s="54">
        <v>107.9379</v>
      </c>
      <c r="CC115" s="129">
        <v>45922.625</v>
      </c>
      <c r="CD115" s="54">
        <v>47.365000000000002</v>
      </c>
      <c r="CO115" s="129">
        <v>45917.625</v>
      </c>
      <c r="CP115" s="54">
        <v>251.23599999999999</v>
      </c>
      <c r="CQ115" s="129">
        <v>45917.625</v>
      </c>
      <c r="CR115" s="54">
        <v>50.738</v>
      </c>
    </row>
    <row r="116" spans="21:96" x14ac:dyDescent="0.3">
      <c r="U116" s="75">
        <v>45918.625</v>
      </c>
      <c r="V116" s="54">
        <v>92.67</v>
      </c>
      <c r="W116" s="75">
        <v>45915.625</v>
      </c>
      <c r="X116" s="54">
        <v>100.944</v>
      </c>
      <c r="Y116" s="125">
        <v>45930.625</v>
      </c>
      <c r="Z116" s="54">
        <v>120.78</v>
      </c>
      <c r="BE116" s="75">
        <v>45917.625</v>
      </c>
      <c r="BF116" s="54">
        <v>81.05</v>
      </c>
      <c r="BI116" s="75">
        <v>45917.625</v>
      </c>
      <c r="BJ116" s="54">
        <v>112.06</v>
      </c>
      <c r="BM116" s="75">
        <v>45916.625</v>
      </c>
      <c r="BN116" s="54">
        <v>104.9375</v>
      </c>
      <c r="BO116" s="75">
        <v>45916.625</v>
      </c>
      <c r="BP116" s="54">
        <v>99.53125</v>
      </c>
      <c r="CA116" s="129">
        <v>45923.625</v>
      </c>
      <c r="CB116" s="54">
        <v>107.82299999999999</v>
      </c>
      <c r="CC116" s="129">
        <v>45923.625</v>
      </c>
      <c r="CD116" s="54">
        <v>47.701000000000001</v>
      </c>
      <c r="CO116" s="129">
        <v>45918.625</v>
      </c>
      <c r="CP116" s="54">
        <v>247.51499999999999</v>
      </c>
      <c r="CQ116" s="129">
        <v>45918.625</v>
      </c>
      <c r="CR116" s="54">
        <v>50.093000000000004</v>
      </c>
    </row>
    <row r="117" spans="21:96" x14ac:dyDescent="0.3">
      <c r="U117" s="75">
        <v>45919.625</v>
      </c>
      <c r="V117" s="54">
        <v>92.67</v>
      </c>
      <c r="W117" s="75">
        <v>45916.625</v>
      </c>
      <c r="X117" s="54">
        <v>100.953</v>
      </c>
      <c r="Y117" s="125">
        <v>45931.625</v>
      </c>
      <c r="Z117" s="54">
        <v>120.85</v>
      </c>
      <c r="BE117" s="75">
        <v>45918.625</v>
      </c>
      <c r="BF117" s="54">
        <v>81.23</v>
      </c>
      <c r="BI117" s="75">
        <v>45918.625</v>
      </c>
      <c r="BJ117" s="54">
        <v>111.83</v>
      </c>
      <c r="BM117" s="75">
        <v>45917.625</v>
      </c>
      <c r="BN117" s="54">
        <v>104.671875</v>
      </c>
      <c r="BO117" s="75">
        <v>45917.625</v>
      </c>
      <c r="BP117" s="54">
        <v>99.34375</v>
      </c>
      <c r="CA117" s="129">
        <v>45924.625</v>
      </c>
      <c r="CB117" s="54">
        <v>107.7465</v>
      </c>
      <c r="CC117" s="129">
        <v>45924.625</v>
      </c>
      <c r="CD117" s="54">
        <v>48.238999999999997</v>
      </c>
      <c r="CO117" s="129">
        <v>45919.625</v>
      </c>
      <c r="CP117" s="54">
        <v>248.51300000000001</v>
      </c>
      <c r="CQ117" s="129">
        <v>45919.625</v>
      </c>
      <c r="CR117" s="54">
        <v>50.19</v>
      </c>
    </row>
    <row r="118" spans="21:96" x14ac:dyDescent="0.3">
      <c r="U118" s="75">
        <v>45922.625</v>
      </c>
      <c r="V118" s="54">
        <v>92.52</v>
      </c>
      <c r="W118" s="75">
        <v>45917.625</v>
      </c>
      <c r="X118" s="54">
        <v>100.971</v>
      </c>
      <c r="Y118" s="125">
        <v>45932.625</v>
      </c>
      <c r="Z118" s="54">
        <v>120.92</v>
      </c>
      <c r="BE118" s="75">
        <v>45919.625</v>
      </c>
      <c r="BF118" s="54">
        <v>81.260000000000005</v>
      </c>
      <c r="BI118" s="75">
        <v>45919.625</v>
      </c>
      <c r="BJ118" s="54">
        <v>111.74</v>
      </c>
      <c r="BM118" s="75">
        <v>45918.625</v>
      </c>
      <c r="BN118" s="54">
        <v>104.296875</v>
      </c>
      <c r="BO118" s="75">
        <v>45918.625</v>
      </c>
      <c r="BP118" s="54">
        <v>98.3125</v>
      </c>
      <c r="CA118" s="129">
        <v>45925.625</v>
      </c>
      <c r="CB118" s="54">
        <v>107.6015</v>
      </c>
      <c r="CC118" s="129">
        <v>45925.625</v>
      </c>
      <c r="CD118" s="54">
        <v>48.945</v>
      </c>
      <c r="CO118" s="129">
        <v>45922.625</v>
      </c>
      <c r="CP118" s="54">
        <v>247.34700000000001</v>
      </c>
      <c r="CQ118" s="129">
        <v>45922.625</v>
      </c>
      <c r="CR118" s="54">
        <v>50.252000000000002</v>
      </c>
    </row>
    <row r="119" spans="21:96" x14ac:dyDescent="0.3">
      <c r="U119" s="75">
        <v>45923.625</v>
      </c>
      <c r="V119" s="54">
        <v>92.67</v>
      </c>
      <c r="W119" s="75">
        <v>45918.625</v>
      </c>
      <c r="X119" s="54">
        <v>100.956</v>
      </c>
      <c r="Y119" s="125">
        <v>45933.625</v>
      </c>
      <c r="Z119" s="54">
        <v>120.97</v>
      </c>
      <c r="BE119" s="75">
        <v>45922.625</v>
      </c>
      <c r="BF119" s="54">
        <v>81.319999999999993</v>
      </c>
      <c r="BI119" s="75">
        <v>45922.625</v>
      </c>
      <c r="BJ119" s="54">
        <v>111.48</v>
      </c>
      <c r="BM119" s="75">
        <v>45919.625</v>
      </c>
      <c r="BN119" s="54">
        <v>104.203125</v>
      </c>
      <c r="BO119" s="75">
        <v>45919.625</v>
      </c>
      <c r="BP119" s="54">
        <v>98.109375</v>
      </c>
      <c r="CA119" s="129">
        <v>45926.625</v>
      </c>
      <c r="CB119" s="54">
        <v>107.7762</v>
      </c>
      <c r="CC119" s="129">
        <v>45926.625</v>
      </c>
      <c r="CD119" s="54">
        <v>48.259</v>
      </c>
      <c r="CO119" s="129">
        <v>45923.625</v>
      </c>
      <c r="CP119" s="54">
        <v>242.93100000000001</v>
      </c>
      <c r="CQ119" s="129">
        <v>45923.625</v>
      </c>
      <c r="CR119" s="54">
        <v>49.594999999999999</v>
      </c>
    </row>
    <row r="120" spans="21:96" x14ac:dyDescent="0.3">
      <c r="U120" s="75">
        <v>45924.625</v>
      </c>
      <c r="V120" s="54">
        <v>92.59</v>
      </c>
      <c r="W120" s="75">
        <v>45919.625</v>
      </c>
      <c r="X120" s="54">
        <v>100.904</v>
      </c>
      <c r="Y120" s="125">
        <v>45936.625</v>
      </c>
      <c r="Z120" s="54">
        <v>120.96</v>
      </c>
      <c r="BE120" s="75">
        <v>45923.625</v>
      </c>
      <c r="BF120" s="54">
        <v>81.260000000000005</v>
      </c>
      <c r="BI120" s="75">
        <v>45923.625</v>
      </c>
      <c r="BJ120" s="54">
        <v>111.71</v>
      </c>
      <c r="BM120" s="75">
        <v>45922.625</v>
      </c>
      <c r="BN120" s="54">
        <v>104.015625</v>
      </c>
      <c r="BO120" s="75">
        <v>45922.625</v>
      </c>
      <c r="BP120" s="54">
        <v>97.71875</v>
      </c>
      <c r="CA120" s="129">
        <v>45929.625</v>
      </c>
      <c r="CB120" s="54">
        <v>107.9713</v>
      </c>
      <c r="CC120" s="129">
        <v>45929.625</v>
      </c>
      <c r="CD120" s="54">
        <v>47.534999999999997</v>
      </c>
      <c r="CO120" s="129">
        <v>45924.625</v>
      </c>
      <c r="CP120" s="54">
        <v>243.08600000000001</v>
      </c>
      <c r="CQ120" s="129">
        <v>45924.625</v>
      </c>
      <c r="CR120" s="54">
        <v>49.652999999999999</v>
      </c>
    </row>
    <row r="121" spans="21:96" x14ac:dyDescent="0.3">
      <c r="U121" s="75">
        <v>45925.625</v>
      </c>
      <c r="V121" s="54">
        <v>92.45</v>
      </c>
      <c r="W121" s="75">
        <v>45922.625</v>
      </c>
      <c r="X121" s="54">
        <v>100.913</v>
      </c>
      <c r="Y121" s="125">
        <v>45937.625</v>
      </c>
      <c r="Z121" s="54">
        <v>120.93</v>
      </c>
      <c r="BE121" s="75">
        <v>45924.625</v>
      </c>
      <c r="BF121" s="54">
        <v>81.150000000000006</v>
      </c>
      <c r="BI121" s="75">
        <v>45924.625</v>
      </c>
      <c r="BJ121" s="54">
        <v>111.26</v>
      </c>
      <c r="BM121" s="75">
        <v>45923.625</v>
      </c>
      <c r="BN121" s="54">
        <v>104.328125</v>
      </c>
      <c r="BO121" s="75">
        <v>45923.625</v>
      </c>
      <c r="BP121" s="54">
        <v>98.40625</v>
      </c>
      <c r="CA121" s="129">
        <v>45930.625</v>
      </c>
      <c r="CB121" s="54">
        <v>107.99469999999999</v>
      </c>
      <c r="CC121" s="129">
        <v>45930.625</v>
      </c>
      <c r="CD121" s="54">
        <v>47.451999999999998</v>
      </c>
      <c r="CO121" s="129">
        <v>45925.625</v>
      </c>
      <c r="CP121" s="54">
        <v>247.20099999999999</v>
      </c>
      <c r="CQ121" s="129">
        <v>45925.625</v>
      </c>
      <c r="CR121" s="54">
        <v>50.735999999999997</v>
      </c>
    </row>
    <row r="122" spans="21:96" x14ac:dyDescent="0.3">
      <c r="U122" s="75">
        <v>45926.625</v>
      </c>
      <c r="V122" s="54">
        <v>92.46</v>
      </c>
      <c r="W122" s="75">
        <v>45923.625</v>
      </c>
      <c r="X122" s="54">
        <v>100.883</v>
      </c>
      <c r="Y122" s="125">
        <v>45938.625</v>
      </c>
      <c r="Z122" s="54">
        <v>121.12</v>
      </c>
      <c r="BE122" s="75">
        <v>45925.625</v>
      </c>
      <c r="BF122" s="54">
        <v>80.92</v>
      </c>
      <c r="BI122" s="75">
        <v>45925.625</v>
      </c>
      <c r="BJ122" s="54">
        <v>111.06</v>
      </c>
      <c r="BM122" s="75">
        <v>45924.625</v>
      </c>
      <c r="BN122" s="54">
        <v>104.03125</v>
      </c>
      <c r="BO122" s="75">
        <v>45924.625</v>
      </c>
      <c r="BP122" s="54">
        <v>98</v>
      </c>
      <c r="CA122" s="129">
        <v>45931.625</v>
      </c>
      <c r="CB122" s="54">
        <v>107.9406</v>
      </c>
      <c r="CC122" s="129">
        <v>45931.625</v>
      </c>
      <c r="CD122" s="54">
        <v>47.582000000000001</v>
      </c>
      <c r="CO122" s="129">
        <v>45926.625</v>
      </c>
      <c r="CP122" s="54">
        <v>244.453</v>
      </c>
      <c r="CQ122" s="129">
        <v>45926.625</v>
      </c>
      <c r="CR122" s="54">
        <v>50.292000000000002</v>
      </c>
    </row>
    <row r="123" spans="21:96" x14ac:dyDescent="0.3">
      <c r="U123" s="75">
        <v>45929.625</v>
      </c>
      <c r="V123" s="54">
        <v>92.5</v>
      </c>
      <c r="W123" s="75">
        <v>45924.625</v>
      </c>
      <c r="X123" s="54">
        <v>100.893</v>
      </c>
      <c r="Y123" s="125">
        <v>45939.625</v>
      </c>
      <c r="Z123" s="54">
        <v>120.99</v>
      </c>
      <c r="BE123" s="75">
        <v>45926.625</v>
      </c>
      <c r="BF123" s="54">
        <v>81.08</v>
      </c>
      <c r="BI123" s="75">
        <v>45926.625</v>
      </c>
      <c r="BJ123" s="54">
        <v>111.21</v>
      </c>
      <c r="BM123" s="75">
        <v>45925.625</v>
      </c>
      <c r="BN123" s="54">
        <v>103.8125</v>
      </c>
      <c r="BO123" s="75">
        <v>45925.625</v>
      </c>
      <c r="BP123" s="54">
        <v>98</v>
      </c>
      <c r="CA123" s="129">
        <v>45932.625</v>
      </c>
      <c r="CB123" s="54">
        <v>107.9785</v>
      </c>
      <c r="CC123" s="129">
        <v>45932.625</v>
      </c>
      <c r="CD123" s="54">
        <v>47.204999999999998</v>
      </c>
      <c r="CO123" s="129">
        <v>45929.625</v>
      </c>
      <c r="CP123" s="54">
        <v>241.69499999999999</v>
      </c>
      <c r="CQ123" s="129">
        <v>45929.625</v>
      </c>
      <c r="CR123" s="54">
        <v>49.634</v>
      </c>
    </row>
    <row r="124" spans="21:96" x14ac:dyDescent="0.3">
      <c r="U124" s="75">
        <v>45930.625</v>
      </c>
      <c r="V124" s="54">
        <v>92.47</v>
      </c>
      <c r="W124" s="75">
        <v>45925.625</v>
      </c>
      <c r="X124" s="54">
        <v>100.822</v>
      </c>
      <c r="Y124" s="125">
        <v>45940.625</v>
      </c>
      <c r="Z124" s="54">
        <v>121</v>
      </c>
      <c r="BE124" s="75">
        <v>45929.625</v>
      </c>
      <c r="BF124" s="54">
        <v>81.22</v>
      </c>
      <c r="BI124" s="75">
        <v>45929.625</v>
      </c>
      <c r="BJ124" s="54">
        <v>111.58</v>
      </c>
      <c r="BM124" s="75">
        <v>45926.625</v>
      </c>
      <c r="BN124" s="54">
        <v>103.71875</v>
      </c>
      <c r="BO124" s="75">
        <v>45926.625</v>
      </c>
      <c r="BP124" s="54">
        <v>97.890625</v>
      </c>
      <c r="CA124" s="129">
        <v>45933.625</v>
      </c>
      <c r="CB124" s="54">
        <v>107.9615</v>
      </c>
      <c r="CC124" s="129">
        <v>45933.625</v>
      </c>
      <c r="CD124" s="54">
        <v>47.156999999999996</v>
      </c>
      <c r="CO124" s="129">
        <v>45930.625</v>
      </c>
      <c r="CP124" s="54">
        <v>240.52799999999999</v>
      </c>
      <c r="CQ124" s="129">
        <v>45930.625</v>
      </c>
      <c r="CR124" s="54">
        <v>49.851999999999997</v>
      </c>
    </row>
    <row r="125" spans="21:96" x14ac:dyDescent="0.3">
      <c r="U125" s="75">
        <v>45931.625</v>
      </c>
      <c r="V125" s="54">
        <v>92.57</v>
      </c>
      <c r="W125" s="75">
        <v>45926.625</v>
      </c>
      <c r="X125" s="54">
        <v>100.866</v>
      </c>
      <c r="Y125" s="125">
        <v>45943.625</v>
      </c>
      <c r="Z125" s="54">
        <v>121.1</v>
      </c>
      <c r="BE125" s="75">
        <v>45930.625</v>
      </c>
      <c r="BF125" s="54">
        <v>81.19</v>
      </c>
      <c r="BI125" s="75">
        <v>45930.625</v>
      </c>
      <c r="BJ125" s="54">
        <v>111.47</v>
      </c>
      <c r="BM125" s="75">
        <v>45929.625</v>
      </c>
      <c r="BN125" s="54">
        <v>104.015625</v>
      </c>
      <c r="BO125" s="75">
        <v>45929.625</v>
      </c>
      <c r="BP125" s="54">
        <v>98.625</v>
      </c>
      <c r="CA125" s="129">
        <v>45936.625</v>
      </c>
      <c r="CB125" s="54">
        <v>108.1194</v>
      </c>
      <c r="CC125" s="129">
        <v>45936.625</v>
      </c>
      <c r="CD125" s="54">
        <v>46.581000000000003</v>
      </c>
      <c r="CO125" s="129">
        <v>45931.625</v>
      </c>
      <c r="CP125" s="54">
        <v>239.28700000000001</v>
      </c>
      <c r="CQ125" s="129">
        <v>45931.625</v>
      </c>
      <c r="CR125" s="54">
        <v>49.369</v>
      </c>
    </row>
    <row r="126" spans="21:96" x14ac:dyDescent="0.3">
      <c r="U126" s="75">
        <v>45932.625</v>
      </c>
      <c r="V126" s="54">
        <v>92.64</v>
      </c>
      <c r="W126" s="75">
        <v>45929.625</v>
      </c>
      <c r="X126" s="54">
        <v>100.89</v>
      </c>
      <c r="Y126" s="125">
        <v>45944.625</v>
      </c>
      <c r="Z126" s="54">
        <v>121.2</v>
      </c>
      <c r="BE126" s="75">
        <v>45931.625</v>
      </c>
      <c r="BF126" s="54">
        <v>80.959999999999994</v>
      </c>
      <c r="BI126" s="75">
        <v>45931.625</v>
      </c>
      <c r="BJ126" s="54">
        <v>111.51</v>
      </c>
      <c r="BM126" s="75">
        <v>45930.625</v>
      </c>
      <c r="BN126" s="54">
        <v>103.96875</v>
      </c>
      <c r="BO126" s="75">
        <v>45930.625</v>
      </c>
      <c r="BP126" s="54">
        <v>98.328125</v>
      </c>
      <c r="CA126" s="129">
        <v>45937.625</v>
      </c>
      <c r="CB126" s="54">
        <v>108.0094</v>
      </c>
      <c r="CC126" s="129">
        <v>45937.625</v>
      </c>
      <c r="CD126" s="54">
        <v>47.156999999999996</v>
      </c>
      <c r="CO126" s="129">
        <v>45932.625</v>
      </c>
      <c r="CP126" s="54">
        <v>236.33199999999999</v>
      </c>
      <c r="CQ126" s="129">
        <v>45932.625</v>
      </c>
      <c r="CR126" s="54">
        <v>48.860999999999997</v>
      </c>
    </row>
    <row r="127" spans="21:96" x14ac:dyDescent="0.3">
      <c r="U127" s="75">
        <v>45933.625</v>
      </c>
      <c r="V127" s="54">
        <v>92.6</v>
      </c>
      <c r="W127" s="75">
        <v>45930.625</v>
      </c>
      <c r="X127" s="54">
        <v>100.89400000000001</v>
      </c>
      <c r="Y127" s="125">
        <v>45945.625</v>
      </c>
      <c r="Z127" s="54">
        <v>121.62</v>
      </c>
      <c r="BE127" s="75">
        <v>45932.625</v>
      </c>
      <c r="BF127" s="54">
        <v>80.930000000000007</v>
      </c>
      <c r="BI127" s="75">
        <v>45932.625</v>
      </c>
      <c r="BJ127" s="54">
        <v>111.69</v>
      </c>
      <c r="BM127" s="75">
        <v>45931.625</v>
      </c>
      <c r="BN127" s="54">
        <v>104.3125</v>
      </c>
      <c r="BO127" s="75">
        <v>45931.625</v>
      </c>
      <c r="BP127" s="54">
        <v>98.53125</v>
      </c>
      <c r="CA127" s="129">
        <v>45938.625</v>
      </c>
      <c r="CB127" s="54">
        <v>107.92919999999999</v>
      </c>
      <c r="CC127" s="129">
        <v>45938.625</v>
      </c>
      <c r="CD127" s="54">
        <v>47.487000000000002</v>
      </c>
      <c r="CO127" s="129">
        <v>45933.625</v>
      </c>
      <c r="CP127" s="54">
        <v>235.94200000000001</v>
      </c>
      <c r="CQ127" s="129">
        <v>45933.625</v>
      </c>
      <c r="CR127" s="54">
        <v>48.695999999999998</v>
      </c>
    </row>
    <row r="128" spans="21:96" x14ac:dyDescent="0.3">
      <c r="U128" s="75">
        <v>45936.625</v>
      </c>
      <c r="V128" s="54">
        <v>92.49</v>
      </c>
      <c r="W128" s="75">
        <v>45931.625</v>
      </c>
      <c r="X128" s="54">
        <v>100.92</v>
      </c>
      <c r="Y128" s="125">
        <v>45946.625</v>
      </c>
      <c r="Z128" s="54">
        <v>121.6</v>
      </c>
      <c r="BE128" s="75">
        <v>45933.625</v>
      </c>
      <c r="BF128" s="54">
        <v>80.84</v>
      </c>
      <c r="BI128" s="75">
        <v>45933.625</v>
      </c>
      <c r="BJ128" s="54">
        <v>111.55</v>
      </c>
      <c r="BM128" s="75">
        <v>45932.625</v>
      </c>
      <c r="BN128" s="54">
        <v>104.4375</v>
      </c>
      <c r="BO128" s="75">
        <v>45932.625</v>
      </c>
      <c r="BP128" s="54">
        <v>98.8125</v>
      </c>
      <c r="CA128" s="129">
        <v>45939.625</v>
      </c>
      <c r="CB128" s="54">
        <v>107.73399999999999</v>
      </c>
      <c r="CC128" s="129">
        <v>45939.625</v>
      </c>
      <c r="CD128" s="54">
        <v>48.017000000000003</v>
      </c>
      <c r="CO128" s="129">
        <v>45936.625</v>
      </c>
      <c r="CP128" s="54">
        <v>239.226</v>
      </c>
      <c r="CQ128" s="129">
        <v>45936.625</v>
      </c>
      <c r="CR128" s="54">
        <v>49.597000000000001</v>
      </c>
    </row>
    <row r="129" spans="21:96" x14ac:dyDescent="0.3">
      <c r="U129" s="75">
        <v>45937.625</v>
      </c>
      <c r="V129" s="54">
        <v>92.19</v>
      </c>
      <c r="W129" s="75">
        <v>45932.625</v>
      </c>
      <c r="X129" s="54">
        <v>100.905</v>
      </c>
      <c r="Y129" s="125">
        <v>45947.625</v>
      </c>
      <c r="Z129" s="54">
        <v>121.51</v>
      </c>
      <c r="BE129" s="75">
        <v>45936.625</v>
      </c>
      <c r="BF129" s="54">
        <v>80.86</v>
      </c>
      <c r="BI129" s="75">
        <v>45936.625</v>
      </c>
      <c r="BJ129" s="54">
        <v>111.19</v>
      </c>
      <c r="BM129" s="75">
        <v>45933.625</v>
      </c>
      <c r="BN129" s="54">
        <v>104.171875</v>
      </c>
      <c r="BO129" s="75">
        <v>45933.625</v>
      </c>
      <c r="BP129" s="54">
        <v>98.546875</v>
      </c>
      <c r="CA129" s="129">
        <v>45940.625</v>
      </c>
      <c r="CB129" s="54">
        <v>107.01220000000001</v>
      </c>
      <c r="CC129" s="129">
        <v>45940.625</v>
      </c>
      <c r="CD129" s="54">
        <v>51.024000000000001</v>
      </c>
      <c r="CO129" s="129">
        <v>45937.625</v>
      </c>
      <c r="CP129" s="54">
        <v>242.00200000000001</v>
      </c>
      <c r="CQ129" s="129">
        <v>45937.625</v>
      </c>
      <c r="CR129" s="54">
        <v>49.996000000000002</v>
      </c>
    </row>
    <row r="130" spans="21:96" x14ac:dyDescent="0.3">
      <c r="U130" s="75">
        <v>45938.625</v>
      </c>
      <c r="V130" s="54">
        <v>92.12</v>
      </c>
      <c r="W130" s="75">
        <v>45933.625</v>
      </c>
      <c r="X130" s="54">
        <v>100.893</v>
      </c>
      <c r="BE130" s="75">
        <v>45937.625</v>
      </c>
      <c r="BF130" s="54">
        <v>80.77</v>
      </c>
      <c r="BI130" s="75">
        <v>45937.625</v>
      </c>
      <c r="BJ130" s="54">
        <v>111.4</v>
      </c>
      <c r="BM130" s="75">
        <v>45936.625</v>
      </c>
      <c r="BN130" s="54">
        <v>103.828125</v>
      </c>
      <c r="BO130" s="75">
        <v>45936.625</v>
      </c>
      <c r="BP130" s="54">
        <v>97.796875</v>
      </c>
      <c r="CA130" s="129">
        <v>45944.625</v>
      </c>
      <c r="CB130" s="54">
        <v>107.4841</v>
      </c>
      <c r="CC130" s="129">
        <v>45944.625</v>
      </c>
      <c r="CD130" s="54">
        <v>48.805</v>
      </c>
      <c r="CO130" s="129">
        <v>45938.625</v>
      </c>
      <c r="CP130" s="54">
        <v>244.23400000000001</v>
      </c>
      <c r="CQ130" s="129">
        <v>45938.625</v>
      </c>
      <c r="CR130" s="54">
        <v>50.073</v>
      </c>
    </row>
    <row r="131" spans="21:96" x14ac:dyDescent="0.3">
      <c r="U131" s="75">
        <v>45939.625</v>
      </c>
      <c r="V131" s="54">
        <v>92</v>
      </c>
      <c r="W131" s="75">
        <v>45936.625</v>
      </c>
      <c r="X131" s="54">
        <v>100.928</v>
      </c>
      <c r="BE131" s="75">
        <v>45938.625</v>
      </c>
      <c r="BF131" s="54">
        <v>80.650000000000006</v>
      </c>
      <c r="BI131" s="75">
        <v>45938.625</v>
      </c>
      <c r="BJ131" s="54">
        <v>111.26</v>
      </c>
      <c r="BM131" s="75">
        <v>45937.625</v>
      </c>
      <c r="BN131" s="54">
        <v>104.09375</v>
      </c>
      <c r="BO131" s="75">
        <v>45937.625</v>
      </c>
      <c r="BP131" s="54">
        <v>98.328125</v>
      </c>
      <c r="CA131" s="129">
        <v>45945.625</v>
      </c>
      <c r="CB131" s="54">
        <v>107.62390000000001</v>
      </c>
      <c r="CC131" s="129">
        <v>45945.625</v>
      </c>
      <c r="CD131" s="54">
        <v>48.523000000000003</v>
      </c>
      <c r="CO131" s="129">
        <v>45939.625</v>
      </c>
      <c r="CP131" s="54">
        <v>249.739</v>
      </c>
      <c r="CQ131" s="129">
        <v>45939.625</v>
      </c>
      <c r="CR131" s="54">
        <v>50.813000000000002</v>
      </c>
    </row>
    <row r="132" spans="21:96" x14ac:dyDescent="0.3">
      <c r="U132" s="75">
        <v>45940.625</v>
      </c>
      <c r="V132" s="54">
        <v>91.78</v>
      </c>
      <c r="W132" s="75">
        <v>45937.625</v>
      </c>
      <c r="X132" s="54">
        <v>100.908</v>
      </c>
      <c r="BE132" s="75">
        <v>45939.625</v>
      </c>
      <c r="BF132" s="54">
        <v>80.42</v>
      </c>
      <c r="BI132" s="75">
        <v>45939.625</v>
      </c>
      <c r="BJ132" s="54">
        <v>111.04</v>
      </c>
      <c r="BM132" s="75">
        <v>45938.625</v>
      </c>
      <c r="BN132" s="54">
        <v>104.0625</v>
      </c>
      <c r="BO132" s="75">
        <v>45938.625</v>
      </c>
      <c r="BP132" s="54">
        <v>98.375</v>
      </c>
      <c r="CA132" s="129">
        <v>45946.625</v>
      </c>
      <c r="CB132" s="54">
        <v>107.2029</v>
      </c>
      <c r="CC132" s="129">
        <v>45946.625</v>
      </c>
      <c r="CD132" s="54">
        <v>50.155999999999999</v>
      </c>
      <c r="CO132" s="129">
        <v>45940.625</v>
      </c>
      <c r="CP132" s="54">
        <v>260.29199999999997</v>
      </c>
      <c r="CQ132" s="129">
        <v>45940.625</v>
      </c>
      <c r="CR132" s="54">
        <v>52.987000000000002</v>
      </c>
    </row>
    <row r="133" spans="21:96" x14ac:dyDescent="0.3">
      <c r="U133" s="75">
        <v>45943.625</v>
      </c>
      <c r="V133" s="54">
        <v>91.79</v>
      </c>
      <c r="W133" s="75">
        <v>45938.625</v>
      </c>
      <c r="X133" s="54">
        <v>100.99299999999999</v>
      </c>
      <c r="BE133" s="75">
        <v>45940.625</v>
      </c>
      <c r="BF133" s="54">
        <v>79.984999999999999</v>
      </c>
      <c r="BI133" s="75">
        <v>45940.625</v>
      </c>
      <c r="BJ133" s="54">
        <v>111.36</v>
      </c>
      <c r="BM133" s="75">
        <v>45939.625</v>
      </c>
      <c r="BN133" s="54">
        <v>103.984375</v>
      </c>
      <c r="BO133" s="75">
        <v>45939.625</v>
      </c>
      <c r="BP133" s="54">
        <v>98.328125</v>
      </c>
      <c r="CO133" s="129">
        <v>45943.625</v>
      </c>
      <c r="CP133" s="54">
        <v>260.25400000000002</v>
      </c>
      <c r="CQ133" s="129">
        <v>45943.625</v>
      </c>
      <c r="CR133" s="54">
        <v>53.084000000000003</v>
      </c>
    </row>
    <row r="134" spans="21:96" x14ac:dyDescent="0.3">
      <c r="U134" s="75">
        <v>45944.625</v>
      </c>
      <c r="V134" s="54">
        <v>91.85</v>
      </c>
      <c r="W134" s="75">
        <v>45939.625</v>
      </c>
      <c r="X134" s="54">
        <v>100.934</v>
      </c>
      <c r="BE134" s="75">
        <v>45943.625</v>
      </c>
      <c r="BF134" s="54">
        <v>80.45</v>
      </c>
      <c r="BI134" s="75">
        <v>45943.625</v>
      </c>
      <c r="BJ134" s="54">
        <v>111.73</v>
      </c>
      <c r="BM134" s="75">
        <v>45940.625</v>
      </c>
      <c r="BN134" s="54">
        <v>104.671875</v>
      </c>
      <c r="BO134" s="75">
        <v>45940.625</v>
      </c>
      <c r="BP134" s="54">
        <v>99.78125</v>
      </c>
      <c r="CO134" s="129">
        <v>45944.625</v>
      </c>
      <c r="CP134" s="54">
        <v>257.16699999999997</v>
      </c>
      <c r="CQ134" s="129">
        <v>45944.625</v>
      </c>
      <c r="CR134" s="54">
        <v>52.110999999999997</v>
      </c>
    </row>
    <row r="135" spans="21:96" x14ac:dyDescent="0.3">
      <c r="U135" s="75">
        <v>45945.625</v>
      </c>
      <c r="V135" s="54">
        <v>92.38</v>
      </c>
      <c r="W135" s="75">
        <v>45940.625</v>
      </c>
      <c r="X135" s="54">
        <v>101.017</v>
      </c>
      <c r="BE135" s="75">
        <v>45944.625</v>
      </c>
      <c r="BF135" s="54">
        <v>80.540000000000006</v>
      </c>
      <c r="BI135" s="75">
        <v>45944.625</v>
      </c>
      <c r="BJ135" s="54">
        <v>112.1</v>
      </c>
      <c r="BM135" s="75">
        <v>45943.625</v>
      </c>
      <c r="BN135" s="54">
        <v>104.84375</v>
      </c>
      <c r="BO135" s="75">
        <v>45943.625</v>
      </c>
      <c r="BP135" s="54">
        <v>100.015625</v>
      </c>
      <c r="CO135" s="129">
        <v>45945.625</v>
      </c>
      <c r="CP135" s="54">
        <v>245.131</v>
      </c>
      <c r="CQ135" s="129">
        <v>45945.625</v>
      </c>
      <c r="CR135" s="54">
        <v>49.81</v>
      </c>
    </row>
    <row r="136" spans="21:96" x14ac:dyDescent="0.3">
      <c r="U136" s="75">
        <v>45946.625</v>
      </c>
      <c r="V136" s="54">
        <v>92.23</v>
      </c>
      <c r="W136" s="75">
        <v>45943.625</v>
      </c>
      <c r="X136" s="54">
        <v>101.122</v>
      </c>
      <c r="BE136" s="75">
        <v>45945.625</v>
      </c>
      <c r="BF136" s="54">
        <v>80.8</v>
      </c>
      <c r="BI136" s="75">
        <v>45945.625</v>
      </c>
      <c r="BJ136" s="54">
        <v>112.1</v>
      </c>
      <c r="BM136" s="75">
        <v>45944.625</v>
      </c>
      <c r="BN136" s="54">
        <v>104.953125</v>
      </c>
      <c r="BO136" s="75">
        <v>45944.625</v>
      </c>
      <c r="BP136" s="54">
        <v>100.0625</v>
      </c>
      <c r="CO136" s="129">
        <v>45946.625</v>
      </c>
      <c r="CP136" s="54">
        <v>250.49600000000001</v>
      </c>
      <c r="CQ136" s="129">
        <v>45946.625</v>
      </c>
      <c r="CR136" s="54">
        <v>50.529000000000003</v>
      </c>
    </row>
    <row r="137" spans="21:96" x14ac:dyDescent="0.3">
      <c r="U137" s="75">
        <v>45947.625</v>
      </c>
      <c r="V137" s="54">
        <v>92.1</v>
      </c>
      <c r="W137" s="75">
        <v>45944.625</v>
      </c>
      <c r="X137" s="54">
        <v>101.13800000000001</v>
      </c>
      <c r="BE137" s="75">
        <v>45946.625</v>
      </c>
      <c r="BF137" s="54">
        <v>80.510000000000005</v>
      </c>
      <c r="BI137" s="75">
        <v>45946.625</v>
      </c>
      <c r="BJ137" s="54">
        <v>112.42</v>
      </c>
      <c r="BM137" s="75">
        <v>45945.625</v>
      </c>
      <c r="BN137" s="54">
        <v>104.828125</v>
      </c>
      <c r="BO137" s="75">
        <v>45945.625</v>
      </c>
      <c r="BP137" s="54">
        <v>99.84375</v>
      </c>
      <c r="CO137" s="129">
        <v>45947.625</v>
      </c>
      <c r="CP137" s="54">
        <v>255.01499999999999</v>
      </c>
      <c r="CQ137" s="129">
        <v>45947.625</v>
      </c>
      <c r="CR137" s="54">
        <v>51.85</v>
      </c>
    </row>
    <row r="138" spans="21:96" x14ac:dyDescent="0.3">
      <c r="W138" s="75">
        <v>45945.625</v>
      </c>
      <c r="X138" s="54">
        <v>101.23699999999999</v>
      </c>
      <c r="BM138" s="75">
        <v>45946.625</v>
      </c>
      <c r="BN138" s="54">
        <v>105.328125</v>
      </c>
      <c r="BO138" s="75">
        <v>45946.625</v>
      </c>
      <c r="BP138" s="54">
        <v>100.59375</v>
      </c>
    </row>
    <row r="139" spans="21:96" x14ac:dyDescent="0.3">
      <c r="W139" s="75">
        <v>45946.625</v>
      </c>
      <c r="X139" s="54">
        <v>101.221</v>
      </c>
    </row>
    <row r="140" spans="21:96" x14ac:dyDescent="0.3">
      <c r="W140" s="75">
        <v>45947.625</v>
      </c>
      <c r="X140" s="54">
        <v>101.253</v>
      </c>
    </row>
  </sheetData>
  <mergeCells count="14">
    <mergeCell ref="AJ12:AL12"/>
    <mergeCell ref="B12:D12"/>
    <mergeCell ref="E12:G12"/>
    <mergeCell ref="H12:J12"/>
    <mergeCell ref="K12:M12"/>
    <mergeCell ref="AG12:AI12"/>
    <mergeCell ref="CG12:CI12"/>
    <mergeCell ref="CJ12:CL12"/>
    <mergeCell ref="AM12:AO12"/>
    <mergeCell ref="AP12:AR12"/>
    <mergeCell ref="AS12:AU12"/>
    <mergeCell ref="AV12:AX12"/>
    <mergeCell ref="BS12:BU12"/>
    <mergeCell ref="BV12:BX12"/>
  </mergeCells>
  <conditionalFormatting sqref="N13:S86">
    <cfRule type="cellIs" dxfId="3" priority="3" operator="lessThan">
      <formula>0</formula>
    </cfRule>
  </conditionalFormatting>
  <conditionalFormatting sqref="AY13:BC72">
    <cfRule type="cellIs" dxfId="2" priority="4" operator="lessThan">
      <formula>0</formula>
    </cfRule>
  </conditionalFormatting>
  <conditionalFormatting sqref="BY13:BY14">
    <cfRule type="cellIs" dxfId="1" priority="2" operator="lessThan">
      <formula>0</formula>
    </cfRule>
  </conditionalFormatting>
  <conditionalFormatting sqref="CM13:CM14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Live_ACAFP Basis</vt:lpstr>
      <vt:lpstr>Live_EU Defence vs Oil</vt:lpstr>
      <vt:lpstr>Live_EU Insurance CDS RV</vt:lpstr>
      <vt:lpstr>Live_Barclays</vt:lpstr>
      <vt:lpstr>Live_KSA RV</vt:lpstr>
      <vt:lpstr>Live_EU Banks CDS RV</vt:lpstr>
      <vt:lpstr>Live_EU ETF Compression</vt:lpstr>
      <vt:lpstr>Live_US ETF Compression</vt:lpstr>
      <vt:lpstr>Live_US IG Cash Curve</vt:lpstr>
      <vt:lpstr>BOFA Basis</vt:lpstr>
      <vt:lpstr>Closed_CDX IG vs SPX Puts</vt:lpstr>
      <vt:lpstr>ETF PL - 29Aug start</vt:lpstr>
      <vt:lpstr>ETF PL - 27Aug start</vt:lpstr>
      <vt:lpstr>ETF PL -25M fixed not'l for all</vt:lpstr>
      <vt:lpstr>ETF PL - CT 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2025-10-17T19:30:25Z</dcterms:modified>
</cp:coreProperties>
</file>