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57. BNP Trades Tracker\"/>
    </mc:Choice>
  </mc:AlternateContent>
  <xr:revisionPtr revIDLastSave="0" documentId="13_ncr:1_{71184DB1-22AB-49F7-B59C-313A8361FB36}" xr6:coauthVersionLast="47" xr6:coauthVersionMax="47" xr10:uidLastSave="{00000000-0000-0000-0000-000000000000}"/>
  <bookViews>
    <workbookView xWindow="924" yWindow="936" windowWidth="21624" windowHeight="11304" tabRatio="842" firstSheet="1" activeTab="4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  <sheet name="KSA RV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5" l="1" a="1"/>
  <c r="B10" i="5"/>
  <c r="C10" i="2" a="1"/>
  <c r="C10" i="2"/>
  <c r="C10" i="3" a="1"/>
  <c r="C10" i="3"/>
  <c r="B10" i="3" a="1"/>
  <c r="B10" i="3"/>
  <c r="B10" i="8" a="1"/>
  <c r="B10" i="8"/>
  <c r="C10" i="1" a="1"/>
  <c r="C10" i="1"/>
  <c r="C10" i="8" a="1"/>
  <c r="C10" i="8"/>
  <c r="C10" i="5" a="1"/>
  <c r="C10" i="5"/>
  <c r="E10" i="8" a="1"/>
  <c r="E10" i="8"/>
  <c r="B10" i="2" a="1"/>
  <c r="B10" i="2"/>
  <c r="B10" i="1" a="1"/>
  <c r="B10" i="1"/>
  <c r="D10" i="8" a="1"/>
  <c r="D10" i="8"/>
  <c r="D10" i="2" a="1"/>
  <c r="D10" i="2"/>
  <c r="N15" i="8"/>
  <c r="M15" i="8"/>
  <c r="L15" i="8"/>
  <c r="J15" i="8"/>
  <c r="I15" i="8"/>
  <c r="G15" i="8"/>
  <c r="F15" i="8"/>
  <c r="D15" i="8"/>
  <c r="C15" i="8"/>
  <c r="H16" i="5"/>
  <c r="H15" i="5"/>
  <c r="F16" i="5"/>
  <c r="G16" i="5"/>
  <c r="D16" i="5"/>
  <c r="D15" i="5"/>
  <c r="C16" i="5"/>
  <c r="F19" i="3"/>
  <c r="G19" i="3"/>
  <c r="H19" i="3"/>
  <c r="D19" i="3"/>
  <c r="C19" i="3"/>
  <c r="J20" i="2"/>
  <c r="K20" i="2"/>
  <c r="G20" i="2"/>
  <c r="D20" i="2"/>
  <c r="I20" i="2"/>
  <c r="F20" i="2"/>
  <c r="C20" i="2"/>
  <c r="H36" i="1"/>
  <c r="I36" i="1"/>
  <c r="E36" i="1"/>
  <c r="G36" i="1"/>
  <c r="C36" i="1"/>
  <c r="D36" i="1"/>
  <c r="E5" i="8"/>
  <c r="D5" i="8"/>
  <c r="C5" i="8"/>
  <c r="B5" i="8" l="1"/>
  <c r="G1" i="8"/>
  <c r="I3" i="8" a="1"/>
  <c r="G3" i="8" a="1"/>
  <c r="M3" i="8" a="1"/>
  <c r="K3" i="8" a="1"/>
  <c r="K3" i="8" l="1"/>
  <c r="M3" i="8"/>
  <c r="G3" i="8"/>
  <c r="I3" i="8"/>
  <c r="G15" i="5"/>
  <c r="F15" i="5"/>
  <c r="C15" i="5"/>
  <c r="F18" i="3"/>
  <c r="G18" i="3"/>
  <c r="C18" i="3"/>
  <c r="D18" i="3"/>
  <c r="J19" i="2"/>
  <c r="G19" i="2"/>
  <c r="D19" i="2"/>
  <c r="I19" i="2"/>
  <c r="F19" i="2"/>
  <c r="C19" i="2"/>
  <c r="H35" i="1"/>
  <c r="E35" i="1"/>
  <c r="G35" i="1"/>
  <c r="C35" i="1"/>
  <c r="D35" i="1" s="1"/>
  <c r="C5" i="5"/>
  <c r="B5" i="5"/>
  <c r="E1" i="5"/>
  <c r="G3" i="5" a="1"/>
  <c r="E3" i="5" a="1"/>
  <c r="E3" i="5" l="1"/>
  <c r="G3" i="5"/>
  <c r="H18" i="3"/>
  <c r="K19" i="2"/>
  <c r="I35" i="1"/>
  <c r="F17" i="3"/>
  <c r="G17" i="3"/>
  <c r="C17" i="3"/>
  <c r="H17" i="3" s="1"/>
  <c r="D17" i="3"/>
  <c r="C18" i="2"/>
  <c r="I18" i="2"/>
  <c r="J18" i="2"/>
  <c r="F18" i="2"/>
  <c r="G18" i="2"/>
  <c r="D18" i="2"/>
  <c r="H34" i="1"/>
  <c r="E34" i="1"/>
  <c r="G34" i="1"/>
  <c r="C34" i="1"/>
  <c r="D34" i="1" s="1"/>
  <c r="I34" i="1" s="1"/>
  <c r="D16" i="3"/>
  <c r="K18" i="2" l="1"/>
  <c r="H15" i="3"/>
  <c r="G16" i="3"/>
  <c r="G15" i="3"/>
  <c r="F16" i="3"/>
  <c r="C16" i="3"/>
  <c r="C5" i="3"/>
  <c r="H16" i="3" l="1"/>
  <c r="B5" i="3"/>
  <c r="E1" i="3" l="1"/>
  <c r="K16" i="2"/>
  <c r="J16" i="2"/>
  <c r="J17" i="2"/>
  <c r="J15" i="2"/>
  <c r="I16" i="2"/>
  <c r="I17" i="2"/>
  <c r="F16" i="2"/>
  <c r="G16" i="2"/>
  <c r="F17" i="2"/>
  <c r="G17" i="2"/>
  <c r="C16" i="2"/>
  <c r="D16" i="2"/>
  <c r="C17" i="2"/>
  <c r="D17" i="2"/>
  <c r="F1" i="2"/>
  <c r="H32" i="1"/>
  <c r="H33" i="1"/>
  <c r="E31" i="1"/>
  <c r="E32" i="1"/>
  <c r="E33" i="1"/>
  <c r="C33" i="1"/>
  <c r="D33" i="1" s="1"/>
  <c r="G33" i="1"/>
  <c r="G32" i="1"/>
  <c r="C32" i="1"/>
  <c r="D32" i="1" s="1"/>
  <c r="L1" i="1"/>
  <c r="G3" i="3" a="1"/>
  <c r="E3" i="3" a="1"/>
  <c r="L3" i="1" a="1"/>
  <c r="N3" i="1" a="1"/>
  <c r="J3" i="2" a="1"/>
  <c r="F3" i="2" a="1"/>
  <c r="H3" i="2" a="1"/>
  <c r="H3" i="2" l="1"/>
  <c r="F3" i="2"/>
  <c r="J3" i="2"/>
  <c r="N3" i="1"/>
  <c r="L3" i="1"/>
  <c r="E3" i="3"/>
  <c r="G3" i="3"/>
  <c r="I32" i="1"/>
  <c r="K17" i="2"/>
  <c r="I33" i="1"/>
  <c r="C15" i="3"/>
  <c r="D15" i="3" l="1"/>
  <c r="F15" i="3"/>
  <c r="I15" i="2" l="1"/>
  <c r="G15" i="2"/>
  <c r="D15" i="2"/>
  <c r="C15" i="2"/>
  <c r="I15" i="1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K15" i="2" l="1"/>
  <c r="I3" i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F15" i="2"/>
  <c r="C29" i="1" l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<sst xmlns="http://schemas.openxmlformats.org/spreadsheetml/2006/main" count="179" uniqueCount="53">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</sst>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Data...1967280490</v>
        <stp/>
        <stp>BDH|17406990340420006085</stp>
        <tr r="M3" s="8"/>
      </tp>
      <tp t="s">
        <v>#N/A Requesting Data...2842293879</v>
        <stp/>
        <stp>BDH|17025065732334631929</stp>
        <tr r="G3" s="5"/>
      </tp>
      <tp t="s">
        <v>#N/A Requesting Data...2758693900</v>
        <stp/>
        <stp>BDP|16545953933052450030</stp>
        <tr r="B10" s="5"/>
      </tp>
      <tp t="s">
        <v>#N/A Requesting Data...1929203704</v>
        <stp/>
        <stp>BDH|11562898034066468052</stp>
        <tr r="I3" s="8"/>
      </tp>
      <tp t="s">
        <v>#N/A Requesting Data...2230092536</v>
        <stp/>
        <stp>BDH|16498634595275479111</stp>
        <tr r="G3" s="8"/>
      </tp>
      <tp t="s">
        <v>#N/A Requesting Data...2886169329</v>
        <stp/>
        <stp>BDP|12076286461161277423</stp>
        <tr r="C10" s="5"/>
      </tp>
      <tp t="s">
        <v>#N/A Requesting Data...2217236744</v>
        <stp/>
        <stp>BDH|15717892311558484522</stp>
        <tr r="J3" s="2"/>
      </tp>
      <tp t="s">
        <v>#N/A Requesting Data...2670464811</v>
        <stp/>
        <stp>BDH|11251505541444195234</stp>
        <tr r="E3" s="3"/>
      </tp>
      <tp t="s">
        <v>#N/A Requesting Data...2820997878</v>
        <stp/>
        <stp>BDP|14572736216992007722</stp>
        <tr r="B10" s="2"/>
      </tp>
      <tp t="s">
        <v>#N/A Requesting Data...2475775306</v>
        <stp/>
        <stp>BDP|13060443244535072213</stp>
        <tr r="B10" s="1"/>
      </tp>
      <tp t="s">
        <v>#N/A Requesting Data...1529118367</v>
        <stp/>
        <stp>BDP|17166731865344641740</stp>
        <tr r="C10" s="1"/>
      </tp>
    </main>
    <main first="bofaddin.rtdserver">
      <tp t="s">
        <v>#N/A Requesting Data...2489820808</v>
        <stp/>
        <stp>BDH|8246345074955910435</stp>
        <tr r="H3" s="2"/>
      </tp>
      <tp t="s">
        <v>#N/A Requesting Data...1589976856</v>
        <stp/>
        <stp>BDH|4893848110648356880</stp>
        <tr r="E3" s="5"/>
      </tp>
      <tp t="s">
        <v>#N/A Requesting Data...3886628398</v>
        <stp/>
        <stp>BDH|7309047882271168008</stp>
        <tr r="F3" s="2"/>
      </tp>
      <tp t="s">
        <v>#N/A Requesting Data...3913366212</v>
        <stp/>
        <stp>BDP|9706553668206945454</stp>
        <tr r="D10" s="8"/>
      </tp>
      <tp t="s">
        <v>#N/A Requesting Data...1961490202</v>
        <stp/>
        <stp>BDH|7914485158816264428</stp>
        <tr r="N3" s="1"/>
      </tp>
      <tp t="s">
        <v>#N/A Requesting Data...2922425986</v>
        <stp/>
        <stp>BDH|7017788451461123183</stp>
        <tr r="K3" s="8"/>
      </tp>
      <tp t="s">
        <v>#N/A Requesting Data...3557453193</v>
        <stp/>
        <stp>BDH|9195768911232825899</stp>
        <tr r="G3" s="3"/>
      </tp>
      <tp t="s">
        <v>#N/A Requesting Data...3439863605</v>
        <stp/>
        <stp>BDP|1931107217112743305</stp>
        <tr r="D10" s="2"/>
      </tp>
      <tp t="s">
        <v>#N/A Requesting Data...1803978517</v>
        <stp/>
        <stp>BDP|8919074471278682748</stp>
        <tr r="C10" s="3"/>
      </tp>
      <tp t="s">
        <v>#N/A Requesting Data...3256473192</v>
        <stp/>
        <stp>BDP|6499873574608943180</stp>
        <tr r="B10" s="8"/>
      </tp>
      <tp t="s">
        <v>#N/A Requesting Data...3080075844</v>
        <stp/>
        <stp>BDP|9073119891745028595</stp>
        <tr r="E10" s="8"/>
      </tp>
      <tp t="s">
        <v>#N/A Requesting Data...1746722765</v>
        <stp/>
        <stp>BDP|4720520890802409863</stp>
        <tr r="B10" s="3"/>
      </tp>
      <tp t="s">
        <v>#N/A Requesting Data...2951939023</v>
        <stp/>
        <stp>BDP|2192385730727379645</stp>
        <tr r="C10" s="8"/>
      </tp>
      <tp t="s">
        <v>#N/A Requesting Data...1917507822</v>
        <stp/>
        <stp>BDH|457184243879678801</stp>
        <tr r="L3" s="1"/>
      </tp>
      <tp t="s">
        <v>#N/A Requesting Data...3720974789</v>
        <stp/>
        <stp>BDP|416056535068485843</stp>
        <tr r="C10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Basis'!$I$12:$I$14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Basis'!$A$15:$A$31</c:f>
              <c:numCache>
                <c:formatCode>d\-mmm\-yy</c:formatCode>
                <c:ptCount val="3"/>
                <c:pt idx="0">
                  <c:v>45904</c:v>
                </c:pt>
                <c:pt idx="1">
                  <c:v>45924</c:v>
                </c:pt>
                <c:pt idx="2">
                  <c:v>45925</c:v>
                </c:pt>
              </c:numCache>
            </c:numRef>
          </c:cat>
          <c:val>
            <c:numRef>
              <c:f>'ACAFP Basis'!$I$15:$I$31</c:f>
              <c:numCache>
                <c:formatCode>0</c:formatCode>
                <c:ptCount val="3"/>
                <c:pt idx="0">
                  <c:v>20572.519958333647</c:v>
                </c:pt>
                <c:pt idx="1">
                  <c:v>34935.891624999553</c:v>
                </c:pt>
                <c:pt idx="2">
                  <c:v>32388.287583332876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1-4598-A230-4B21FC5EF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Oil'!$K$12:$K$14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Oil'!$A$14:$A$29</c:f>
              <c:numCache>
                <c:formatCode>d\-mmm\-yy</c:formatCode>
                <c:ptCount val="16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</c:numCache>
            </c:numRef>
          </c:cat>
          <c:val>
            <c:numRef>
              <c:f>'EU Defence vs Oil'!$K$15:$K$31</c:f>
              <c:numCache>
                <c:formatCode>0</c:formatCode>
                <c:ptCount val="17"/>
                <c:pt idx="0">
                  <c:v>-36864.819555555579</c:v>
                </c:pt>
                <c:pt idx="1">
                  <c:v>-38790.459111111108</c:v>
                </c:pt>
                <c:pt idx="2">
                  <c:v>-43588.029777777825</c:v>
                </c:pt>
                <c:pt idx="3">
                  <c:v>-42329.913333333294</c:v>
                </c:pt>
                <c:pt idx="4">
                  <c:v>-44763.016888888953</c:v>
                </c:pt>
                <c:pt idx="5">
                  <c:v>-23743.588444444358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8-4EFE-BBC1-9431B0823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RV'!$A$14:$A$29</c:f>
              <c:numCache>
                <c:formatCode>d\-mmm\-yy</c:formatCode>
                <c:ptCount val="16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  <c:pt idx="4">
                  <c:v>45931</c:v>
                </c:pt>
                <c:pt idx="5">
                  <c:v>45932</c:v>
                </c:pt>
              </c:numCache>
            </c:numRef>
          </c:cat>
          <c:val>
            <c:numRef>
              <c:f>'EU Insurance CDS RV'!$H$15:$H$31</c:f>
              <c:numCache>
                <c:formatCode>0</c:formatCode>
                <c:ptCount val="17"/>
                <c:pt idx="0">
                  <c:v>-5973.1262222222376</c:v>
                </c:pt>
                <c:pt idx="1">
                  <c:v>2332.7831111111491</c:v>
                </c:pt>
                <c:pt idx="2">
                  <c:v>576.64088888886272</c:v>
                </c:pt>
                <c:pt idx="3">
                  <c:v>1236.6906666666409</c:v>
                </c:pt>
                <c:pt idx="4">
                  <c:v>-8946.9755555555348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4-4411-882D-F7F8CBCE8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Barclays!$A$14:$A$29</c:f>
              <c:numCache>
                <c:formatCode>d\-mmm\-yy</c:formatCode>
                <c:ptCount val="16"/>
                <c:pt idx="0">
                  <c:v>45930</c:v>
                </c:pt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45934</c:v>
                </c:pt>
              </c:numCache>
            </c:numRef>
          </c:cat>
          <c:val>
            <c:numRef>
              <c:f>Barclays!$H$15:$H$31</c:f>
              <c:numCache>
                <c:formatCode>0</c:formatCode>
                <c:ptCount val="17"/>
                <c:pt idx="0">
                  <c:v>-43334.599305554519</c:v>
                </c:pt>
                <c:pt idx="1">
                  <c:v>-32049.198611110849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8-40A7-A5C3-924A70C01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RV'!$A$14:$A$29</c:f>
              <c:numCache>
                <c:formatCode>d\-mmm\-yy</c:formatCode>
                <c:ptCount val="16"/>
                <c:pt idx="0">
                  <c:v>45931</c:v>
                </c:pt>
                <c:pt idx="1">
                  <c:v>45932</c:v>
                </c:pt>
                <c:pt idx="2">
                  <c:v>45933</c:v>
                </c:pt>
              </c:numCache>
            </c:numRef>
          </c:cat>
          <c:val>
            <c:numRef>
              <c:f>'KSA RV'!$N$15:$N$31</c:f>
              <c:numCache>
                <c:formatCode>0</c:formatCode>
                <c:ptCount val="17"/>
                <c:pt idx="0">
                  <c:v>-18061.938363334655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D-48EB-8DCC-1B4115C35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100012</xdr:colOff>
      <xdr:row>30</xdr:row>
      <xdr:rowOff>50800</xdr:rowOff>
    </xdr:from>
    <xdr:to>
      <xdr:col>23</xdr:col>
      <xdr:colOff>180976</xdr:colOff>
      <xdr:row>52</xdr:row>
      <xdr:rowOff>18256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62840A-770E-37E7-F220-AD1914657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595311</xdr:colOff>
      <xdr:row>10</xdr:row>
      <xdr:rowOff>31750</xdr:rowOff>
    </xdr:from>
    <xdr:to>
      <xdr:col>24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6E7BA-5079-4402-9582-E0393CB05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DA8BA-604F-43FA-BB65-32577F55A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9DD156-6774-45DD-B594-72912ED83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486453</xdr:colOff>
      <xdr:row>13</xdr:row>
      <xdr:rowOff>151492</xdr:rowOff>
    </xdr:from>
    <xdr:to>
      <xdr:col>27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3C198-CB3C-49EB-9C05-1EDDE076B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opLeftCell="C1" zoomScale="80" zoomScaleNormal="80" workbookViewId="0">
      <selection activeCell="H37" sqref="H37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3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3" bestFit="1" customWidth="1"/>
    <col min="10" max="10" width="10.6640625" style="3" bestFit="1" customWidth="1"/>
    <col min="11" max="11" width="9.109375" style="3"/>
    <col min="12" max="12" width="10.5546875" style="3" bestFit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5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L1" s="53">
        <f ca="1">TODAY()-5</f>
        <v>45927</v>
      </c>
    </row>
    <row r="2" spans="1:15" ht="15" thickBot="1" x14ac:dyDescent="0.35">
      <c r="A2" s="14"/>
      <c r="B2" s="27" t="s">
        <v>0</v>
      </c>
      <c r="C2" s="28" t="s">
        <v>1</v>
      </c>
      <c r="D2" s="3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3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6" ca="1">_xll.BDH($B$4, "PX_LAST, ", $L$1, "")</f>
        <v>45929</v>
      </c>
      <c r="M3" s="3">
        <f ca="1"/>
        <v>104.60299999999999</v>
      </c>
      <c r="N3" s="53" cm="1">
        <f t="array" aca="1" ref="N3:O6" ca="1">_xll.BDH($C$4, "PX_LAST, ", $L$1, "")</f>
        <v>45929</v>
      </c>
      <c r="O3" s="3">
        <f ca="1"/>
        <v>100.848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3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45930</v>
      </c>
      <c r="M4" s="3">
        <f ca="1"/>
        <v>105.137</v>
      </c>
      <c r="N4" s="53">
        <f ca="1"/>
        <v>45930</v>
      </c>
      <c r="O4" s="3">
        <f ca="1"/>
        <v>100.81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31"/>
      <c r="E5" s="1"/>
      <c r="F5" s="16" t="s">
        <v>11</v>
      </c>
      <c r="G5" s="1"/>
      <c r="H5" s="1">
        <v>103.506</v>
      </c>
      <c r="I5" s="1"/>
      <c r="J5" s="5"/>
      <c r="L5" s="53">
        <f ca="1"/>
        <v>45931</v>
      </c>
      <c r="M5" s="3">
        <f ca="1"/>
        <v>104.288</v>
      </c>
      <c r="N5" s="53">
        <f ca="1"/>
        <v>45931</v>
      </c>
      <c r="O5" s="3">
        <f ca="1"/>
        <v>100.845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3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45932</v>
      </c>
      <c r="M6" s="3">
        <f ca="1"/>
        <v>102.608</v>
      </c>
      <c r="N6" s="53">
        <f ca="1"/>
        <v>45932</v>
      </c>
      <c r="O6" s="3">
        <f ca="1"/>
        <v>100.947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31"/>
      <c r="E7" s="1"/>
    </row>
    <row r="8" spans="1:15" x14ac:dyDescent="0.3">
      <c r="A8" s="15" t="s">
        <v>14</v>
      </c>
      <c r="B8" s="15">
        <v>4.46</v>
      </c>
      <c r="C8" s="5"/>
      <c r="D8" s="31"/>
      <c r="E8" s="1"/>
      <c r="F8" s="1"/>
      <c r="G8" s="1"/>
      <c r="H8" s="1"/>
      <c r="I8" s="1"/>
      <c r="J8" s="1"/>
    </row>
    <row r="9" spans="1:15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</row>
    <row r="10" spans="1:15" ht="15" thickBot="1" x14ac:dyDescent="0.35">
      <c r="A10" s="16" t="s">
        <v>29</v>
      </c>
      <c r="B10" s="20" cm="1">
        <f t="array" ref="B10">_xll.BDP(B4,"PX_LAST")</f>
        <v>102.6079</v>
      </c>
      <c r="C10" s="13" cm="1">
        <f t="array" ref="C10">_xll.BDP(C4,"PX_LAST")</f>
        <v>100.947</v>
      </c>
      <c r="D10" s="31"/>
      <c r="E10" s="1"/>
      <c r="F10" s="1"/>
      <c r="G10" s="1"/>
      <c r="H10" s="1"/>
      <c r="I10" s="1"/>
      <c r="J10" s="1"/>
    </row>
    <row r="11" spans="1:15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</row>
    <row r="12" spans="1:15" ht="15" thickBot="1" x14ac:dyDescent="0.35">
      <c r="A12" s="40" t="s">
        <v>23</v>
      </c>
      <c r="B12" s="79" t="s">
        <v>0</v>
      </c>
      <c r="C12" s="80"/>
      <c r="D12" s="80"/>
      <c r="E12" s="81"/>
      <c r="F12" s="82" t="s">
        <v>1</v>
      </c>
      <c r="G12" s="83"/>
      <c r="H12" s="84"/>
      <c r="I12" s="40" t="s">
        <v>16</v>
      </c>
      <c r="J12" s="1"/>
    </row>
    <row r="13" spans="1:15" ht="15" thickBot="1" x14ac:dyDescent="0.35">
      <c r="A13" s="16"/>
      <c r="B13" s="11" t="s">
        <v>25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</row>
    <row r="14" spans="1:15" x14ac:dyDescent="0.3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15"/>
      <c r="J14" s="1"/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39">
        <f>(D15+E15)*$B$9-G15-H15</f>
        <v>20572.519958333647</v>
      </c>
      <c r="J15" s="1"/>
    </row>
    <row r="16" spans="1:15" hidden="1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6" si="2">(F16-$F$14)/100*$C$5</f>
        <v>73500.000000000291</v>
      </c>
      <c r="H16" s="32">
        <f t="shared" ref="H16:H34" si="3">$C$6*(A16-$A$14)/360*$C$5-$C$7*(A16-$A$14)/360*$C$5*$F$14/100</f>
        <v>1102.5520833333339</v>
      </c>
      <c r="I16" s="39">
        <f t="shared" ref="I16:I33" si="4">(D16+E16)*$B$9-G16-H16</f>
        <v>18236.58391666643</v>
      </c>
      <c r="J16" s="1"/>
    </row>
    <row r="17" spans="1:10" hidden="1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39">
        <f t="shared" si="4"/>
        <v>45757.170791666686</v>
      </c>
      <c r="J17" s="1"/>
    </row>
    <row r="18" spans="1:10" hidden="1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39">
        <f t="shared" si="4"/>
        <v>63393.419749999666</v>
      </c>
      <c r="J18" s="1"/>
    </row>
    <row r="19" spans="1:10" hidden="1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39">
        <f t="shared" si="4"/>
        <v>61094.388208332988</v>
      </c>
      <c r="J19" s="1"/>
    </row>
    <row r="20" spans="1:10" hidden="1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39">
        <f t="shared" si="4"/>
        <v>90173.865666666854</v>
      </c>
      <c r="J20" s="1"/>
    </row>
    <row r="21" spans="1:10" hidden="1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39">
        <f t="shared" si="4"/>
        <v>74992.472625000097</v>
      </c>
      <c r="J21" s="1"/>
    </row>
    <row r="22" spans="1:10" hidden="1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39">
        <f t="shared" si="4"/>
        <v>81807.740500000044</v>
      </c>
      <c r="J22" s="1"/>
    </row>
    <row r="23" spans="1:10" hidden="1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39">
        <f t="shared" si="4"/>
        <v>60914.435958333328</v>
      </c>
      <c r="J23" s="1"/>
    </row>
    <row r="24" spans="1:10" hidden="1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39">
        <f t="shared" si="4"/>
        <v>74009.595416666678</v>
      </c>
      <c r="J24" s="1"/>
    </row>
    <row r="25" spans="1:10" hidden="1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39">
        <f t="shared" si="4"/>
        <v>33945.590374999971</v>
      </c>
      <c r="J25" s="1"/>
    </row>
    <row r="26" spans="1:10" hidden="1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39">
        <f t="shared" si="4"/>
        <v>26106.814333333008</v>
      </c>
      <c r="J26" s="1"/>
    </row>
    <row r="27" spans="1:10" hidden="1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39"/>
      <c r="J27" s="1"/>
    </row>
    <row r="28" spans="1:10" hidden="1" x14ac:dyDescent="0.3">
      <c r="A28" s="37">
        <v>45922</v>
      </c>
      <c r="B28" s="4">
        <v>103.506</v>
      </c>
      <c r="C28" s="1">
        <f t="shared" ref="C28:C36" si="5">B28-$G$6</f>
        <v>91.965000000000003</v>
      </c>
      <c r="D28" s="31">
        <f t="shared" ref="D28:D34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39">
        <f t="shared" si="4"/>
        <v>32354.597708333502</v>
      </c>
      <c r="J28" s="1"/>
    </row>
    <row r="29" spans="1:10" hidden="1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39">
        <f t="shared" si="4"/>
        <v>32365.614166666328</v>
      </c>
      <c r="J29" s="1"/>
    </row>
    <row r="30" spans="1:10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39">
        <f t="shared" si="4"/>
        <v>34935.891624999553</v>
      </c>
      <c r="J30" s="1"/>
    </row>
    <row r="31" spans="1:10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6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39">
        <f t="shared" si="4"/>
        <v>32388.287583332876</v>
      </c>
      <c r="J31" s="1"/>
    </row>
    <row r="32" spans="1:10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39">
        <f t="shared" si="4"/>
        <v>11025.391541666799</v>
      </c>
      <c r="J32" s="1"/>
    </row>
    <row r="33" spans="1:10" x14ac:dyDescent="0.3">
      <c r="A33" s="37">
        <v>45929</v>
      </c>
      <c r="B33" s="4">
        <v>104.60299999999999</v>
      </c>
      <c r="C33" s="1">
        <f t="shared" si="5"/>
        <v>93.061999999999998</v>
      </c>
      <c r="D33" s="31">
        <f t="shared" si="6"/>
        <v>149833.70000000001</v>
      </c>
      <c r="E33" s="32">
        <f t="shared" si="7"/>
        <v>18055.555555555558</v>
      </c>
      <c r="F33" s="4">
        <v>100.848</v>
      </c>
      <c r="G33" s="1">
        <f t="shared" si="2"/>
        <v>147974.99999999994</v>
      </c>
      <c r="H33" s="32">
        <f t="shared" si="3"/>
        <v>14333.177083333336</v>
      </c>
      <c r="I33" s="39">
        <f t="shared" si="4"/>
        <v>34122.251916666726</v>
      </c>
      <c r="J33" s="1"/>
    </row>
    <row r="34" spans="1:10" x14ac:dyDescent="0.3">
      <c r="A34" s="37">
        <v>45930</v>
      </c>
      <c r="B34" s="4">
        <v>105.137</v>
      </c>
      <c r="C34" s="1">
        <f t="shared" si="5"/>
        <v>93.596000000000004</v>
      </c>
      <c r="D34" s="31">
        <f t="shared" si="6"/>
        <v>143879.59999999995</v>
      </c>
      <c r="E34" s="32">
        <f t="shared" si="7"/>
        <v>18750</v>
      </c>
      <c r="F34" s="4">
        <v>100.81</v>
      </c>
      <c r="G34" s="1">
        <f t="shared" si="2"/>
        <v>145125.00000000017</v>
      </c>
      <c r="H34" s="32">
        <f t="shared" si="3"/>
        <v>14884.453125000007</v>
      </c>
      <c r="I34" s="39">
        <f>(D34+E34)*$B$9-G34-H34</f>
        <v>30267.178874999743</v>
      </c>
      <c r="J34" s="1"/>
    </row>
    <row r="35" spans="1:10" x14ac:dyDescent="0.3">
      <c r="A35" s="37">
        <v>45931</v>
      </c>
      <c r="B35" s="4">
        <v>104.288</v>
      </c>
      <c r="C35" s="1">
        <f t="shared" si="5"/>
        <v>92.747</v>
      </c>
      <c r="D35" s="31">
        <f>-1*(C35-$C$14)*10^-4*$B$8*$B$5</f>
        <v>153345.95000000001</v>
      </c>
      <c r="E35" s="32">
        <f t="shared" si="7"/>
        <v>19444.444444444445</v>
      </c>
      <c r="F35" s="4">
        <v>100.845</v>
      </c>
      <c r="G35" s="1">
        <f t="shared" si="2"/>
        <v>147749.99999999991</v>
      </c>
      <c r="H35" s="32">
        <f t="shared" ref="H35" si="8">$C$6*(A35-$A$14)/360*$C$5-$C$7*(A35-$A$14)/360*$C$5*$F$14/100</f>
        <v>15435.729166666664</v>
      </c>
      <c r="I35" s="39">
        <f>(D35+E35)*$B$9-G35-H35</f>
        <v>38979.032333333416</v>
      </c>
      <c r="J35" s="1"/>
    </row>
    <row r="36" spans="1:10" x14ac:dyDescent="0.3">
      <c r="A36" s="37">
        <v>45932</v>
      </c>
      <c r="B36" s="4">
        <v>102.133</v>
      </c>
      <c r="C36" s="1">
        <f t="shared" si="5"/>
        <v>90.591999999999999</v>
      </c>
      <c r="D36" s="31">
        <f>-1*(C36-$C$14)*10^-4*$B$8*$B$5</f>
        <v>177374.2</v>
      </c>
      <c r="E36" s="32">
        <f t="shared" si="7"/>
        <v>20138.888888888887</v>
      </c>
      <c r="F36" s="4">
        <v>100.905</v>
      </c>
      <c r="G36" s="1">
        <f t="shared" si="2"/>
        <v>152250.00000000009</v>
      </c>
      <c r="H36" s="32">
        <f>$C$6*(A36-$A$14)/360*$C$5-$C$7*(A36-$A$14)/360*$C$5*$F$14/100</f>
        <v>15987.005208333343</v>
      </c>
      <c r="I36" s="39">
        <f>(D36+E36)*$B$9-G36-H36</f>
        <v>62853.308791666554</v>
      </c>
      <c r="J36" s="1"/>
    </row>
    <row r="37" spans="1:10" x14ac:dyDescent="0.3">
      <c r="A37" s="37">
        <v>45933</v>
      </c>
      <c r="B37" s="4"/>
      <c r="C37" s="1"/>
      <c r="D37" s="31"/>
      <c r="E37" s="5"/>
      <c r="F37" s="4"/>
      <c r="G37" s="1"/>
      <c r="H37" s="5"/>
      <c r="I37" s="15"/>
      <c r="J37" s="1"/>
    </row>
    <row r="38" spans="1:10" x14ac:dyDescent="0.3">
      <c r="A38" s="37">
        <v>45934</v>
      </c>
      <c r="B38" s="4"/>
      <c r="C38" s="1"/>
      <c r="D38" s="31"/>
      <c r="E38" s="5"/>
      <c r="F38" s="4"/>
      <c r="G38" s="1"/>
      <c r="H38" s="5"/>
      <c r="I38" s="15"/>
      <c r="J38" s="1"/>
    </row>
    <row r="39" spans="1:10" x14ac:dyDescent="0.3">
      <c r="A39" s="37">
        <v>45935</v>
      </c>
      <c r="B39" s="4"/>
      <c r="C39" s="1"/>
      <c r="D39" s="31"/>
      <c r="E39" s="5"/>
      <c r="F39" s="4"/>
      <c r="G39" s="1"/>
      <c r="H39" s="5"/>
      <c r="I39" s="15"/>
      <c r="J39" s="1"/>
    </row>
    <row r="40" spans="1:10" x14ac:dyDescent="0.3">
      <c r="A40" s="15"/>
      <c r="B40" s="4"/>
      <c r="C40" s="1"/>
      <c r="D40" s="31"/>
      <c r="E40" s="5"/>
      <c r="F40" s="4"/>
      <c r="G40" s="1"/>
      <c r="H40" s="5"/>
      <c r="I40" s="15"/>
      <c r="J40" s="1"/>
    </row>
    <row r="41" spans="1:10" x14ac:dyDescent="0.3">
      <c r="A41" s="15"/>
      <c r="B41" s="4"/>
      <c r="C41" s="1"/>
      <c r="D41" s="31"/>
      <c r="E41" s="5"/>
      <c r="F41" s="4"/>
      <c r="G41" s="1"/>
      <c r="H41" s="5"/>
      <c r="I41" s="15"/>
      <c r="J41" s="1"/>
    </row>
    <row r="42" spans="1:10" x14ac:dyDescent="0.3">
      <c r="A42" s="38"/>
      <c r="B42" s="34"/>
      <c r="E42" s="35"/>
      <c r="F42" s="34"/>
      <c r="H42" s="35"/>
      <c r="I42" s="38"/>
    </row>
    <row r="43" spans="1:10" ht="15" thickBot="1" x14ac:dyDescent="0.35">
      <c r="A43" s="20"/>
      <c r="B43" s="36"/>
      <c r="C43" s="12"/>
      <c r="D43" s="73"/>
      <c r="E43" s="13"/>
      <c r="F43" s="36"/>
      <c r="G43" s="12"/>
      <c r="H43" s="13"/>
      <c r="I43" s="20"/>
    </row>
  </sheetData>
  <mergeCells count="2">
    <mergeCell ref="B12:E12"/>
    <mergeCell ref="F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L53"/>
  <sheetViews>
    <sheetView topLeftCell="F1" zoomScale="80" zoomScaleNormal="80" workbookViewId="0">
      <selection activeCell="A13" sqref="A13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9.5546875" style="55" customWidth="1"/>
    <col min="12" max="12" width="10.6640625" style="55" bestFit="1" customWidth="1"/>
    <col min="13" max="16384" width="8.88671875" style="55"/>
  </cols>
  <sheetData>
    <row r="1" spans="1:12" ht="15" thickBot="1" x14ac:dyDescent="0.35">
      <c r="A1" s="1"/>
      <c r="B1" s="1"/>
      <c r="C1" s="1"/>
      <c r="D1" s="1"/>
      <c r="E1" s="1"/>
      <c r="F1" s="54">
        <f ca="1">TODAY()-5</f>
        <v>45927</v>
      </c>
      <c r="G1" s="1"/>
      <c r="H1" s="1"/>
      <c r="I1" s="1"/>
      <c r="J1" s="1"/>
      <c r="K1" s="1"/>
      <c r="L1" s="1"/>
    </row>
    <row r="2" spans="1:12" ht="15" thickBot="1" x14ac:dyDescent="0.35">
      <c r="A2" s="30"/>
      <c r="B2" s="41" t="s">
        <v>0</v>
      </c>
      <c r="C2" s="45" t="s">
        <v>0</v>
      </c>
      <c r="D2" s="28" t="s">
        <v>1</v>
      </c>
      <c r="F2" s="27" t="s">
        <v>0</v>
      </c>
      <c r="G2" s="1"/>
      <c r="H2" s="45" t="s">
        <v>0</v>
      </c>
      <c r="I2" s="2"/>
      <c r="J2" s="28" t="s">
        <v>1</v>
      </c>
      <c r="K2" s="1"/>
      <c r="L2" s="1"/>
    </row>
    <row r="3" spans="1:12" x14ac:dyDescent="0.3">
      <c r="A3" s="15" t="s">
        <v>33</v>
      </c>
      <c r="B3" s="1" t="s">
        <v>30</v>
      </c>
      <c r="C3" s="1" t="s">
        <v>31</v>
      </c>
      <c r="D3" s="5" t="s">
        <v>32</v>
      </c>
      <c r="F3" s="53" cm="1">
        <f t="array" aca="1" ref="F3:G6" ca="1">_xll.BDH($B$4, "PX_LAST, ", $F$1, "")</f>
        <v>45929</v>
      </c>
      <c r="G3" s="1">
        <f ca="1"/>
        <v>45.945999999999998</v>
      </c>
      <c r="H3" s="53" cm="1">
        <f t="array" aca="1" ref="H3:I6" ca="1">_xll.BDH($C$4, "PX_LAST, ", $F$1, "")</f>
        <v>45929</v>
      </c>
      <c r="I3" s="47">
        <f ca="1"/>
        <v>35.258000000000003</v>
      </c>
      <c r="J3" s="53" cm="1">
        <f t="array" aca="1" ref="J3:K6" ca="1">_xll.BDH($D$4, "PX_LAST, ", $F$1, "")</f>
        <v>45929</v>
      </c>
      <c r="K3" s="1">
        <f ca="1"/>
        <v>48.598999999999997</v>
      </c>
      <c r="L3" s="1"/>
    </row>
    <row r="4" spans="1:12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F4" s="56">
        <f ca="1"/>
        <v>45930</v>
      </c>
      <c r="G4" s="1">
        <f ca="1"/>
        <v>47.238</v>
      </c>
      <c r="H4" s="54">
        <f ca="1"/>
        <v>45930</v>
      </c>
      <c r="I4" s="1">
        <f ca="1"/>
        <v>35.067999999999998</v>
      </c>
      <c r="J4" s="54">
        <f ca="1"/>
        <v>45930</v>
      </c>
      <c r="K4" s="1">
        <f ca="1"/>
        <v>49.289000000000001</v>
      </c>
      <c r="L4" s="1"/>
    </row>
    <row r="5" spans="1:12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F5" s="56">
        <f ca="1"/>
        <v>45931</v>
      </c>
      <c r="G5" s="1">
        <f ca="1"/>
        <v>47.076000000000001</v>
      </c>
      <c r="H5" s="54">
        <f ca="1"/>
        <v>45931</v>
      </c>
      <c r="I5" s="1">
        <f ca="1"/>
        <v>35.444000000000003</v>
      </c>
      <c r="J5" s="54">
        <f ca="1"/>
        <v>45931</v>
      </c>
      <c r="K5" s="1">
        <f ca="1"/>
        <v>49.095999999999997</v>
      </c>
      <c r="L5" s="1"/>
    </row>
    <row r="6" spans="1:12" x14ac:dyDescent="0.3">
      <c r="A6" s="15" t="s">
        <v>10</v>
      </c>
      <c r="B6" s="9">
        <v>0.05</v>
      </c>
      <c r="C6" s="9">
        <v>0.01</v>
      </c>
      <c r="D6" s="44">
        <v>0.01</v>
      </c>
      <c r="F6" s="56">
        <f ca="1"/>
        <v>45932</v>
      </c>
      <c r="G6" s="1">
        <f ca="1"/>
        <v>46.104999999999997</v>
      </c>
      <c r="H6" s="54">
        <f ca="1"/>
        <v>45932</v>
      </c>
      <c r="I6" s="1">
        <f ca="1"/>
        <v>33.92</v>
      </c>
      <c r="J6" s="54">
        <f ca="1"/>
        <v>45932</v>
      </c>
      <c r="K6" s="1">
        <f ca="1"/>
        <v>48.863999999999997</v>
      </c>
      <c r="L6" s="1"/>
    </row>
    <row r="7" spans="1:12" x14ac:dyDescent="0.3">
      <c r="A7" s="15" t="s">
        <v>12</v>
      </c>
      <c r="B7" s="9">
        <v>0</v>
      </c>
      <c r="C7" s="9">
        <v>0</v>
      </c>
      <c r="D7" s="44">
        <v>0</v>
      </c>
      <c r="G7" s="1"/>
      <c r="H7" s="1"/>
      <c r="I7" s="1"/>
      <c r="J7" s="1"/>
      <c r="K7" s="1"/>
      <c r="L7" s="1"/>
    </row>
    <row r="8" spans="1:12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</row>
    <row r="9" spans="1:12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</row>
    <row r="10" spans="1:12" ht="15" thickBot="1" x14ac:dyDescent="0.35">
      <c r="A10" s="16" t="s">
        <v>29</v>
      </c>
      <c r="B10" s="21" cm="1">
        <f t="array" ref="B10">_xll.BDP(B4,"px_last")</f>
        <v>46.104930000000003</v>
      </c>
      <c r="C10" s="21" cm="1">
        <f t="array" ref="C10">_xll.BDP(C4,"px_last")</f>
        <v>33.920169999999999</v>
      </c>
      <c r="D10" s="22" cm="1">
        <f t="array" ref="D10">_xll.BDP(D4,"px_last")</f>
        <v>48.864150000000002</v>
      </c>
      <c r="E10" s="1"/>
      <c r="F10" s="1"/>
      <c r="G10" s="1"/>
      <c r="H10" s="1"/>
      <c r="I10" s="1"/>
      <c r="J10" s="1"/>
      <c r="K10" s="1"/>
      <c r="L10" s="1"/>
    </row>
    <row r="11" spans="1:12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thickBot="1" x14ac:dyDescent="0.35">
      <c r="A12" s="40" t="s">
        <v>23</v>
      </c>
      <c r="B12" s="79" t="s">
        <v>0</v>
      </c>
      <c r="C12" s="80"/>
      <c r="D12" s="81"/>
      <c r="E12" s="85" t="s">
        <v>0</v>
      </c>
      <c r="F12" s="86"/>
      <c r="G12" s="87"/>
      <c r="H12" s="82" t="s">
        <v>1</v>
      </c>
      <c r="I12" s="83"/>
      <c r="J12" s="84"/>
      <c r="K12" s="40" t="s">
        <v>16</v>
      </c>
      <c r="L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25</v>
      </c>
      <c r="I13" s="21" t="s">
        <v>19</v>
      </c>
      <c r="J13" s="22" t="s">
        <v>20</v>
      </c>
      <c r="K13" s="16"/>
      <c r="L13" s="1"/>
    </row>
    <row r="14" spans="1:12" x14ac:dyDescent="0.3">
      <c r="A14" s="37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15"/>
      <c r="L14" s="1"/>
    </row>
    <row r="15" spans="1:12" x14ac:dyDescent="0.3">
      <c r="A15" s="37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39">
        <f>C15+D15+F15+G15-I15-J15</f>
        <v>-36864.819555555579</v>
      </c>
      <c r="L15" s="1"/>
    </row>
    <row r="16" spans="1:12" x14ac:dyDescent="0.3">
      <c r="A16" s="37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39">
        <f t="shared" ref="K16:K17" si="6">C16+D16+F16+G16-I16-J16</f>
        <v>-38790.459111111108</v>
      </c>
      <c r="L16" s="1"/>
    </row>
    <row r="17" spans="1:12" x14ac:dyDescent="0.3">
      <c r="A17" s="37">
        <v>45929</v>
      </c>
      <c r="B17" s="46">
        <v>45.945999999999998</v>
      </c>
      <c r="C17" s="31">
        <f t="shared" si="0"/>
        <v>-11862.983999999984</v>
      </c>
      <c r="D17" s="32">
        <f t="shared" si="1"/>
        <v>9722.2222222222226</v>
      </c>
      <c r="E17" s="4">
        <v>35.258000000000003</v>
      </c>
      <c r="F17" s="31">
        <f t="shared" si="2"/>
        <v>-10184.768000000022</v>
      </c>
      <c r="G17" s="32">
        <f t="shared" si="3"/>
        <v>2222.2222222222222</v>
      </c>
      <c r="H17" s="4">
        <v>48.598999999999997</v>
      </c>
      <c r="I17" s="31">
        <f t="shared" si="4"/>
        <v>30012.500000000044</v>
      </c>
      <c r="J17" s="32">
        <f t="shared" si="5"/>
        <v>3472.2222222222222</v>
      </c>
      <c r="K17" s="39">
        <f t="shared" si="6"/>
        <v>-43588.029777777825</v>
      </c>
      <c r="L17" s="1"/>
    </row>
    <row r="18" spans="1:12" x14ac:dyDescent="0.3">
      <c r="A18" s="37">
        <v>45930</v>
      </c>
      <c r="B18" s="46">
        <v>47.238</v>
      </c>
      <c r="C18" s="31">
        <f>-1*(B18-$B$14)*10^-4*$B$8*$B$5</f>
        <v>-22462.552</v>
      </c>
      <c r="D18" s="32">
        <f t="shared" ref="D18:D20" si="7">$B$6*(A18-$A$14)/360*$B$5</f>
        <v>11666.66666666667</v>
      </c>
      <c r="E18" s="4">
        <v>35.067999999999998</v>
      </c>
      <c r="F18" s="31">
        <f t="shared" ref="F18:F20" si="8">-1*(E18-$E$14)*10^-4*$C$8*$C$5</f>
        <v>-8646.5279999999839</v>
      </c>
      <c r="G18" s="32">
        <f t="shared" ref="G18:G20" si="9">$C$6*(A18-$A$14)/360*$C$5</f>
        <v>2666.6666666666665</v>
      </c>
      <c r="H18" s="4">
        <v>49.289000000000001</v>
      </c>
      <c r="I18" s="31">
        <f t="shared" ref="I18:I20" si="10">-1*(H18-$H$14)*10^-4*$D$8*$D$5</f>
        <v>21387.499999999982</v>
      </c>
      <c r="J18" s="32">
        <f t="shared" ref="J18" si="11">$D$6*(A18-$A$14)/360*$D$5</f>
        <v>4166.666666666667</v>
      </c>
      <c r="K18" s="39">
        <f>C18+D18+F18+G18-I18-J18</f>
        <v>-42329.913333333294</v>
      </c>
      <c r="L18" s="1"/>
    </row>
    <row r="19" spans="1:12" x14ac:dyDescent="0.3">
      <c r="A19" s="37">
        <v>45931</v>
      </c>
      <c r="B19" s="46">
        <v>47.076000000000001</v>
      </c>
      <c r="C19" s="31">
        <f>-1*(B19-$B$14)*10^-4*$B$8*$B$5</f>
        <v>-21133.504000000008</v>
      </c>
      <c r="D19" s="32">
        <f t="shared" si="7"/>
        <v>13611.111111111113</v>
      </c>
      <c r="E19" s="4">
        <v>35.444000000000003</v>
      </c>
      <c r="F19" s="31">
        <f t="shared" si="8"/>
        <v>-11690.62400000002</v>
      </c>
      <c r="G19" s="32">
        <f t="shared" si="9"/>
        <v>3111.1111111111113</v>
      </c>
      <c r="H19" s="4">
        <v>49.095999999999997</v>
      </c>
      <c r="I19" s="31">
        <f t="shared" si="10"/>
        <v>23800.00000000004</v>
      </c>
      <c r="J19" s="32">
        <f t="shared" ref="J19" si="12">$D$6*(A19-$A$14)/360*$D$5</f>
        <v>4861.1111111111113</v>
      </c>
      <c r="K19" s="39">
        <f t="shared" ref="K19" si="13">C19+D19+F19+G19-I19-J19</f>
        <v>-44763.016888888953</v>
      </c>
      <c r="L19" s="1"/>
    </row>
    <row r="20" spans="1:12" x14ac:dyDescent="0.3">
      <c r="A20" s="37">
        <v>45932</v>
      </c>
      <c r="B20" s="46">
        <v>46.104999999999997</v>
      </c>
      <c r="C20" s="31">
        <f>-1*(B20-$B$14)*10^-4*$B$8*$B$5</f>
        <v>-13167.419999999976</v>
      </c>
      <c r="D20" s="32">
        <f t="shared" si="7"/>
        <v>15555.555555555555</v>
      </c>
      <c r="E20" s="4">
        <v>33.918999999999997</v>
      </c>
      <c r="F20" s="31">
        <f t="shared" si="8"/>
        <v>655.77600000002474</v>
      </c>
      <c r="G20" s="32">
        <f t="shared" si="9"/>
        <v>3555.5555555555557</v>
      </c>
      <c r="H20" s="4">
        <v>49.017000000000003</v>
      </c>
      <c r="I20" s="31">
        <f t="shared" si="10"/>
        <v>24787.49999999996</v>
      </c>
      <c r="J20" s="32">
        <f t="shared" ref="J20" si="14">$D$6*(A20-$A$14)/360*$D$5</f>
        <v>5555.5555555555557</v>
      </c>
      <c r="K20" s="39">
        <f t="shared" ref="K20" si="15">C20+D20+F20+G20-I20-J20</f>
        <v>-23743.588444444358</v>
      </c>
      <c r="L20" s="1"/>
    </row>
    <row r="21" spans="1:12" x14ac:dyDescent="0.3">
      <c r="A21" s="37">
        <v>45933</v>
      </c>
      <c r="B21" s="46"/>
      <c r="C21" s="31"/>
      <c r="D21" s="32"/>
      <c r="E21" s="4"/>
      <c r="F21" s="31"/>
      <c r="G21" s="32"/>
      <c r="H21" s="4"/>
      <c r="I21" s="31"/>
      <c r="J21" s="32"/>
      <c r="K21" s="39"/>
      <c r="L21" s="1"/>
    </row>
    <row r="22" spans="1:12" x14ac:dyDescent="0.3">
      <c r="A22" s="37"/>
      <c r="B22" s="46"/>
      <c r="C22" s="31"/>
      <c r="D22" s="32"/>
      <c r="E22" s="4"/>
      <c r="F22" s="31"/>
      <c r="G22" s="32"/>
      <c r="H22" s="4"/>
      <c r="I22" s="31"/>
      <c r="J22" s="32"/>
      <c r="K22" s="39"/>
      <c r="L22" s="1"/>
    </row>
    <row r="23" spans="1:12" x14ac:dyDescent="0.3">
      <c r="A23" s="37"/>
      <c r="B23" s="46"/>
      <c r="C23" s="31"/>
      <c r="D23" s="32"/>
      <c r="E23" s="4"/>
      <c r="F23" s="31"/>
      <c r="G23" s="32"/>
      <c r="H23" s="4"/>
      <c r="I23" s="31"/>
      <c r="J23" s="32"/>
      <c r="K23" s="39"/>
      <c r="L23" s="1"/>
    </row>
    <row r="24" spans="1:12" x14ac:dyDescent="0.3">
      <c r="A24" s="37"/>
      <c r="B24" s="46"/>
      <c r="C24" s="31"/>
      <c r="D24" s="32"/>
      <c r="E24" s="4"/>
      <c r="F24" s="31"/>
      <c r="G24" s="32"/>
      <c r="H24" s="4"/>
      <c r="I24" s="31"/>
      <c r="J24" s="32"/>
      <c r="K24" s="39"/>
      <c r="L24" s="1"/>
    </row>
    <row r="25" spans="1:12" x14ac:dyDescent="0.3">
      <c r="A25" s="37"/>
      <c r="B25" s="46"/>
      <c r="C25" s="31"/>
      <c r="D25" s="32"/>
      <c r="E25" s="4"/>
      <c r="F25" s="31"/>
      <c r="G25" s="32"/>
      <c r="H25" s="4"/>
      <c r="I25" s="31"/>
      <c r="J25" s="32"/>
      <c r="K25" s="39"/>
      <c r="L25" s="1"/>
    </row>
    <row r="26" spans="1:12" x14ac:dyDescent="0.3">
      <c r="A26" s="37"/>
      <c r="B26" s="46"/>
      <c r="C26" s="31"/>
      <c r="D26" s="32"/>
      <c r="E26" s="4"/>
      <c r="F26" s="31"/>
      <c r="G26" s="32"/>
      <c r="H26" s="4"/>
      <c r="I26" s="31"/>
      <c r="J26" s="32"/>
      <c r="K26" s="39"/>
      <c r="L26" s="1"/>
    </row>
    <row r="27" spans="1:12" x14ac:dyDescent="0.3">
      <c r="A27" s="57"/>
      <c r="B27" s="58"/>
      <c r="C27" s="59"/>
      <c r="D27" s="60"/>
      <c r="E27" s="4"/>
      <c r="F27" s="31"/>
      <c r="G27" s="32"/>
      <c r="H27" s="4"/>
      <c r="I27" s="31"/>
      <c r="J27" s="32"/>
      <c r="K27" s="39"/>
      <c r="L27" s="1"/>
    </row>
    <row r="28" spans="1:12" x14ac:dyDescent="0.3">
      <c r="A28" s="37"/>
      <c r="B28" s="46"/>
      <c r="C28" s="31"/>
      <c r="D28" s="32"/>
      <c r="E28" s="4"/>
      <c r="F28" s="31"/>
      <c r="G28" s="32"/>
      <c r="H28" s="4"/>
      <c r="I28" s="31"/>
      <c r="J28" s="32"/>
      <c r="K28" s="39"/>
      <c r="L28" s="1"/>
    </row>
    <row r="29" spans="1:12" x14ac:dyDescent="0.3">
      <c r="A29" s="37"/>
      <c r="B29" s="46"/>
      <c r="C29" s="31"/>
      <c r="D29" s="32"/>
      <c r="E29" s="4"/>
      <c r="F29" s="31"/>
      <c r="G29" s="32"/>
      <c r="H29" s="4"/>
      <c r="I29" s="31"/>
      <c r="J29" s="32"/>
      <c r="K29" s="39"/>
      <c r="L29" s="1"/>
    </row>
    <row r="30" spans="1:12" x14ac:dyDescent="0.3">
      <c r="A30" s="57"/>
      <c r="B30" s="46"/>
      <c r="C30" s="31"/>
      <c r="D30" s="32"/>
      <c r="E30" s="4"/>
      <c r="F30" s="31"/>
      <c r="G30" s="32"/>
      <c r="H30" s="4"/>
      <c r="I30" s="31"/>
      <c r="J30" s="32"/>
      <c r="K30" s="39"/>
      <c r="L30" s="1"/>
    </row>
    <row r="31" spans="1:12" x14ac:dyDescent="0.3">
      <c r="A31" s="57"/>
      <c r="B31" s="46"/>
      <c r="C31" s="31"/>
      <c r="D31" s="32"/>
      <c r="E31" s="4"/>
      <c r="F31" s="31"/>
      <c r="G31" s="32"/>
      <c r="H31" s="4"/>
      <c r="I31" s="31"/>
      <c r="J31" s="32"/>
      <c r="K31" s="39"/>
      <c r="L31" s="1"/>
    </row>
    <row r="32" spans="1:12" x14ac:dyDescent="0.3">
      <c r="A32" s="15"/>
      <c r="B32" s="46"/>
      <c r="C32" s="31"/>
      <c r="D32" s="32"/>
      <c r="E32" s="4"/>
      <c r="F32" s="31"/>
      <c r="G32" s="32"/>
      <c r="H32" s="4"/>
      <c r="I32" s="31"/>
      <c r="J32" s="32"/>
      <c r="K32" s="39"/>
      <c r="L32" s="1"/>
    </row>
    <row r="33" spans="1:12" x14ac:dyDescent="0.3">
      <c r="A33" s="15"/>
      <c r="B33" s="46"/>
      <c r="C33" s="31"/>
      <c r="D33" s="32"/>
      <c r="E33" s="4"/>
      <c r="F33" s="31"/>
      <c r="G33" s="32"/>
      <c r="H33" s="4"/>
      <c r="I33" s="31"/>
      <c r="J33" s="32"/>
      <c r="K33" s="39"/>
      <c r="L33" s="1"/>
    </row>
    <row r="34" spans="1:12" x14ac:dyDescent="0.3">
      <c r="A34" s="15"/>
      <c r="B34" s="46"/>
      <c r="C34" s="31"/>
      <c r="D34" s="32"/>
      <c r="E34" s="4"/>
      <c r="F34" s="31"/>
      <c r="G34" s="32"/>
      <c r="H34" s="4"/>
      <c r="I34" s="31"/>
      <c r="J34" s="32"/>
      <c r="K34" s="39"/>
      <c r="L34" s="1"/>
    </row>
    <row r="35" spans="1:12" x14ac:dyDescent="0.3">
      <c r="A35" s="15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</row>
    <row r="36" spans="1:12" x14ac:dyDescent="0.3">
      <c r="A36" s="15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</row>
    <row r="37" spans="1:12" x14ac:dyDescent="0.3">
      <c r="A37" s="15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</row>
    <row r="38" spans="1:12" x14ac:dyDescent="0.3">
      <c r="A38" s="15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</row>
    <row r="39" spans="1:12" x14ac:dyDescent="0.3">
      <c r="A39" s="15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</row>
    <row r="40" spans="1:12" x14ac:dyDescent="0.3">
      <c r="A40" s="15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</row>
    <row r="41" spans="1:12" ht="15" thickBot="1" x14ac:dyDescent="0.35">
      <c r="A41" s="16"/>
      <c r="B41" s="49"/>
      <c r="C41" s="50"/>
      <c r="D41" s="51"/>
      <c r="E41" s="11"/>
      <c r="F41" s="50"/>
      <c r="G41" s="51"/>
      <c r="H41" s="11"/>
      <c r="I41" s="50"/>
      <c r="J41" s="51"/>
      <c r="K41" s="52"/>
      <c r="L41" s="1"/>
    </row>
    <row r="42" spans="1:12" x14ac:dyDescent="0.3">
      <c r="B42" s="61"/>
      <c r="C42" s="61"/>
      <c r="D42" s="61"/>
      <c r="F42" s="59"/>
      <c r="G42" s="59"/>
      <c r="I42" s="59"/>
      <c r="J42" s="59"/>
      <c r="K42" s="59"/>
    </row>
    <row r="43" spans="1:12" x14ac:dyDescent="0.3">
      <c r="B43" s="61"/>
      <c r="C43" s="61"/>
      <c r="D43" s="61"/>
      <c r="I43" s="59"/>
      <c r="J43" s="59"/>
      <c r="K43" s="59"/>
    </row>
    <row r="44" spans="1:12" x14ac:dyDescent="0.3">
      <c r="B44" s="61"/>
      <c r="C44" s="61"/>
      <c r="D44" s="61"/>
      <c r="I44" s="59"/>
      <c r="J44" s="59"/>
      <c r="K44" s="59"/>
    </row>
    <row r="45" spans="1:12" x14ac:dyDescent="0.3">
      <c r="B45" s="61"/>
      <c r="C45" s="61"/>
      <c r="D45" s="61"/>
      <c r="I45" s="59"/>
      <c r="J45" s="59"/>
      <c r="K45" s="59"/>
    </row>
    <row r="46" spans="1:12" x14ac:dyDescent="0.3">
      <c r="B46" s="61"/>
      <c r="C46" s="61"/>
      <c r="D46" s="61"/>
    </row>
    <row r="47" spans="1:12" x14ac:dyDescent="0.3">
      <c r="B47" s="61"/>
      <c r="C47" s="61"/>
      <c r="D47" s="61"/>
    </row>
    <row r="48" spans="1:12" x14ac:dyDescent="0.3">
      <c r="B48" s="61"/>
      <c r="C48" s="61"/>
      <c r="D48" s="61"/>
    </row>
    <row r="49" spans="2:4" x14ac:dyDescent="0.3">
      <c r="B49" s="61"/>
      <c r="C49" s="61"/>
      <c r="D49" s="61"/>
    </row>
    <row r="50" spans="2:4" x14ac:dyDescent="0.3">
      <c r="B50" s="61"/>
      <c r="C50" s="61"/>
      <c r="D50" s="61"/>
    </row>
    <row r="51" spans="2:4" x14ac:dyDescent="0.3">
      <c r="B51" s="61"/>
      <c r="C51" s="61"/>
      <c r="D51" s="61"/>
    </row>
    <row r="52" spans="2:4" x14ac:dyDescent="0.3">
      <c r="B52" s="61"/>
      <c r="C52" s="61"/>
      <c r="D52" s="61"/>
    </row>
    <row r="53" spans="2:4" x14ac:dyDescent="0.3">
      <c r="B53" s="61"/>
      <c r="C53" s="61"/>
      <c r="D53" s="61"/>
    </row>
  </sheetData>
  <mergeCells count="3">
    <mergeCell ref="H12:J12"/>
    <mergeCell ref="B12:D12"/>
    <mergeCell ref="E12:G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L53"/>
  <sheetViews>
    <sheetView zoomScale="80" zoomScaleNormal="80" workbookViewId="0">
      <selection activeCell="F20" sqref="F20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TODAY()-5</f>
        <v>45927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37</v>
      </c>
      <c r="C3" s="5" t="s">
        <v>38</v>
      </c>
      <c r="E3" s="53" cm="1">
        <f t="array" aca="1" ref="E3:F6" ca="1">_xll.BDH($B$4, "PX_LAST, ",E1, "")</f>
        <v>45929</v>
      </c>
      <c r="F3" s="1">
        <f ca="1"/>
        <v>57.143999999999998</v>
      </c>
      <c r="G3" s="53" cm="1">
        <f t="array" aca="1" ref="G3:H6" ca="1">_xll.BDH($C$4, "PX_LAST, ",E1, "")</f>
        <v>45929</v>
      </c>
      <c r="H3" s="47">
        <f ca="1"/>
        <v>39.978000000000002</v>
      </c>
      <c r="J3" s="1"/>
    </row>
    <row r="4" spans="1:12" ht="32.25" customHeight="1" x14ac:dyDescent="0.3">
      <c r="A4" s="15" t="s">
        <v>34</v>
      </c>
      <c r="B4" s="42" t="s">
        <v>39</v>
      </c>
      <c r="C4" s="43" t="s">
        <v>40</v>
      </c>
      <c r="E4" s="54">
        <f ca="1"/>
        <v>45930</v>
      </c>
      <c r="F4" s="1">
        <f ca="1"/>
        <v>57.469000000000001</v>
      </c>
      <c r="G4" s="54">
        <f ca="1"/>
        <v>45930</v>
      </c>
      <c r="H4" s="1">
        <f ca="1"/>
        <v>40.097999999999999</v>
      </c>
      <c r="I4" s="1"/>
    </row>
    <row r="5" spans="1:12" x14ac:dyDescent="0.3">
      <c r="A5" s="15" t="s">
        <v>8</v>
      </c>
      <c r="B5" s="7">
        <f>20*10^6</f>
        <v>20000000</v>
      </c>
      <c r="C5" s="8">
        <f>28*10^6</f>
        <v>28000000</v>
      </c>
      <c r="E5" s="54">
        <f ca="1"/>
        <v>45931</v>
      </c>
      <c r="F5" s="1">
        <f ca="1"/>
        <v>57.505000000000003</v>
      </c>
      <c r="G5" s="54">
        <f ca="1"/>
        <v>45931</v>
      </c>
      <c r="H5" s="1">
        <f ca="1"/>
        <v>40.186</v>
      </c>
      <c r="I5" s="1"/>
      <c r="L5" s="63"/>
    </row>
    <row r="6" spans="1:12" x14ac:dyDescent="0.3">
      <c r="A6" s="15" t="s">
        <v>10</v>
      </c>
      <c r="B6" s="9">
        <v>0.01</v>
      </c>
      <c r="C6" s="44">
        <v>0.01</v>
      </c>
      <c r="E6" s="54">
        <f ca="1"/>
        <v>45932</v>
      </c>
      <c r="F6" s="1">
        <f ca="1"/>
        <v>57.084000000000003</v>
      </c>
      <c r="G6" s="54">
        <f ca="1"/>
        <v>45932</v>
      </c>
      <c r="H6" s="1">
        <f ca="1"/>
        <v>39.21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1"/>
      <c r="F7" s="1"/>
      <c r="G7" s="1"/>
      <c r="H7" s="1"/>
      <c r="I7" s="1"/>
    </row>
    <row r="8" spans="1:12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57.08361</v>
      </c>
      <c r="C10" s="22" cm="1">
        <f t="array" ref="C10">_xll.BDP(C4,"px_last")</f>
        <v>39.21022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79" t="s">
        <v>0</v>
      </c>
      <c r="C12" s="80"/>
      <c r="D12" s="81"/>
      <c r="E12" s="82" t="s">
        <v>1</v>
      </c>
      <c r="F12" s="83"/>
      <c r="G12" s="84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6"/>
      <c r="I13" s="1"/>
    </row>
    <row r="14" spans="1:12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15"/>
      <c r="I14" s="1"/>
    </row>
    <row r="15" spans="1:12" x14ac:dyDescent="0.3">
      <c r="A15" s="37">
        <v>45926</v>
      </c>
      <c r="B15" s="46">
        <v>58.128</v>
      </c>
      <c r="C15" s="31">
        <f>-1*(B15-$B$14)*10^-4*$B$8*$B$5</f>
        <v>-6229.7600000000011</v>
      </c>
      <c r="D15" s="32">
        <f>$B$6*(A15-$A$14)/360*$B$5</f>
        <v>555.55555555555554</v>
      </c>
      <c r="E15" s="4">
        <v>40.033999999999999</v>
      </c>
      <c r="F15" s="31">
        <f>-1*(E15-$E$14)*10^-4*$C$8*$C$5</f>
        <v>-478.85599999998482</v>
      </c>
      <c r="G15" s="32">
        <f>$C$6*(A15-$A$14)/360*$C$5</f>
        <v>777.77777777777783</v>
      </c>
      <c r="H15" s="39">
        <f>C15+D15-F15-G15</f>
        <v>-5973.1262222222376</v>
      </c>
      <c r="I15" s="1"/>
    </row>
    <row r="16" spans="1:12" x14ac:dyDescent="0.3">
      <c r="A16" s="37">
        <v>45929</v>
      </c>
      <c r="B16" s="46">
        <v>57.143999999999998</v>
      </c>
      <c r="C16" s="31">
        <f>-1*(B16-$B$14)*10^-4*$B$8*$B$5</f>
        <v>3531.5200000000164</v>
      </c>
      <c r="D16" s="32">
        <f>$B$6*(A16-$A$14)/360*$B$5</f>
        <v>2222.2222222222222</v>
      </c>
      <c r="E16" s="4">
        <v>39.978000000000002</v>
      </c>
      <c r="F16" s="31">
        <f>-1*(E16-$E$14)*10^-4*$C$8*$C$5</f>
        <v>309.84799999997841</v>
      </c>
      <c r="G16" s="32">
        <f>$C$6*(A16-$A$14)/360*$C$5</f>
        <v>3111.1111111111113</v>
      </c>
      <c r="H16" s="39">
        <f t="shared" ref="H16" si="0">C16+D16-F16-G16</f>
        <v>2332.7831111111491</v>
      </c>
      <c r="I16" s="1"/>
    </row>
    <row r="17" spans="1:9" x14ac:dyDescent="0.3">
      <c r="A17" s="37">
        <v>45930</v>
      </c>
      <c r="B17" s="46">
        <v>57.469000000000001</v>
      </c>
      <c r="C17" s="31">
        <f>-1*(B17-$B$14)*10^-4*$B$8*$B$5</f>
        <v>307.51999999998822</v>
      </c>
      <c r="D17" s="32">
        <f>$B$6*(A17-$A$14)/360*$B$5</f>
        <v>2777.7777777777778</v>
      </c>
      <c r="E17" s="4">
        <v>40.097999999999999</v>
      </c>
      <c r="F17" s="31">
        <f>-1*(E17-$E$14)*10^-4*$C$8*$C$5</f>
        <v>-1380.2319999999856</v>
      </c>
      <c r="G17" s="32">
        <f>$C$6*(A17-$A$14)/360*$C$5</f>
        <v>3888.8888888888887</v>
      </c>
      <c r="H17" s="39">
        <f t="shared" ref="H17:H18" si="1">C17+D17-F17-G17</f>
        <v>576.64088888886272</v>
      </c>
      <c r="I17" s="1"/>
    </row>
    <row r="18" spans="1:9" x14ac:dyDescent="0.3">
      <c r="A18" s="37">
        <v>45931</v>
      </c>
      <c r="B18" s="46">
        <v>57.505000000000003</v>
      </c>
      <c r="C18" s="31">
        <f>-1*(B18-$B$14)*10^-4*$B$8*$B$5</f>
        <v>-49.600000000025375</v>
      </c>
      <c r="D18" s="32">
        <f>$B$6*(A18-$A$14)/360*$B$5</f>
        <v>3333.333333333333</v>
      </c>
      <c r="E18" s="4">
        <v>40.186</v>
      </c>
      <c r="F18" s="31">
        <f>-1*(E18-$E$14)*10^-4*$C$8*$C$5</f>
        <v>-2619.6239999999993</v>
      </c>
      <c r="G18" s="32">
        <f>$C$6*(A18-$A$14)/360*$C$5</f>
        <v>4666.6666666666661</v>
      </c>
      <c r="H18" s="39">
        <f t="shared" si="1"/>
        <v>1236.6906666666409</v>
      </c>
      <c r="I18" s="1"/>
    </row>
    <row r="19" spans="1:9" x14ac:dyDescent="0.3">
      <c r="A19" s="37">
        <v>45932</v>
      </c>
      <c r="B19" s="46">
        <v>57.088000000000001</v>
      </c>
      <c r="C19" s="31">
        <f>-1*(B19-$B$14)*10^-4*$B$8*$B$5</f>
        <v>4087.0399999999904</v>
      </c>
      <c r="D19" s="32">
        <f>$B$6*(A19-$A$14)/360*$B$5</f>
        <v>3888.8888888888891</v>
      </c>
      <c r="E19" s="4">
        <v>39.185000000000002</v>
      </c>
      <c r="F19" s="31">
        <f>-1*(E19-$E$14)*10^-4*$C$8*$C$5</f>
        <v>11478.459999999968</v>
      </c>
      <c r="G19" s="32">
        <f>$C$6*(A19-$A$14)/360*$C$5</f>
        <v>5444.4444444444453</v>
      </c>
      <c r="H19" s="39">
        <f t="shared" ref="H19" si="2">C19+D19-F19-G19</f>
        <v>-8946.9755555555348</v>
      </c>
      <c r="I19" s="1"/>
    </row>
    <row r="20" spans="1:9" x14ac:dyDescent="0.3">
      <c r="A20" s="37"/>
      <c r="B20" s="46"/>
      <c r="C20" s="31"/>
      <c r="D20" s="32"/>
      <c r="E20" s="4"/>
      <c r="F20" s="31"/>
      <c r="G20" s="32"/>
      <c r="H20" s="39"/>
      <c r="I20" s="1"/>
    </row>
    <row r="21" spans="1:9" x14ac:dyDescent="0.3">
      <c r="A21" s="37"/>
      <c r="B21" s="46"/>
      <c r="C21" s="31"/>
      <c r="D21" s="32"/>
      <c r="E21" s="4"/>
      <c r="F21" s="31"/>
      <c r="G21" s="32"/>
      <c r="H21" s="39"/>
      <c r="I21" s="1"/>
    </row>
    <row r="22" spans="1:9" x14ac:dyDescent="0.3">
      <c r="A22" s="37"/>
      <c r="B22" s="46"/>
      <c r="C22" s="31"/>
      <c r="D22" s="32"/>
      <c r="E22" s="4"/>
      <c r="F22" s="31"/>
      <c r="G22" s="32"/>
      <c r="H22" s="39"/>
      <c r="I22" s="1"/>
    </row>
    <row r="23" spans="1:9" x14ac:dyDescent="0.3">
      <c r="A23" s="37"/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2"/>
      <c r="C27" s="63"/>
      <c r="D27" s="64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5"/>
      <c r="C42" s="65"/>
      <c r="D42" s="65"/>
      <c r="F42" s="63"/>
      <c r="G42" s="63"/>
      <c r="H42" s="63"/>
    </row>
    <row r="43" spans="1:9" x14ac:dyDescent="0.3">
      <c r="B43" s="65"/>
      <c r="C43" s="65"/>
      <c r="D43" s="65"/>
      <c r="F43" s="63"/>
      <c r="G43" s="63"/>
      <c r="H43" s="63"/>
    </row>
    <row r="44" spans="1:9" x14ac:dyDescent="0.3">
      <c r="B44" s="65"/>
      <c r="C44" s="65"/>
      <c r="D44" s="65"/>
      <c r="F44" s="63"/>
      <c r="G44" s="63"/>
      <c r="H44" s="63"/>
    </row>
    <row r="45" spans="1:9" x14ac:dyDescent="0.3">
      <c r="B45" s="65"/>
      <c r="C45" s="65"/>
      <c r="D45" s="65"/>
      <c r="F45" s="63"/>
      <c r="G45" s="63"/>
      <c r="H45" s="63"/>
    </row>
    <row r="46" spans="1:9" x14ac:dyDescent="0.3">
      <c r="B46" s="65"/>
      <c r="C46" s="65"/>
      <c r="D46" s="65"/>
    </row>
    <row r="47" spans="1:9" x14ac:dyDescent="0.3">
      <c r="B47" s="65"/>
      <c r="C47" s="65"/>
      <c r="D47" s="65"/>
    </row>
    <row r="48" spans="1:9" x14ac:dyDescent="0.3">
      <c r="B48" s="65"/>
      <c r="C48" s="65"/>
      <c r="D48" s="65"/>
    </row>
    <row r="49" spans="2:4" x14ac:dyDescent="0.3">
      <c r="B49" s="65"/>
      <c r="C49" s="65"/>
      <c r="D49" s="65"/>
    </row>
    <row r="50" spans="2:4" x14ac:dyDescent="0.3">
      <c r="B50" s="65"/>
      <c r="C50" s="65"/>
      <c r="D50" s="65"/>
    </row>
    <row r="51" spans="2:4" x14ac:dyDescent="0.3">
      <c r="B51" s="65"/>
      <c r="C51" s="65"/>
      <c r="D51" s="65"/>
    </row>
    <row r="52" spans="2:4" x14ac:dyDescent="0.3">
      <c r="B52" s="65"/>
      <c r="C52" s="65"/>
      <c r="D52" s="65"/>
    </row>
    <row r="53" spans="2:4" x14ac:dyDescent="0.3">
      <c r="B53" s="65"/>
      <c r="C53" s="65"/>
      <c r="D53" s="65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53"/>
  <sheetViews>
    <sheetView zoomScale="80" zoomScaleNormal="80" workbookViewId="0">
      <selection activeCell="H15" sqref="H15"/>
    </sheetView>
  </sheetViews>
  <sheetFormatPr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0" width="8.88671875" style="3"/>
    <col min="11" max="11" width="10.21875" style="3" bestFit="1" customWidth="1"/>
    <col min="12" max="12" width="12.21875" style="3" bestFit="1" customWidth="1"/>
    <col min="13" max="16384" width="8.88671875" style="3"/>
  </cols>
  <sheetData>
    <row r="1" spans="1:13" ht="15" thickBot="1" x14ac:dyDescent="0.35">
      <c r="A1" s="1"/>
      <c r="B1" s="1"/>
      <c r="C1" s="1"/>
      <c r="D1" s="1"/>
      <c r="E1" s="54">
        <f ca="1">TODAY()-5</f>
        <v>45927</v>
      </c>
      <c r="G1" s="1"/>
      <c r="H1" s="1"/>
      <c r="I1" s="1"/>
      <c r="J1" s="1"/>
    </row>
    <row r="2" spans="1:13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3" x14ac:dyDescent="0.3">
      <c r="A3" s="15" t="s">
        <v>33</v>
      </c>
      <c r="B3" s="67" t="s">
        <v>41</v>
      </c>
      <c r="C3" s="68" t="s">
        <v>42</v>
      </c>
      <c r="E3" s="53" cm="1">
        <f t="array" aca="1" ref="E3:F6" ca="1">_xll.BDH($B$4, "PX_LAST, ",E1, "")</f>
        <v>45929</v>
      </c>
      <c r="F3" s="1">
        <f ca="1"/>
        <v>94.671000000000006</v>
      </c>
      <c r="G3" s="53" cm="1">
        <f t="array" aca="1" ref="G3:H6" ca="1">_xll.BDH($C$4, "PX_LAST, ",E1, "")</f>
        <v>45929</v>
      </c>
      <c r="H3" s="47">
        <f ca="1"/>
        <v>105.968</v>
      </c>
      <c r="J3" s="1"/>
    </row>
    <row r="4" spans="1:13" ht="32.25" customHeight="1" x14ac:dyDescent="0.3">
      <c r="A4" s="15" t="s">
        <v>34</v>
      </c>
      <c r="B4" s="69" t="s">
        <v>43</v>
      </c>
      <c r="C4" s="43" t="s">
        <v>44</v>
      </c>
      <c r="E4" s="54">
        <f ca="1"/>
        <v>45930</v>
      </c>
      <c r="F4" s="1">
        <f ca="1"/>
        <v>94.893000000000001</v>
      </c>
      <c r="G4" s="54">
        <f ca="1"/>
        <v>45930</v>
      </c>
      <c r="H4" s="1">
        <f ca="1"/>
        <v>105.925</v>
      </c>
      <c r="I4" s="1"/>
    </row>
    <row r="5" spans="1:13" x14ac:dyDescent="0.3">
      <c r="A5" s="15" t="s">
        <v>8</v>
      </c>
      <c r="B5" s="70">
        <f>18*10^6</f>
        <v>18000000</v>
      </c>
      <c r="C5" s="8">
        <f>10*10^6</f>
        <v>10000000</v>
      </c>
      <c r="E5" s="54">
        <f ca="1"/>
        <v>45931</v>
      </c>
      <c r="F5" s="1">
        <f ca="1"/>
        <v>94.757000000000005</v>
      </c>
      <c r="G5" s="54">
        <f ca="1"/>
        <v>45931</v>
      </c>
      <c r="H5" s="1">
        <f ca="1"/>
        <v>105.964</v>
      </c>
      <c r="I5" s="1"/>
      <c r="L5" s="63"/>
    </row>
    <row r="6" spans="1:13" x14ac:dyDescent="0.3">
      <c r="A6" s="15" t="s">
        <v>10</v>
      </c>
      <c r="B6" s="71">
        <v>4.3749999999999997E-2</v>
      </c>
      <c r="C6" s="66">
        <v>7.6249999999999998E-2</v>
      </c>
      <c r="E6" s="54">
        <f ca="1"/>
        <v>45932</v>
      </c>
      <c r="F6" s="1">
        <f ca="1"/>
        <v>94.863</v>
      </c>
      <c r="G6" s="54">
        <f ca="1"/>
        <v>45932</v>
      </c>
      <c r="H6" s="1">
        <f ca="1"/>
        <v>106.093</v>
      </c>
      <c r="I6" s="1"/>
      <c r="K6" s="74"/>
      <c r="L6" s="74"/>
      <c r="M6" s="74"/>
    </row>
    <row r="7" spans="1:13" x14ac:dyDescent="0.3">
      <c r="A7" s="15" t="s">
        <v>12</v>
      </c>
      <c r="B7" s="72">
        <v>4.2299999999999997E-2</v>
      </c>
      <c r="C7" s="10">
        <v>4.2299999999999997E-2</v>
      </c>
      <c r="E7" s="1"/>
      <c r="F7" s="1"/>
      <c r="G7" s="1"/>
      <c r="H7" s="1"/>
      <c r="I7" s="1"/>
    </row>
    <row r="8" spans="1:13" x14ac:dyDescent="0.3">
      <c r="A8" s="15" t="s">
        <v>14</v>
      </c>
      <c r="B8" s="4" t="s">
        <v>24</v>
      </c>
      <c r="C8" s="5" t="s">
        <v>24</v>
      </c>
      <c r="E8" s="1"/>
      <c r="F8" s="1"/>
      <c r="G8" s="1"/>
      <c r="H8" s="1"/>
      <c r="I8" s="1"/>
      <c r="K8" s="74"/>
      <c r="L8" s="74"/>
    </row>
    <row r="9" spans="1:13" x14ac:dyDescent="0.3">
      <c r="A9" s="15" t="s">
        <v>15</v>
      </c>
      <c r="B9" s="4" t="s">
        <v>24</v>
      </c>
      <c r="C9" s="5" t="s">
        <v>24</v>
      </c>
      <c r="E9" s="1"/>
      <c r="F9" s="1"/>
      <c r="G9" s="1"/>
      <c r="H9" s="1"/>
      <c r="I9" s="1"/>
    </row>
    <row r="10" spans="1:13" ht="15" thickBot="1" x14ac:dyDescent="0.35">
      <c r="A10" s="16" t="s">
        <v>29</v>
      </c>
      <c r="B10" s="11" cm="1">
        <f t="array" ref="B10">_xll.BDP(B4,"px_last")</f>
        <v>94.863</v>
      </c>
      <c r="C10" s="22" cm="1">
        <f t="array" ref="C10">_xll.BDP(C4,"px_last")</f>
        <v>106.093</v>
      </c>
      <c r="E10" s="1"/>
      <c r="F10" s="1"/>
      <c r="G10" s="1"/>
      <c r="H10" s="1"/>
      <c r="I10" s="1"/>
    </row>
    <row r="11" spans="1:13" ht="15" thickBot="1" x14ac:dyDescent="0.35">
      <c r="C11" s="1"/>
      <c r="D11" s="1"/>
      <c r="E11" s="1"/>
      <c r="F11" s="1"/>
      <c r="G11" s="1"/>
      <c r="H11" s="1"/>
      <c r="I11" s="1"/>
    </row>
    <row r="12" spans="1:13" ht="15" thickBot="1" x14ac:dyDescent="0.35">
      <c r="A12" s="40" t="s">
        <v>23</v>
      </c>
      <c r="B12" s="79" t="s">
        <v>0</v>
      </c>
      <c r="C12" s="80"/>
      <c r="D12" s="81"/>
      <c r="E12" s="82" t="s">
        <v>1</v>
      </c>
      <c r="F12" s="83"/>
      <c r="G12" s="84"/>
      <c r="H12" s="40" t="s">
        <v>16</v>
      </c>
      <c r="I12" s="1"/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</row>
    <row r="14" spans="1:13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15"/>
      <c r="I14" s="1"/>
    </row>
    <row r="15" spans="1:13" x14ac:dyDescent="0.3">
      <c r="A15" s="37">
        <v>45931</v>
      </c>
      <c r="B15" s="46">
        <v>94.757000000000005</v>
      </c>
      <c r="C15" s="31">
        <f>(B15-$B$14)/100*$B$5</f>
        <v>-21239.999999999098</v>
      </c>
      <c r="D15" s="32">
        <f>(A15-$A$14)/360*$B$6*$B$5-(A15-$A$14)/360*$B$7*$B$5*$B$14/100</f>
        <v>180.89374999999995</v>
      </c>
      <c r="E15" s="4">
        <v>105.964</v>
      </c>
      <c r="F15" s="31">
        <f>(E15-$E$14)/100*$C$5</f>
        <v>21399.999999999865</v>
      </c>
      <c r="G15" s="32">
        <f>(A15-$A$14)/360*$C$6*$C$5-(A15-$A$14)/360*$C$7*$C$5*$E$14/100</f>
        <v>875.49305555555566</v>
      </c>
      <c r="H15" s="39">
        <f>C15+D15-F15-G15</f>
        <v>-43334.599305554519</v>
      </c>
      <c r="I15" s="1"/>
    </row>
    <row r="16" spans="1:13" x14ac:dyDescent="0.3">
      <c r="A16" s="37">
        <v>45932</v>
      </c>
      <c r="B16" s="46">
        <v>94.878</v>
      </c>
      <c r="C16" s="31">
        <f>(B16-$B$14)/100*$B$5</f>
        <v>540.00000000002046</v>
      </c>
      <c r="D16" s="32">
        <f>(A16-$A$14)/360*$B$6*$B$5-(A16-$A$14)/360*$B$7*$B$5*$B$14/100</f>
        <v>361.78749999999991</v>
      </c>
      <c r="E16" s="4">
        <v>106.062</v>
      </c>
      <c r="F16" s="31">
        <f>(E16-$E$14)/100*$C$5</f>
        <v>31199.99999999976</v>
      </c>
      <c r="G16" s="32">
        <f>(A16-$A$14)/360*$C$6*$C$5-(A16-$A$14)/360*$C$7*$C$5*$E$14/100</f>
        <v>1750.9861111111113</v>
      </c>
      <c r="H16" s="39">
        <f>C16+D16-F16-G16</f>
        <v>-32049.198611110849</v>
      </c>
      <c r="I16" s="1"/>
    </row>
    <row r="17" spans="1:9" x14ac:dyDescent="0.3">
      <c r="A17" s="37">
        <v>45933</v>
      </c>
      <c r="B17" s="46"/>
      <c r="C17" s="31"/>
      <c r="D17" s="32"/>
      <c r="E17" s="4"/>
      <c r="F17" s="31"/>
      <c r="G17" s="32"/>
      <c r="H17" s="39"/>
      <c r="I17" s="1"/>
    </row>
    <row r="18" spans="1:9" x14ac:dyDescent="0.3">
      <c r="A18" s="37">
        <v>45934</v>
      </c>
      <c r="B18" s="46"/>
      <c r="C18" s="31"/>
      <c r="D18" s="32"/>
      <c r="E18" s="4"/>
      <c r="F18" s="31"/>
      <c r="G18" s="32"/>
      <c r="H18" s="39"/>
      <c r="I18" s="1"/>
    </row>
    <row r="19" spans="1:9" x14ac:dyDescent="0.3">
      <c r="A19" s="37"/>
      <c r="B19" s="46"/>
      <c r="C19" s="31"/>
      <c r="D19" s="32"/>
      <c r="E19" s="4"/>
      <c r="F19" s="31"/>
      <c r="G19" s="32"/>
      <c r="H19" s="39"/>
      <c r="I19" s="1"/>
    </row>
    <row r="20" spans="1:9" x14ac:dyDescent="0.3">
      <c r="A20" s="37"/>
      <c r="B20" s="46"/>
      <c r="C20" s="31"/>
      <c r="D20" s="32"/>
      <c r="E20" s="4"/>
      <c r="F20" s="31"/>
      <c r="G20" s="32"/>
      <c r="H20" s="39"/>
      <c r="I20" s="1"/>
    </row>
    <row r="21" spans="1:9" x14ac:dyDescent="0.3">
      <c r="A21" s="37"/>
      <c r="B21" s="46"/>
      <c r="C21" s="31"/>
      <c r="D21" s="32"/>
      <c r="E21" s="4"/>
      <c r="F21" s="31"/>
      <c r="G21" s="32"/>
      <c r="H21" s="39"/>
      <c r="I21" s="1"/>
    </row>
    <row r="22" spans="1:9" x14ac:dyDescent="0.3">
      <c r="A22" s="37"/>
      <c r="B22" s="46"/>
      <c r="C22" s="31"/>
      <c r="D22" s="32"/>
      <c r="E22" s="4"/>
      <c r="F22" s="31"/>
      <c r="G22" s="32"/>
      <c r="H22" s="39"/>
      <c r="I22" s="1"/>
    </row>
    <row r="23" spans="1:9" x14ac:dyDescent="0.3">
      <c r="A23" s="37"/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2"/>
      <c r="C27" s="63"/>
      <c r="D27" s="64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5"/>
      <c r="C42" s="65"/>
      <c r="D42" s="65"/>
      <c r="F42" s="63"/>
      <c r="G42" s="63"/>
      <c r="H42" s="63"/>
    </row>
    <row r="43" spans="1:9" x14ac:dyDescent="0.3">
      <c r="B43" s="65"/>
      <c r="C43" s="65"/>
      <c r="D43" s="65"/>
      <c r="F43" s="63"/>
      <c r="G43" s="63"/>
      <c r="H43" s="63"/>
    </row>
    <row r="44" spans="1:9" x14ac:dyDescent="0.3">
      <c r="B44" s="65"/>
      <c r="C44" s="65"/>
      <c r="D44" s="65"/>
      <c r="F44" s="63"/>
      <c r="G44" s="63"/>
      <c r="H44" s="63"/>
    </row>
    <row r="45" spans="1:9" x14ac:dyDescent="0.3">
      <c r="B45" s="65"/>
      <c r="C45" s="65"/>
      <c r="D45" s="65"/>
      <c r="F45" s="63"/>
      <c r="G45" s="63"/>
      <c r="H45" s="63"/>
    </row>
    <row r="46" spans="1:9" x14ac:dyDescent="0.3">
      <c r="B46" s="65"/>
      <c r="C46" s="65"/>
      <c r="D46" s="65"/>
    </row>
    <row r="47" spans="1:9" x14ac:dyDescent="0.3">
      <c r="B47" s="65"/>
      <c r="C47" s="65"/>
      <c r="D47" s="65"/>
    </row>
    <row r="48" spans="1:9" x14ac:dyDescent="0.3">
      <c r="B48" s="65"/>
      <c r="C48" s="65"/>
      <c r="D48" s="65"/>
    </row>
    <row r="49" spans="2:4" x14ac:dyDescent="0.3">
      <c r="B49" s="65"/>
      <c r="C49" s="65"/>
      <c r="D49" s="65"/>
    </row>
    <row r="50" spans="2:4" x14ac:dyDescent="0.3">
      <c r="B50" s="65"/>
      <c r="C50" s="65"/>
      <c r="D50" s="65"/>
    </row>
    <row r="51" spans="2:4" x14ac:dyDescent="0.3">
      <c r="B51" s="65"/>
      <c r="C51" s="65"/>
      <c r="D51" s="65"/>
    </row>
    <row r="52" spans="2:4" x14ac:dyDescent="0.3">
      <c r="B52" s="65"/>
      <c r="C52" s="65"/>
      <c r="D52" s="65"/>
    </row>
    <row r="53" spans="2:4" x14ac:dyDescent="0.3">
      <c r="B53" s="65"/>
      <c r="C53" s="65"/>
      <c r="D53" s="65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O53"/>
  <sheetViews>
    <sheetView tabSelected="1" topLeftCell="H1" zoomScaleNormal="100" workbookViewId="0">
      <selection activeCell="N16" sqref="N16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5546875" style="55" bestFit="1" customWidth="1"/>
    <col min="16" max="16384" width="8.88671875" style="55"/>
  </cols>
  <sheetData>
    <row r="1" spans="1:14" ht="15" thickBot="1" x14ac:dyDescent="0.35">
      <c r="A1" s="1"/>
      <c r="B1" s="1"/>
      <c r="C1" s="1"/>
      <c r="D1" s="1"/>
      <c r="E1" s="1"/>
      <c r="G1" s="54">
        <f ca="1">TODAY()-5</f>
        <v>45927</v>
      </c>
      <c r="H1" s="1"/>
      <c r="I1" s="1"/>
      <c r="J1" s="1"/>
      <c r="K1" s="1"/>
      <c r="L1" s="1"/>
      <c r="M1" s="1"/>
    </row>
    <row r="2" spans="1:14" ht="15" thickBot="1" x14ac:dyDescent="0.35">
      <c r="A2" s="30"/>
      <c r="B2" s="41" t="s">
        <v>0</v>
      </c>
      <c r="C2" s="45" t="s">
        <v>1</v>
      </c>
      <c r="D2" s="75" t="s">
        <v>1</v>
      </c>
      <c r="E2" s="76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6" t="s">
        <v>0</v>
      </c>
    </row>
    <row r="3" spans="1:14" x14ac:dyDescent="0.3">
      <c r="A3" s="15" t="s">
        <v>33</v>
      </c>
      <c r="B3" s="67" t="s">
        <v>45</v>
      </c>
      <c r="C3" s="77" t="s">
        <v>46</v>
      </c>
      <c r="D3" s="77" t="s">
        <v>47</v>
      </c>
      <c r="E3" s="68" t="s">
        <v>48</v>
      </c>
      <c r="G3" s="53" cm="1">
        <f t="array" aca="1" ref="G3:H6" ca="1">_xll.BDH($B$4, "PX_LAST, ", $G$1, "")</f>
        <v>45929</v>
      </c>
      <c r="H3" s="1">
        <f ca="1"/>
        <v>100.83199999999999</v>
      </c>
      <c r="I3" s="53" cm="1">
        <f t="array" aca="1" ref="I3:J6" ca="1">_xll.BDH($C$4, "PX_LAST, ", $G$1, "")</f>
        <v>45929</v>
      </c>
      <c r="J3" s="47">
        <f ca="1"/>
        <v>101.0078125</v>
      </c>
      <c r="K3" s="53" cm="1">
        <f t="array" aca="1" ref="K3:L6" ca="1">_xll.BDH($D$4, "PX_LAST, ", $G$1, "")</f>
        <v>45929</v>
      </c>
      <c r="L3" s="1">
        <f ca="1"/>
        <v>94.897999999999996</v>
      </c>
      <c r="M3" s="53" cm="1">
        <f t="array" aca="1" ref="M3:N6" ca="1">_xll.BDH($E$4, "PX_LAST, ", $G$1, "")</f>
        <v>45929</v>
      </c>
      <c r="N3" s="55">
        <f ca="1"/>
        <v>100.6953125</v>
      </c>
    </row>
    <row r="4" spans="1:14" ht="32.25" customHeight="1" x14ac:dyDescent="0.3">
      <c r="A4" s="15" t="s">
        <v>34</v>
      </c>
      <c r="B4" s="69" t="s">
        <v>49</v>
      </c>
      <c r="C4" s="42" t="s">
        <v>50</v>
      </c>
      <c r="D4" s="42" t="s">
        <v>51</v>
      </c>
      <c r="E4" s="43" t="s">
        <v>52</v>
      </c>
      <c r="G4" s="56">
        <f ca="1"/>
        <v>45930</v>
      </c>
      <c r="H4" s="1">
        <f ca="1"/>
        <v>100.771</v>
      </c>
      <c r="I4" s="54">
        <f ca="1"/>
        <v>45930</v>
      </c>
      <c r="J4" s="1">
        <f ca="1"/>
        <v>100.9140625</v>
      </c>
      <c r="K4" s="54">
        <f ca="1"/>
        <v>45930</v>
      </c>
      <c r="L4" s="1">
        <f ca="1"/>
        <v>94.811000000000007</v>
      </c>
      <c r="M4" s="54">
        <f ca="1"/>
        <v>45930</v>
      </c>
      <c r="N4" s="55">
        <f ca="1"/>
        <v>100.2421875</v>
      </c>
    </row>
    <row r="5" spans="1:14" x14ac:dyDescent="0.3">
      <c r="A5" s="15" t="s">
        <v>8</v>
      </c>
      <c r="B5" s="70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G5" s="56">
        <f ca="1"/>
        <v>45931</v>
      </c>
      <c r="H5" s="1">
        <f ca="1"/>
        <v>100.941</v>
      </c>
      <c r="I5" s="54">
        <f ca="1"/>
        <v>45931</v>
      </c>
      <c r="J5" s="1">
        <f ca="1"/>
        <v>101.3203125</v>
      </c>
      <c r="K5" s="54">
        <f ca="1"/>
        <v>45931</v>
      </c>
      <c r="L5" s="1">
        <f ca="1"/>
        <v>94.822000000000003</v>
      </c>
      <c r="M5" s="54">
        <f ca="1"/>
        <v>45931</v>
      </c>
      <c r="N5" s="55">
        <f ca="1"/>
        <v>100.6015625</v>
      </c>
    </row>
    <row r="6" spans="1:14" x14ac:dyDescent="0.3">
      <c r="A6" s="15" t="s">
        <v>10</v>
      </c>
      <c r="B6" s="72">
        <v>4.8750000000000002E-2</v>
      </c>
      <c r="C6" s="78">
        <v>4.2500000000000003E-2</v>
      </c>
      <c r="D6" s="78">
        <v>5.3749999999999999E-2</v>
      </c>
      <c r="E6" s="10">
        <v>4.7500000000000001E-2</v>
      </c>
      <c r="G6" s="56">
        <f ca="1"/>
        <v>45932</v>
      </c>
      <c r="H6" s="1">
        <f ca="1"/>
        <v>100.89</v>
      </c>
      <c r="I6" s="54">
        <f ca="1"/>
        <v>45932</v>
      </c>
      <c r="J6" s="1">
        <f ca="1"/>
        <v>101.1875</v>
      </c>
      <c r="K6" s="54">
        <f ca="1"/>
        <v>45932</v>
      </c>
      <c r="L6" s="1">
        <f ca="1"/>
        <v>94.700999999999993</v>
      </c>
      <c r="M6" s="54">
        <f ca="1"/>
        <v>45932</v>
      </c>
      <c r="N6" s="55">
        <f ca="1"/>
        <v>100.5</v>
      </c>
    </row>
    <row r="7" spans="1:14" x14ac:dyDescent="0.3">
      <c r="A7" s="15" t="s">
        <v>12</v>
      </c>
      <c r="B7" s="72">
        <v>4.2299999999999997E-2</v>
      </c>
      <c r="C7" s="78">
        <v>4.2299999999999997E-2</v>
      </c>
      <c r="D7" s="78">
        <v>4.2299999999999997E-2</v>
      </c>
      <c r="E7" s="10">
        <v>4.2299999999999997E-2</v>
      </c>
      <c r="G7" s="1"/>
      <c r="H7" s="1"/>
      <c r="I7" s="1"/>
      <c r="J7" s="1"/>
      <c r="K7" s="1"/>
      <c r="L7" s="1"/>
      <c r="M7" s="1"/>
      <c r="N7" s="1"/>
    </row>
    <row r="8" spans="1:14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</row>
    <row r="10" spans="1:14" ht="15" thickBot="1" x14ac:dyDescent="0.35">
      <c r="A10" s="16" t="s">
        <v>29</v>
      </c>
      <c r="B10" s="11" cm="1">
        <f t="array" ref="B10">_xll.BDP(B4,"px_last")</f>
        <v>100.89</v>
      </c>
      <c r="C10" s="21" cm="1">
        <f t="array" ref="C10">_xll.BDP(C4,"px_last")</f>
        <v>101.203125</v>
      </c>
      <c r="D10" s="21" cm="1">
        <f t="array" ref="D10">_xll.BDP(D4,"px_last")</f>
        <v>94.700999999999993</v>
      </c>
      <c r="E10" s="22" cm="1">
        <f t="array" ref="E10">_xll.BDP(E4,"px_last")</f>
        <v>100.515625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40" t="s">
        <v>23</v>
      </c>
      <c r="B12" s="79" t="s">
        <v>0</v>
      </c>
      <c r="C12" s="80"/>
      <c r="D12" s="80"/>
      <c r="E12" s="85" t="s">
        <v>1</v>
      </c>
      <c r="F12" s="86"/>
      <c r="G12" s="87"/>
      <c r="H12" s="82" t="s">
        <v>1</v>
      </c>
      <c r="I12" s="83"/>
      <c r="J12" s="84"/>
      <c r="K12" s="88" t="s">
        <v>0</v>
      </c>
      <c r="L12" s="89"/>
      <c r="M12" s="90"/>
      <c r="N12" s="40" t="s">
        <v>16</v>
      </c>
    </row>
    <row r="13" spans="1:1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6"/>
    </row>
    <row r="14" spans="1:14" x14ac:dyDescent="0.3">
      <c r="A14" s="37">
        <v>45931</v>
      </c>
      <c r="B14" s="46">
        <v>100.65</v>
      </c>
      <c r="C14" s="47"/>
      <c r="D14" s="48"/>
      <c r="E14" s="4">
        <v>100.898</v>
      </c>
      <c r="F14" s="1"/>
      <c r="G14" s="5"/>
      <c r="H14" s="4">
        <v>94.375</v>
      </c>
      <c r="I14" s="1"/>
      <c r="J14" s="5"/>
      <c r="K14" s="4">
        <v>100.297</v>
      </c>
      <c r="L14" s="1"/>
      <c r="M14" s="5"/>
      <c r="N14" s="15"/>
    </row>
    <row r="15" spans="1:14" x14ac:dyDescent="0.3">
      <c r="A15" s="37">
        <v>45932</v>
      </c>
      <c r="B15" s="46">
        <v>100.857</v>
      </c>
      <c r="C15" s="31">
        <f>(B15-$B$14)/100*$B$5</f>
        <v>28979.999999999112</v>
      </c>
      <c r="D15" s="32">
        <f>(A15-$A$14)/360*$B$6*$B$5-(A15-$A$14)/360*$B$7*$B$5*$B$14/100</f>
        <v>240.1408333333336</v>
      </c>
      <c r="E15" s="4">
        <v>101.14</v>
      </c>
      <c r="F15" s="31">
        <f>(E15-$E$14)/100*$C$5</f>
        <v>32912.000000000604</v>
      </c>
      <c r="G15" s="32">
        <f>(A15-$A$14)/360*$C$6*$C$5-(A15-$A$14)/360*$C$7*$C$5*$E$14/100</f>
        <v>-6.7944844444439241</v>
      </c>
      <c r="H15" s="4">
        <v>94.738</v>
      </c>
      <c r="I15" s="31">
        <f>(H15-$H$14)/100*$D$5</f>
        <v>18149.999999999978</v>
      </c>
      <c r="J15" s="32">
        <f>(A15-$A$14)/360*$D$6*$D$5-(A15-$A$14)/360*$D$7*$D$5*$H$14/100</f>
        <v>192.07465277777771</v>
      </c>
      <c r="K15" s="4">
        <v>100.39</v>
      </c>
      <c r="L15" s="31">
        <f>(K15-$K$14)/100*$E$5</f>
        <v>3906.0000000001482</v>
      </c>
      <c r="M15" s="32">
        <f>(A15-$A$14)/360*$E$6*$E$5-(A15-$A$14)/360*$E$7*$E$5*$K$14/100</f>
        <v>59.20097166666676</v>
      </c>
      <c r="N15" s="39">
        <f>C15+D15-F15-G15-I15-J15+L15+M15</f>
        <v>-18061.938363334655</v>
      </c>
    </row>
    <row r="16" spans="1:14" x14ac:dyDescent="0.3">
      <c r="A16" s="37">
        <v>45933</v>
      </c>
      <c r="B16" s="46"/>
      <c r="C16" s="31"/>
      <c r="D16" s="32"/>
      <c r="E16" s="4"/>
      <c r="F16" s="31"/>
      <c r="G16" s="32"/>
      <c r="H16" s="4"/>
      <c r="I16" s="31"/>
      <c r="J16" s="32"/>
      <c r="K16" s="4"/>
      <c r="L16" s="31"/>
      <c r="M16" s="32"/>
      <c r="N16" s="39"/>
    </row>
    <row r="17" spans="1:14" x14ac:dyDescent="0.3">
      <c r="A17" s="37"/>
      <c r="B17" s="46"/>
      <c r="C17" s="31"/>
      <c r="D17" s="32"/>
      <c r="E17" s="4"/>
      <c r="F17" s="31"/>
      <c r="G17" s="32"/>
      <c r="H17" s="4"/>
      <c r="I17" s="31"/>
      <c r="J17" s="32"/>
      <c r="K17" s="4"/>
      <c r="L17" s="31"/>
      <c r="M17" s="32"/>
      <c r="N17" s="39"/>
    </row>
    <row r="18" spans="1:14" x14ac:dyDescent="0.3">
      <c r="A18" s="37"/>
      <c r="B18" s="46"/>
      <c r="C18" s="31"/>
      <c r="D18" s="32"/>
      <c r="E18" s="4"/>
      <c r="F18" s="31"/>
      <c r="G18" s="32"/>
      <c r="H18" s="4"/>
      <c r="I18" s="31"/>
      <c r="J18" s="32"/>
      <c r="K18" s="4"/>
      <c r="L18" s="31"/>
      <c r="M18" s="32"/>
      <c r="N18" s="39"/>
    </row>
    <row r="19" spans="1:14" x14ac:dyDescent="0.3">
      <c r="B19" s="46"/>
      <c r="C19" s="31"/>
      <c r="D19" s="32"/>
      <c r="E19" s="4"/>
      <c r="F19" s="31"/>
      <c r="G19" s="32"/>
      <c r="H19" s="4"/>
      <c r="I19" s="31"/>
      <c r="J19" s="32"/>
      <c r="K19" s="4"/>
      <c r="L19" s="31"/>
      <c r="M19" s="32"/>
      <c r="N19" s="39"/>
    </row>
    <row r="20" spans="1:14" x14ac:dyDescent="0.3">
      <c r="B20" s="46"/>
      <c r="C20" s="31"/>
      <c r="D20" s="31"/>
      <c r="E20" s="4"/>
      <c r="F20" s="31"/>
      <c r="G20" s="32"/>
      <c r="H20" s="4"/>
      <c r="I20" s="31"/>
      <c r="J20" s="32"/>
      <c r="K20" s="4"/>
      <c r="L20" s="31"/>
      <c r="M20" s="32"/>
      <c r="N20" s="39"/>
    </row>
    <row r="21" spans="1:14" x14ac:dyDescent="0.3"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39"/>
    </row>
    <row r="22" spans="1:14" x14ac:dyDescent="0.3">
      <c r="A22" s="37"/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39"/>
    </row>
    <row r="23" spans="1:14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39"/>
    </row>
    <row r="24" spans="1:14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39"/>
    </row>
    <row r="25" spans="1:14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39"/>
    </row>
    <row r="26" spans="1:14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39"/>
    </row>
    <row r="27" spans="1:14" x14ac:dyDescent="0.3">
      <c r="A27" s="57"/>
      <c r="B27" s="58"/>
      <c r="C27" s="59"/>
      <c r="D27" s="59"/>
      <c r="E27" s="4"/>
      <c r="F27" s="31"/>
      <c r="G27" s="32"/>
      <c r="H27" s="4"/>
      <c r="I27" s="31"/>
      <c r="J27" s="32"/>
      <c r="K27" s="4"/>
      <c r="L27" s="31"/>
      <c r="M27" s="32"/>
      <c r="N27" s="39"/>
    </row>
    <row r="28" spans="1:14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39"/>
    </row>
    <row r="29" spans="1:14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39"/>
    </row>
    <row r="30" spans="1:14" x14ac:dyDescent="0.3">
      <c r="A30" s="57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</row>
    <row r="31" spans="1:14" x14ac:dyDescent="0.3">
      <c r="A31" s="57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</row>
    <row r="32" spans="1:14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</row>
    <row r="33" spans="1:14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</row>
    <row r="34" spans="1:14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</row>
    <row r="35" spans="1:14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</row>
    <row r="36" spans="1:14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</row>
    <row r="37" spans="1:14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</row>
    <row r="38" spans="1:14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</row>
    <row r="39" spans="1:14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14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14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14" x14ac:dyDescent="0.3">
      <c r="B42" s="61"/>
      <c r="C42" s="61"/>
      <c r="D42" s="61"/>
      <c r="F42" s="59"/>
      <c r="G42" s="59"/>
      <c r="I42" s="59"/>
      <c r="J42" s="59"/>
      <c r="L42" s="59"/>
      <c r="M42" s="59"/>
      <c r="N42" s="59"/>
    </row>
    <row r="43" spans="1:14" x14ac:dyDescent="0.3">
      <c r="B43" s="61"/>
      <c r="C43" s="61"/>
      <c r="D43" s="61"/>
      <c r="I43" s="59"/>
      <c r="J43" s="59"/>
      <c r="L43" s="59"/>
      <c r="M43" s="59"/>
      <c r="N43" s="59"/>
    </row>
    <row r="44" spans="1:14" x14ac:dyDescent="0.3">
      <c r="B44" s="61"/>
      <c r="C44" s="61"/>
      <c r="D44" s="61"/>
      <c r="I44" s="59"/>
      <c r="J44" s="59"/>
      <c r="L44" s="59"/>
      <c r="M44" s="59"/>
      <c r="N44" s="59"/>
    </row>
    <row r="45" spans="1:14" x14ac:dyDescent="0.3">
      <c r="B45" s="61"/>
      <c r="C45" s="61"/>
      <c r="D45" s="61"/>
      <c r="I45" s="59"/>
      <c r="J45" s="59"/>
      <c r="L45" s="59"/>
      <c r="M45" s="59"/>
      <c r="N45" s="59"/>
    </row>
    <row r="46" spans="1:14" x14ac:dyDescent="0.3">
      <c r="B46" s="61"/>
      <c r="C46" s="61"/>
      <c r="D46" s="61"/>
    </row>
    <row r="47" spans="1:14" x14ac:dyDescent="0.3">
      <c r="B47" s="61"/>
      <c r="C47" s="61"/>
      <c r="D47" s="61"/>
    </row>
    <row r="48" spans="1:14" x14ac:dyDescent="0.3">
      <c r="B48" s="61"/>
      <c r="C48" s="61"/>
      <c r="D48" s="61"/>
    </row>
    <row r="49" spans="2:4" x14ac:dyDescent="0.3">
      <c r="B49" s="61"/>
      <c r="C49" s="61"/>
      <c r="D49" s="61"/>
    </row>
    <row r="50" spans="2:4" x14ac:dyDescent="0.3">
      <c r="B50" s="61"/>
      <c r="C50" s="61"/>
      <c r="D50" s="61"/>
    </row>
    <row r="51" spans="2:4" x14ac:dyDescent="0.3">
      <c r="B51" s="61"/>
      <c r="C51" s="61"/>
      <c r="D51" s="61"/>
    </row>
    <row r="52" spans="2:4" x14ac:dyDescent="0.3">
      <c r="B52" s="61"/>
      <c r="C52" s="61"/>
      <c r="D52" s="61"/>
    </row>
    <row r="53" spans="2:4" x14ac:dyDescent="0.3">
      <c r="B53" s="61"/>
      <c r="C53" s="61"/>
      <c r="D53" s="61"/>
    </row>
  </sheetData>
  <mergeCells count="4">
    <mergeCell ref="E12:G12"/>
    <mergeCell ref="H12:J12"/>
    <mergeCell ref="B12:D12"/>
    <mergeCell ref="K12:M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ACAFP Basis</vt:lpstr>
      <vt:lpstr>EU Defence vs Oil</vt:lpstr>
      <vt:lpstr>EU Insurance CDS RV</vt:lpstr>
      <vt:lpstr>Barclays</vt:lpstr>
      <vt:lpstr>KSA 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2025-10-02T13:20:22Z</dcterms:modified>
</cp:coreProperties>
</file>