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7. BNP Trades Tracker\"/>
    </mc:Choice>
  </mc:AlternateContent>
  <xr:revisionPtr revIDLastSave="0" documentId="13_ncr:1_{897264E9-2EBE-4744-BB5E-33853BB18A95}" xr6:coauthVersionLast="47" xr6:coauthVersionMax="47" xr10:uidLastSave="{00000000-0000-0000-0000-000000000000}"/>
  <bookViews>
    <workbookView xWindow="-108" yWindow="-108" windowWidth="23256" windowHeight="12456" tabRatio="842" firstSheet="1" activeTab="6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  <sheet name="EU ETF Compression" sheetId="10" r:id="rId7"/>
    <sheet name="US ETF Compression" sheetId="12" r:id="rId8"/>
    <sheet name="US IG Cash Curve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10" l="1"/>
  <c r="M15" i="10"/>
  <c r="L15" i="10"/>
  <c r="J15" i="10"/>
  <c r="I15" i="10"/>
  <c r="G15" i="10"/>
  <c r="F15" i="10"/>
  <c r="D15" i="10"/>
  <c r="C15" i="10"/>
  <c r="E1" i="9"/>
  <c r="C17" i="9"/>
  <c r="D17" i="9"/>
  <c r="F17" i="9"/>
  <c r="G17" i="9"/>
  <c r="C19" i="8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H23" i="3" s="1"/>
  <c r="G23" i="3"/>
  <c r="I24" i="2"/>
  <c r="K24" i="2" s="1"/>
  <c r="J24" i="2"/>
  <c r="F24" i="2"/>
  <c r="G24" i="2"/>
  <c r="C24" i="2"/>
  <c r="D24" i="2"/>
  <c r="G40" i="1"/>
  <c r="I40" i="1" s="1"/>
  <c r="H40" i="1"/>
  <c r="C40" i="1"/>
  <c r="D40" i="1"/>
  <c r="E40" i="1"/>
  <c r="T16" i="14"/>
  <c r="T17" i="14"/>
  <c r="T18" i="14"/>
  <c r="T19" i="14"/>
  <c r="T20" i="14"/>
  <c r="T21" i="14"/>
  <c r="T22" i="14"/>
  <c r="T23" i="14"/>
  <c r="T15" i="14"/>
  <c r="S16" i="14"/>
  <c r="S17" i="14"/>
  <c r="S18" i="14"/>
  <c r="S19" i="14"/>
  <c r="S20" i="14"/>
  <c r="S21" i="14"/>
  <c r="S22" i="14"/>
  <c r="S23" i="14"/>
  <c r="S15" i="14"/>
  <c r="R16" i="14"/>
  <c r="R17" i="14"/>
  <c r="R18" i="14"/>
  <c r="R19" i="14"/>
  <c r="R20" i="14"/>
  <c r="R21" i="14"/>
  <c r="R22" i="14"/>
  <c r="R23" i="14"/>
  <c r="R15" i="14"/>
  <c r="P16" i="14"/>
  <c r="P17" i="14"/>
  <c r="P18" i="14"/>
  <c r="P19" i="14"/>
  <c r="P20" i="14"/>
  <c r="P21" i="14"/>
  <c r="P22" i="14"/>
  <c r="P23" i="14"/>
  <c r="P15" i="14"/>
  <c r="O16" i="14"/>
  <c r="O17" i="14"/>
  <c r="O18" i="14"/>
  <c r="O19" i="14"/>
  <c r="O20" i="14"/>
  <c r="O21" i="14"/>
  <c r="O22" i="14"/>
  <c r="O23" i="14"/>
  <c r="O15" i="14"/>
  <c r="M16" i="14"/>
  <c r="M17" i="14"/>
  <c r="M18" i="14"/>
  <c r="M19" i="14"/>
  <c r="M20" i="14"/>
  <c r="M21" i="14"/>
  <c r="M22" i="14"/>
  <c r="M23" i="14"/>
  <c r="M15" i="14"/>
  <c r="L16" i="14"/>
  <c r="L17" i="14"/>
  <c r="L18" i="14"/>
  <c r="L19" i="14"/>
  <c r="L20" i="14"/>
  <c r="L21" i="14"/>
  <c r="L22" i="14"/>
  <c r="L23" i="14"/>
  <c r="L15" i="14"/>
  <c r="J16" i="14"/>
  <c r="J17" i="14"/>
  <c r="J18" i="14"/>
  <c r="J19" i="14"/>
  <c r="J20" i="14"/>
  <c r="J21" i="14"/>
  <c r="J22" i="14"/>
  <c r="J23" i="14"/>
  <c r="J15" i="14"/>
  <c r="I16" i="14"/>
  <c r="I17" i="14"/>
  <c r="I18" i="14"/>
  <c r="I19" i="14"/>
  <c r="I20" i="14"/>
  <c r="I21" i="14"/>
  <c r="I22" i="14"/>
  <c r="I23" i="14"/>
  <c r="I15" i="14"/>
  <c r="G16" i="14"/>
  <c r="G17" i="14"/>
  <c r="G18" i="14"/>
  <c r="G19" i="14"/>
  <c r="G20" i="14"/>
  <c r="G21" i="14"/>
  <c r="G22" i="14"/>
  <c r="G23" i="14"/>
  <c r="G15" i="14"/>
  <c r="F16" i="14"/>
  <c r="F17" i="14"/>
  <c r="F18" i="14"/>
  <c r="F19" i="14"/>
  <c r="F20" i="14"/>
  <c r="F21" i="14"/>
  <c r="F22" i="14"/>
  <c r="F23" i="14"/>
  <c r="F15" i="14"/>
  <c r="D16" i="14"/>
  <c r="D17" i="14"/>
  <c r="D18" i="14"/>
  <c r="D19" i="14"/>
  <c r="D20" i="14"/>
  <c r="D21" i="14"/>
  <c r="D22" i="14"/>
  <c r="D23" i="14"/>
  <c r="D15" i="14"/>
  <c r="C16" i="14"/>
  <c r="C17" i="14"/>
  <c r="C18" i="14"/>
  <c r="C19" i="14"/>
  <c r="C20" i="14"/>
  <c r="C21" i="14"/>
  <c r="C22" i="14"/>
  <c r="C23" i="14"/>
  <c r="C15" i="14"/>
  <c r="B43" i="14"/>
  <c r="I1" i="14"/>
  <c r="C6" i="14"/>
  <c r="G6" i="14"/>
  <c r="G3" i="9" a="1"/>
  <c r="E3" i="9" a="1"/>
  <c r="L45" i="14" a="1"/>
  <c r="B45" i="14" a="1"/>
  <c r="F45" i="14" a="1"/>
  <c r="H45" i="14" a="1"/>
  <c r="J45" i="14" a="1"/>
  <c r="D45" i="14" a="1"/>
  <c r="O3" i="14" a="1"/>
  <c r="S3" i="14" a="1"/>
  <c r="M3" i="14" a="1"/>
  <c r="I3" i="14" a="1"/>
  <c r="Q3" i="14" a="1"/>
  <c r="K3" i="14" a="1"/>
  <c r="C10" i="14" a="1"/>
  <c r="H17" i="9" l="1"/>
  <c r="E3" i="9"/>
  <c r="G3" i="9"/>
  <c r="N19" i="8"/>
  <c r="H20" i="5"/>
  <c r="D45" i="14"/>
  <c r="J45" i="14"/>
  <c r="H45" i="14"/>
  <c r="F45" i="14"/>
  <c r="B45" i="14"/>
  <c r="L45" i="14"/>
  <c r="K3" i="14"/>
  <c r="Q3" i="14"/>
  <c r="I3" i="14"/>
  <c r="M3" i="14"/>
  <c r="S3" i="14"/>
  <c r="O3" i="14"/>
  <c r="C10" i="14"/>
  <c r="G10" i="14" a="1"/>
  <c r="G10" i="14"/>
  <c r="Q14" i="14"/>
  <c r="K14" i="14"/>
  <c r="H14" i="14"/>
  <c r="E14" i="14"/>
  <c r="G5" i="14"/>
  <c r="F5" i="14"/>
  <c r="E5" i="14"/>
  <c r="D5" i="14"/>
  <c r="C5" i="14"/>
  <c r="B5" i="14"/>
  <c r="F10" i="14" a="1"/>
  <c r="F10" i="14"/>
  <c r="T16" i="12"/>
  <c r="T17" i="12"/>
  <c r="T18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15" i="12"/>
  <c r="E6" i="12"/>
  <c r="C6" i="12"/>
  <c r="B10" i="14" a="1"/>
  <c r="E10" i="14" a="1"/>
  <c r="D10" i="14" a="1"/>
  <c r="C10" i="12" a="1"/>
  <c r="D10" i="14" l="1"/>
  <c r="E10" i="14"/>
  <c r="B10" i="14"/>
  <c r="C10" i="12"/>
  <c r="F10" i="12" a="1"/>
  <c r="F10" i="12"/>
  <c r="G10" i="12" a="1"/>
  <c r="G10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15" i="12"/>
  <c r="B43" i="12"/>
  <c r="I1" i="12"/>
  <c r="Q14" i="12"/>
  <c r="N14" i="12"/>
  <c r="K14" i="12"/>
  <c r="E14" i="12"/>
  <c r="G5" i="12"/>
  <c r="F5" i="12"/>
  <c r="E5" i="12"/>
  <c r="D5" i="12"/>
  <c r="C5" i="12"/>
  <c r="K3" i="12" a="1"/>
  <c r="D45" i="12" a="1"/>
  <c r="J45" i="12" a="1"/>
  <c r="Q3" i="12" a="1"/>
  <c r="S3" i="12" a="1"/>
  <c r="L45" i="12" a="1"/>
  <c r="H45" i="12" a="1"/>
  <c r="F45" i="12" a="1"/>
  <c r="B45" i="12" a="1"/>
  <c r="I3" i="12" a="1"/>
  <c r="O3" i="12" a="1"/>
  <c r="M3" i="12" a="1"/>
  <c r="E10" i="12" a="1"/>
  <c r="B10" i="2" a="1"/>
  <c r="D45" i="12" l="1"/>
  <c r="K3" i="12"/>
  <c r="Q3" i="12"/>
  <c r="J45" i="12"/>
  <c r="S3" i="12"/>
  <c r="L45" i="12"/>
  <c r="H45" i="12"/>
  <c r="F45" i="12"/>
  <c r="B45" i="12"/>
  <c r="M3" i="12"/>
  <c r="O3" i="12"/>
  <c r="I3" i="12"/>
  <c r="E10" i="12"/>
  <c r="B10" i="2"/>
  <c r="B10" i="1" a="1"/>
  <c r="B10" i="1"/>
  <c r="C10" i="10" a="1"/>
  <c r="C10" i="10"/>
  <c r="C10" i="5" a="1"/>
  <c r="C10" i="5"/>
  <c r="D10" i="8" a="1"/>
  <c r="D10" i="8"/>
  <c r="E10" i="8" a="1"/>
  <c r="E10" i="8"/>
  <c r="C10" i="3" a="1"/>
  <c r="C10" i="3"/>
  <c r="D10" i="10" a="1"/>
  <c r="D10" i="10"/>
  <c r="E10" i="10" a="1"/>
  <c r="E10" i="10"/>
  <c r="B10" i="8" a="1"/>
  <c r="B10" i="8"/>
  <c r="C10" i="8" a="1"/>
  <c r="C10" i="8"/>
  <c r="D10" i="12" a="1"/>
  <c r="D10" i="12"/>
  <c r="C10" i="2" a="1"/>
  <c r="C10" i="2"/>
  <c r="C10" i="1" a="1"/>
  <c r="C10" i="1"/>
  <c r="B10" i="10" a="1"/>
  <c r="B10" i="10"/>
  <c r="B10" i="3" a="1"/>
  <c r="B10" i="3"/>
  <c r="D10" i="2" a="1"/>
  <c r="D10" i="2"/>
  <c r="B10" i="12" a="1"/>
  <c r="B10" i="12"/>
  <c r="B10" i="9" a="1"/>
  <c r="B10" i="9"/>
  <c r="C10" i="9" a="1"/>
  <c r="C10" i="9"/>
  <c r="B10" i="5" a="1"/>
  <c r="B10" i="5"/>
  <c r="B5" i="12"/>
  <c r="E5" i="10" l="1"/>
  <c r="D5" i="10"/>
  <c r="C5" i="10"/>
  <c r="B5" i="10"/>
  <c r="G1" i="10"/>
  <c r="K3" i="10" a="1"/>
  <c r="M3" i="10" a="1"/>
  <c r="I3" i="10" a="1"/>
  <c r="G3" i="10" a="1"/>
  <c r="M3" i="10" l="1"/>
  <c r="K3" i="10"/>
  <c r="G3" i="10"/>
  <c r="I3" i="10"/>
  <c r="G16" i="9"/>
  <c r="F16" i="9"/>
  <c r="H16" i="9" s="1"/>
  <c r="C16" i="9"/>
  <c r="D16" i="9"/>
  <c r="L18" i="8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J23" i="2"/>
  <c r="G23" i="2"/>
  <c r="I23" i="2"/>
  <c r="F23" i="2"/>
  <c r="D23" i="2"/>
  <c r="C23" i="2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J22" i="2"/>
  <c r="G22" i="2"/>
  <c r="D22" i="2"/>
  <c r="I22" i="2"/>
  <c r="F22" i="2"/>
  <c r="C22" i="2"/>
  <c r="H38" i="1"/>
  <c r="E38" i="1"/>
  <c r="G38" i="1"/>
  <c r="C5" i="9"/>
  <c r="G15" i="9"/>
  <c r="F15" i="9"/>
  <c r="B5" i="9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J21" i="2"/>
  <c r="G21" i="2"/>
  <c r="D21" i="2"/>
  <c r="I21" i="2"/>
  <c r="F21" i="2"/>
  <c r="C21" i="2"/>
  <c r="H37" i="1"/>
  <c r="G37" i="1"/>
  <c r="E37" i="1"/>
  <c r="N18" i="8" l="1"/>
  <c r="H19" i="5"/>
  <c r="H22" i="3"/>
  <c r="K23" i="2"/>
  <c r="N17" i="8"/>
  <c r="H18" i="5"/>
  <c r="H21" i="3"/>
  <c r="K22" i="2"/>
  <c r="N16" i="8"/>
  <c r="H17" i="5"/>
  <c r="H20" i="3"/>
  <c r="K21" i="2"/>
  <c r="C15" i="9"/>
  <c r="D15" i="9"/>
  <c r="H15" i="9" l="1"/>
  <c r="M15" i="8"/>
  <c r="L15" i="8"/>
  <c r="J15" i="8"/>
  <c r="I15" i="8"/>
  <c r="G15" i="8"/>
  <c r="F15" i="8"/>
  <c r="D15" i="8"/>
  <c r="C15" i="8"/>
  <c r="H15" i="5"/>
  <c r="F16" i="5"/>
  <c r="G16" i="5"/>
  <c r="D16" i="5"/>
  <c r="D15" i="5"/>
  <c r="C16" i="5"/>
  <c r="F19" i="3"/>
  <c r="G19" i="3"/>
  <c r="D19" i="3"/>
  <c r="C19" i="3"/>
  <c r="J20" i="2"/>
  <c r="G20" i="2"/>
  <c r="D20" i="2"/>
  <c r="I20" i="2"/>
  <c r="F20" i="2"/>
  <c r="C20" i="2"/>
  <c r="H36" i="1"/>
  <c r="E36" i="1"/>
  <c r="G36" i="1"/>
  <c r="E5" i="8"/>
  <c r="D5" i="8"/>
  <c r="C5" i="8"/>
  <c r="N15" i="8" l="1"/>
  <c r="H16" i="5"/>
  <c r="H19" i="3"/>
  <c r="K20" i="2"/>
  <c r="B5" i="8"/>
  <c r="G1" i="8"/>
  <c r="M3" i="8" a="1"/>
  <c r="G3" i="8" a="1"/>
  <c r="I3" i="8" a="1"/>
  <c r="K3" i="8" a="1"/>
  <c r="G3" i="8" l="1"/>
  <c r="M3" i="8"/>
  <c r="K3" i="8"/>
  <c r="I3" i="8"/>
  <c r="G15" i="5"/>
  <c r="F15" i="5"/>
  <c r="C15" i="5"/>
  <c r="F18" i="3"/>
  <c r="G18" i="3"/>
  <c r="C18" i="3"/>
  <c r="D18" i="3"/>
  <c r="J19" i="2"/>
  <c r="G19" i="2"/>
  <c r="D19" i="2"/>
  <c r="I19" i="2"/>
  <c r="F19" i="2"/>
  <c r="C19" i="2"/>
  <c r="H35" i="1"/>
  <c r="E35" i="1"/>
  <c r="G35" i="1"/>
  <c r="C5" i="5"/>
  <c r="B5" i="5"/>
  <c r="E1" i="5"/>
  <c r="G3" i="5" a="1"/>
  <c r="E3" i="5" a="1"/>
  <c r="E3" i="5" l="1"/>
  <c r="G3" i="5"/>
  <c r="H18" i="3"/>
  <c r="K19" i="2"/>
  <c r="F17" i="3"/>
  <c r="G17" i="3"/>
  <c r="C17" i="3"/>
  <c r="H17" i="3" s="1"/>
  <c r="D17" i="3"/>
  <c r="C18" i="2"/>
  <c r="I18" i="2"/>
  <c r="J18" i="2"/>
  <c r="F18" i="2"/>
  <c r="G18" i="2"/>
  <c r="D18" i="2"/>
  <c r="H34" i="1"/>
  <c r="E34" i="1"/>
  <c r="G34" i="1"/>
  <c r="D16" i="3"/>
  <c r="K18" i="2" l="1"/>
  <c r="H15" i="3"/>
  <c r="G16" i="3"/>
  <c r="G15" i="3"/>
  <c r="F16" i="3"/>
  <c r="C16" i="3"/>
  <c r="C5" i="3"/>
  <c r="H16" i="3" l="1"/>
  <c r="B5" i="3"/>
  <c r="E1" i="3" l="1"/>
  <c r="K16" i="2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F1" i="2"/>
  <c r="H32" i="1"/>
  <c r="H33" i="1"/>
  <c r="E31" i="1"/>
  <c r="E32" i="1"/>
  <c r="E33" i="1"/>
  <c r="G33" i="1"/>
  <c r="G32" i="1"/>
  <c r="L1" i="1"/>
  <c r="F3" i="2" a="1"/>
  <c r="N3" i="1" a="1"/>
  <c r="L3" i="1" a="1"/>
  <c r="H3" i="2" a="1"/>
  <c r="E3" i="3" a="1"/>
  <c r="G3" i="3" a="1"/>
  <c r="J3" i="2" a="1"/>
  <c r="F3" i="2" l="1"/>
  <c r="L3" i="1"/>
  <c r="N3" i="1"/>
  <c r="H3" i="2"/>
  <c r="J3" i="2"/>
  <c r="G3" i="3"/>
  <c r="E3" i="3"/>
  <c r="K17" i="2"/>
  <c r="C15" i="3"/>
  <c r="D15" i="3" l="1"/>
  <c r="F15" i="3"/>
  <c r="I15" i="2" l="1"/>
  <c r="G15" i="2"/>
  <c r="D15" i="2"/>
  <c r="C15" i="2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F15" i="2"/>
  <c r="C37" i="1" l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<sst xmlns="http://schemas.openxmlformats.org/spreadsheetml/2006/main" count="402" uniqueCount="80">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</sst>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9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0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/>
    </xf>
    <xf numFmtId="169" fontId="1" fillId="0" borderId="0" xfId="0" applyNumberFormat="1" applyFont="1" applyAlignment="1">
      <alignment horizontal="center" vertical="center"/>
    </xf>
    <xf numFmtId="169" fontId="2" fillId="4" borderId="12" xfId="0" applyNumberFormat="1" applyFont="1" applyFill="1" applyBorder="1" applyAlignment="1">
      <alignment horizontal="center" vertical="center"/>
    </xf>
    <xf numFmtId="169" fontId="1" fillId="0" borderId="5" xfId="0" applyNumberFormat="1" applyFont="1" applyBorder="1" applyAlignment="1">
      <alignment horizontal="center" vertical="center"/>
    </xf>
    <xf numFmtId="169" fontId="2" fillId="5" borderId="10" xfId="0" applyNumberFormat="1" applyFont="1" applyFill="1" applyBorder="1" applyAlignment="1">
      <alignment horizontal="center" vertical="center"/>
    </xf>
    <xf numFmtId="169" fontId="1" fillId="0" borderId="4" xfId="0" applyNumberFormat="1" applyFont="1" applyBorder="1" applyAlignment="1">
      <alignment horizontal="center" vertical="center"/>
    </xf>
    <xf numFmtId="169" fontId="2" fillId="9" borderId="10" xfId="0" applyNumberFormat="1" applyFont="1" applyFill="1" applyBorder="1" applyAlignment="1">
      <alignment horizontal="center" vertical="center"/>
    </xf>
    <xf numFmtId="169" fontId="2" fillId="5" borderId="11" xfId="0" applyNumberFormat="1" applyFont="1" applyFill="1" applyBorder="1" applyAlignment="1">
      <alignment horizontal="center" vertical="center"/>
    </xf>
    <xf numFmtId="169" fontId="1" fillId="0" borderId="6" xfId="0" applyNumberFormat="1" applyFont="1" applyBorder="1" applyAlignment="1">
      <alignment horizontal="center" vertical="center"/>
    </xf>
    <xf numFmtId="169" fontId="2" fillId="9" borderId="11" xfId="0" applyNumberFormat="1" applyFont="1" applyFill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Data...3408409745</v>
        <stp/>
        <stp>BDP|11883986536691201393</stp>
        <tr r="C10" s="10"/>
      </tp>
      <tp t="s">
        <v>#N/A N/A</v>
        <stp/>
        <stp>BDP|18062887627254797806</stp>
        <tr r="E10" s="12"/>
        <tr r="C10" s="12"/>
      </tp>
      <tp t="s">
        <v>#N/A Requesting Data...2795033494</v>
        <stp/>
        <stp>BDP|16545953933052450030</stp>
        <tr r="B10" s="5"/>
      </tp>
      <tp t="s">
        <v>#N/A N/A</v>
        <stp/>
        <stp>BDH|14120426093494568398</stp>
        <tr r="N3" s="1"/>
      </tp>
      <tp t="s">
        <v>#N/A N/A</v>
        <stp/>
        <stp>BDH|11975774905479352304</stp>
        <tr r="H3" s="2"/>
      </tp>
      <tp t="s">
        <v>#N/A N/A</v>
        <stp/>
        <stp>BDP|14650062796027575721</stp>
        <tr r="E10" s="14"/>
        <tr r="G10" s="12"/>
      </tp>
      <tp t="s">
        <v>#N/A N/A</v>
        <stp/>
        <stp>BDH|17143534362541615835</stp>
        <tr r="L3" s="1"/>
      </tp>
      <tp t="s">
        <v>#N/A N/A</v>
        <stp/>
        <stp>BDH|10954425499620952041</stp>
        <tr r="M3" s="14"/>
      </tp>
      <tp t="s">
        <v>#N/A Requesting Data...2872909096</v>
        <stp/>
        <stp>BDP|12076286461161277423</stp>
        <tr r="C10" s="5"/>
      </tp>
      <tp t="s">
        <v>#N/A Requesting Data...228749463</v>
        <stp/>
        <stp>BDP|18219294914923540841</stp>
        <tr r="C10" s="9"/>
      </tp>
      <tp t="s">
        <v>#N/A N/A</v>
        <stp/>
        <stp>BDH|14438487668314286239</stp>
        <tr r="G3" s="8"/>
      </tp>
      <tp t="s">
        <v>#N/A N/A</v>
        <stp/>
        <stp>BDH|14659725812702889069</stp>
        <tr r="M3" s="8"/>
      </tp>
      <tp t="s">
        <v>#N/A N/A</v>
        <stp/>
        <stp>BDH|18200886364886194044</stp>
        <tr r="G3" s="9"/>
      </tp>
      <tp t="s">
        <v>#N/A N/A</v>
        <stp/>
        <stp>BDP|13030111079165378191</stp>
        <tr r="F10" s="14"/>
      </tp>
      <tp t="s">
        <v>#N/A Requesting Data...3097363474</v>
        <stp/>
        <stp>BDP|17674809694487604003</stp>
        <tr r="B10" s="10"/>
      </tp>
      <tp t="s">
        <v>#N/A N/A</v>
        <stp/>
        <stp>BDH|17924025658814998792</stp>
        <tr r="L45" s="14"/>
      </tp>
      <tp t="s">
        <v>#N/A N/A</v>
        <stp/>
        <stp>BDH|12194809786401386509</stp>
        <tr r="S3" s="12"/>
      </tp>
      <tp t="s">
        <v>#N/A N/A</v>
        <stp/>
        <stp>BDP|11473368239062878490</stp>
        <tr r="D10" s="14"/>
        <tr r="F10" s="12"/>
      </tp>
      <tp t="s">
        <v>#N/A Requesting Data...640924112</v>
        <stp/>
        <stp>BDP|14572736216992007722</stp>
        <tr r="B10" s="2"/>
      </tp>
      <tp t="s">
        <v>#N/A Requesting Data...2574098001</v>
        <stp/>
        <stp>BDP|13060443244535072213</stp>
        <tr r="B10" s="1"/>
      </tp>
      <tp t="s">
        <v>#N/A N/A</v>
        <stp/>
        <stp>BDH|12761449360717514306</stp>
        <tr r="S3" s="14"/>
      </tp>
      <tp t="s">
        <v>#N/A N/A</v>
        <stp/>
        <stp>BDH|15162662563882479367</stp>
        <tr r="O3" s="14"/>
      </tp>
      <tp t="s">
        <v>#N/A N/A</v>
        <stp/>
        <stp>BDH|15861616174675340579</stp>
        <tr r="B45" s="14"/>
      </tp>
      <tp t="s">
        <v>#N/A Requesting Data...765682250</v>
        <stp/>
        <stp>BDP|17166731865344641740</stp>
        <tr r="C10" s="1"/>
      </tp>
      <tp t="s">
        <v>#N/A N/A</v>
        <stp/>
        <stp>BDH|12465421903874444718</stp>
        <tr r="F45" s="12"/>
      </tp>
    </main>
    <main first="bofaddin.rtdserver">
      <tp t="s">
        <v>#N/A N/A</v>
        <stp/>
        <stp>BDH|1013474590297763792</stp>
        <tr r="B45" s="12"/>
      </tp>
      <tp t="s">
        <v>#N/A N/A</v>
        <stp/>
        <stp>BDH|2717560623909469091</stp>
        <tr r="I3" s="10"/>
      </tp>
      <tp t="s">
        <v>#N/A N/A</v>
        <stp/>
        <stp>BDH|3445546162904307803</stp>
        <tr r="I3" s="8"/>
      </tp>
      <tp t="s">
        <v>#N/A N/A</v>
        <stp/>
        <stp>BDH|5349215390462485038</stp>
        <tr r="K3" s="10"/>
      </tp>
      <tp t="s">
        <v>#N/A N/A</v>
        <stp/>
        <stp>BDH|8881870080613539582</stp>
        <tr r="E3" s="5"/>
      </tp>
      <tp t="s">
        <v>#N/A N/A</v>
        <stp/>
        <stp>BDH|5645638548481727952</stp>
        <tr r="H45" s="14"/>
      </tp>
      <tp t="s">
        <v>#N/A N/A</v>
        <stp/>
        <stp>BDH|7773134792624455432</stp>
        <tr r="I3" s="12"/>
      </tp>
      <tp t="s">
        <v>#N/A N/A</v>
        <stp/>
        <stp>BDH|8137878096425285487</stp>
        <tr r="F3" s="2"/>
      </tp>
      <tp t="s">
        <v>#N/A N/A</v>
        <stp/>
        <stp>BDH|8018213874797332241</stp>
        <tr r="Q3" s="12"/>
      </tp>
      <tp t="s">
        <v>#N/A Requesting Data...3823113338</v>
        <stp/>
        <stp>BDP|9706553668206945454</stp>
        <tr r="D10" s="8"/>
      </tp>
      <tp t="s">
        <v>#N/A N/A</v>
        <stp/>
        <stp>BDH|5229848164922646121</stp>
        <tr r="E3" s="3"/>
      </tp>
      <tp t="s">
        <v>#N/A N/A</v>
        <stp/>
        <stp>BDH|3252827332534898510</stp>
        <tr r="D45" s="14"/>
      </tp>
      <tp t="s">
        <v>#N/A N/A</v>
        <stp/>
        <stp>BDH|5275909267274734715</stp>
        <tr r="J45" s="14"/>
      </tp>
      <tp t="s">
        <v>#N/A N/A</v>
        <stp/>
        <stp>BDH|3505202943914129860</stp>
        <tr r="H45" s="12"/>
        <tr r="D45" s="12"/>
      </tp>
      <tp t="s">
        <v>#N/A Requesting Data...3223983511</v>
        <stp/>
        <stp>BDP|4329662592027264695</stp>
        <tr r="B10" s="12"/>
      </tp>
      <tp t="s">
        <v>#N/A Requesting Data...1352503684</v>
        <stp/>
        <stp>BDP|6614610459362681385</stp>
        <tr r="E10" s="10"/>
      </tp>
      <tp t="s">
        <v>#N/A N/A</v>
        <stp/>
        <stp>BDH|5302064217883081298</stp>
        <tr r="I3" s="14"/>
      </tp>
      <tp t="s">
        <v>#N/A N/A</v>
        <stp/>
        <stp>BDH|5277142693832393961</stp>
        <tr r="Q3" s="14"/>
      </tp>
      <tp t="s">
        <v>#N/A N/A</v>
        <stp/>
        <stp>BDH|4041302854410172451</stp>
        <tr r="G3" s="3"/>
      </tp>
      <tp t="s">
        <v>#N/A N/A</v>
        <stp/>
        <stp>BDP|3122389811593012513</stp>
        <tr r="C10" s="14"/>
      </tp>
      <tp t="s">
        <v>#N/A Requesting Data...3604514514</v>
        <stp/>
        <stp>BDP|1931107217112743305</stp>
        <tr r="D10" s="2"/>
      </tp>
      <tp t="s">
        <v>#N/A Requesting Data...1195471323</v>
        <stp/>
        <stp>BDP|8919074471278682748</stp>
        <tr r="C10" s="3"/>
      </tp>
      <tp t="s">
        <v>#N/A Requesting Data...1498314380</v>
        <stp/>
        <stp>BDP|6499873574608943180</stp>
        <tr r="B10" s="8"/>
      </tp>
      <tp t="s">
        <v>#N/A N/A</v>
        <stp/>
        <stp>BDH|8465360895296315406</stp>
        <tr r="G3" s="5"/>
      </tp>
      <tp t="s">
        <v>#N/A Requesting Data...478740291</v>
        <stp/>
        <stp>BDP|9073119891745028595</stp>
        <tr r="E10" s="8"/>
      </tp>
      <tp t="s">
        <v>#N/A Requesting Data...4153912841</v>
        <stp/>
        <stp>BDP|7280882837258491593</stp>
        <tr r="D10" s="10"/>
      </tp>
      <tp t="s">
        <v>#N/A N/A</v>
        <stp/>
        <stp>BDH|5676990869173419841</stp>
        <tr r="M3" s="12"/>
      </tp>
      <tp t="s">
        <v>#N/A N/A</v>
        <stp/>
        <stp>BDH|4958413075624023299</stp>
        <tr r="J45" s="12"/>
      </tp>
      <tp t="s">
        <v>#N/A N/A</v>
        <stp/>
        <stp>BDH|5468311159426329744</stp>
        <tr r="M3" s="10"/>
      </tp>
      <tp t="s">
        <v>#N/A N/A</v>
        <stp/>
        <stp>BDH|4076022359824825715</stp>
        <tr r="J3" s="2"/>
      </tp>
      <tp t="s">
        <v>#N/A N/A</v>
        <stp/>
        <stp>BDH|1466163179840461591</stp>
        <tr r="K3" s="8"/>
      </tp>
      <tp t="s">
        <v>#N/A Requesting Data...677683987</v>
        <stp/>
        <stp>BDP|4720520890802409863</stp>
        <tr r="B10" s="3"/>
      </tp>
      <tp t="s">
        <v>#N/A N/A</v>
        <stp/>
        <stp>BDH|1365840357916289864</stp>
        <tr r="K3" s="14"/>
      </tp>
      <tp t="s">
        <v>#N/A N/A</v>
        <stp/>
        <stp>BDH|7144521354254813048</stp>
        <tr r="O3" s="12"/>
        <tr r="K3" s="12"/>
      </tp>
      <tp t="s">
        <v>#N/A Requesting Data...2082941091</v>
        <stp/>
        <stp>BDP|2192385730727379645</stp>
        <tr r="C10" s="8"/>
      </tp>
      <tp t="s">
        <v>#N/A N/A</v>
        <stp/>
        <stp>BDH|8903894600240432361</stp>
        <tr r="L45" s="12"/>
      </tp>
      <tp t="s">
        <v>#N/A N/A</v>
        <stp/>
        <stp>BDH|8013744470949673279</stp>
        <tr r="F45" s="14"/>
      </tp>
      <tp t="s">
        <v>#N/A Requesting Data...2255823807</v>
        <stp/>
        <stp>BDP|519161733290183679</stp>
        <tr r="B10" s="9"/>
      </tp>
      <tp t="s">
        <v>#N/A Requesting Data...541490559</v>
        <stp/>
        <stp>BDP|332801733094788947</stp>
        <tr r="B10" s="14"/>
        <tr r="D10" s="12"/>
      </tp>
      <tp t="s">
        <v>#N/A Requesting Data...1712256066</v>
        <stp/>
        <stp>BDP|416056535068485843</stp>
        <tr r="C10" s="2"/>
      </tp>
      <tp t="s">
        <v>#N/A N/A</v>
        <stp/>
        <stp>BDH|209238618972668341</stp>
        <tr r="E3" s="9"/>
      </tp>
      <tp t="s">
        <v>#N/A N/A</v>
        <stp/>
        <stp>BDP|967432059673127000</stp>
        <tr r="G10" s="14"/>
      </tp>
      <tp t="s">
        <v>#N/A N/A</v>
        <stp/>
        <stp>BDH|919709802306952993</stp>
        <tr r="G3" s="1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Basis'!$A$13:$A$313</c:f>
              <c:numCache>
                <c:formatCode>d\-mmm\-yy</c:formatCode>
                <c:ptCount val="287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45941</c:v>
                </c:pt>
                <c:pt idx="17">
                  <c:v>45942</c:v>
                </c:pt>
                <c:pt idx="18">
                  <c:v>45943</c:v>
                </c:pt>
                <c:pt idx="19">
                  <c:v>45944</c:v>
                </c:pt>
              </c:numCache>
            </c:numRef>
          </c:cat>
          <c:val>
            <c:numRef>
              <c:f>'ACAFP Basis'!$I$13:$I$313</c:f>
              <c:numCache>
                <c:formatCode>General</c:formatCode>
                <c:ptCount val="287"/>
                <c:pt idx="2" formatCode="_(&quot;$&quot;* #,##0.00_);_(&quot;$&quot;* \(#,##0.00\);_(&quot;$&quot;* &quot;-&quot;??_);_(@_)">
                  <c:v>20572.519958333647</c:v>
                </c:pt>
                <c:pt idx="3" formatCode="_(&quot;$&quot;* #,##0.00_);_(&quot;$&quot;* \(#,##0.00\);_(&quot;$&quot;* &quot;-&quot;??_);_(@_)">
                  <c:v>18236.58391666643</c:v>
                </c:pt>
                <c:pt idx="4" formatCode="_(&quot;$&quot;* #,##0.00_);_(&quot;$&quot;* \(#,##0.00\);_(&quot;$&quot;* &quot;-&quot;??_);_(@_)">
                  <c:v>45757.170791666686</c:v>
                </c:pt>
                <c:pt idx="5" formatCode="_(&quot;$&quot;* #,##0.00_);_(&quot;$&quot;* \(#,##0.00\);_(&quot;$&quot;* &quot;-&quot;??_);_(@_)">
                  <c:v>63393.419749999666</c:v>
                </c:pt>
                <c:pt idx="6" formatCode="_(&quot;$&quot;* #,##0.00_);_(&quot;$&quot;* \(#,##0.00\);_(&quot;$&quot;* &quot;-&quot;??_);_(@_)">
                  <c:v>61094.388208332988</c:v>
                </c:pt>
                <c:pt idx="7" formatCode="_(&quot;$&quot;* #,##0.00_);_(&quot;$&quot;* \(#,##0.00\);_(&quot;$&quot;* &quot;-&quot;??_);_(@_)">
                  <c:v>90173.865666666854</c:v>
                </c:pt>
                <c:pt idx="8" formatCode="_(&quot;$&quot;* #,##0.00_);_(&quot;$&quot;* \(#,##0.00\);_(&quot;$&quot;* &quot;-&quot;??_);_(@_)">
                  <c:v>74992.472625000097</c:v>
                </c:pt>
                <c:pt idx="9" formatCode="_(&quot;$&quot;* #,##0.00_);_(&quot;$&quot;* \(#,##0.00\);_(&quot;$&quot;* &quot;-&quot;??_);_(@_)">
                  <c:v>81807.740500000044</c:v>
                </c:pt>
                <c:pt idx="10" formatCode="_(&quot;$&quot;* #,##0.00_);_(&quot;$&quot;* \(#,##0.00\);_(&quot;$&quot;* &quot;-&quot;??_);_(@_)">
                  <c:v>59055.41124999959</c:v>
                </c:pt>
                <c:pt idx="11" formatCode="_(&quot;$&quot;* #,##0.00_);_(&quot;$&quot;* \(#,##0.00\);_(&quot;$&quot;* &quot;-&quot;??_);_(@_)">
                  <c:v>42354.969124999763</c:v>
                </c:pt>
                <c:pt idx="12" formatCode="_(&quot;$&quot;* #,##0.00_);_(&quot;$&quot;* \(#,##0.00\);_(&quot;$&quot;* &quot;-&quot;??_);_(@_)">
                  <c:v>38059.901083333454</c:v>
                </c:pt>
                <c:pt idx="13" formatCode="_(&quot;$&quot;* #,##0.00_);_(&quot;$&quot;* \(#,##0.00\);_(&quot;$&quot;* &quot;-&quot;??_);_(@_)">
                  <c:v>56217.301041666513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45941</c:v>
                </c:pt>
              </c:numCache>
            </c:numRef>
          </c:cat>
          <c:val>
            <c:numRef>
              <c:f>'EU Defence vs Oil'!$K$15:$K$31</c:f>
              <c:numCache>
                <c:formatCode>_("$"* #,##0.00_);_("$"* \(#,##0.00\);_("$"* "-"??_);_(@_)</c:formatCode>
                <c:ptCount val="17"/>
                <c:pt idx="0">
                  <c:v>-36864.819555555579</c:v>
                </c:pt>
                <c:pt idx="1">
                  <c:v>-38790.459111111108</c:v>
                </c:pt>
                <c:pt idx="2">
                  <c:v>-43588.029777777825</c:v>
                </c:pt>
                <c:pt idx="3">
                  <c:v>-42329.913333333294</c:v>
                </c:pt>
                <c:pt idx="4">
                  <c:v>-44763.016888888953</c:v>
                </c:pt>
                <c:pt idx="5">
                  <c:v>-23422.824444444454</c:v>
                </c:pt>
                <c:pt idx="6">
                  <c:v>-37585.432000000001</c:v>
                </c:pt>
                <c:pt idx="7">
                  <c:v>-34552.754666666689</c:v>
                </c:pt>
                <c:pt idx="8">
                  <c:v>-30957.394222222225</c:v>
                </c:pt>
                <c:pt idx="9">
                  <c:v>-21730.833777777756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RV'!$A$14:$A$29</c:f>
              <c:numCache>
                <c:formatCode>d\-mmm\-yy</c:formatCode>
                <c:ptCount val="16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  <c:pt idx="6">
                  <c:v>45933</c:v>
                </c:pt>
                <c:pt idx="7">
                  <c:v>45936</c:v>
                </c:pt>
                <c:pt idx="8">
                  <c:v>45937</c:v>
                </c:pt>
                <c:pt idx="9">
                  <c:v>45938</c:v>
                </c:pt>
                <c:pt idx="10">
                  <c:v>45939</c:v>
                </c:pt>
                <c:pt idx="11">
                  <c:v>45940</c:v>
                </c:pt>
                <c:pt idx="12">
                  <c:v>45941</c:v>
                </c:pt>
              </c:numCache>
            </c:numRef>
          </c:cat>
          <c:val>
            <c:numRef>
              <c:f>'EU Insurance CDS RV'!$H$15:$H$31</c:f>
              <c:numCache>
                <c:formatCode>_("$"* #,##0.00_);_("$"* \(#,##0.00\);_("$"* "-"??_);_(@_)</c:formatCode>
                <c:ptCount val="17"/>
                <c:pt idx="0">
                  <c:v>-5973.1262222222376</c:v>
                </c:pt>
                <c:pt idx="1">
                  <c:v>2332.7831111111491</c:v>
                </c:pt>
                <c:pt idx="2">
                  <c:v>576.64088888886272</c:v>
                </c:pt>
                <c:pt idx="3">
                  <c:v>1236.6906666666409</c:v>
                </c:pt>
                <c:pt idx="4">
                  <c:v>1845.6524444444512</c:v>
                </c:pt>
                <c:pt idx="5">
                  <c:v>2891.3462222222843</c:v>
                </c:pt>
                <c:pt idx="6">
                  <c:v>3172.7475555555029</c:v>
                </c:pt>
                <c:pt idx="7">
                  <c:v>1308.5853333333362</c:v>
                </c:pt>
                <c:pt idx="8">
                  <c:v>1981.3711111110479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4-4411-882D-F7F8CBCE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Barclays!$A$14:$A$29</c:f>
              <c:numCache>
                <c:formatCode>d\-mmm\-yy</c:formatCode>
                <c:ptCount val="16"/>
                <c:pt idx="0">
                  <c:v>45930</c:v>
                </c:pt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45941</c:v>
                </c:pt>
              </c:numCache>
            </c:numRef>
          </c:cat>
          <c:val>
            <c:numRef>
              <c:f>Barclays!$H$15:$H$31</c:f>
              <c:numCache>
                <c:formatCode>_("$"* #,##0.00_);_("$"* \(#,##0.00\);_("$"* "-"??_);_(@_)</c:formatCode>
                <c:ptCount val="17"/>
                <c:pt idx="0">
                  <c:v>-43334.599305554519</c:v>
                </c:pt>
                <c:pt idx="1">
                  <c:v>-34469.198611110463</c:v>
                </c:pt>
                <c:pt idx="2">
                  <c:v>-58363.797916666808</c:v>
                </c:pt>
                <c:pt idx="3">
                  <c:v>-39307.595833332867</c:v>
                </c:pt>
                <c:pt idx="4">
                  <c:v>-40162.195138888332</c:v>
                </c:pt>
                <c:pt idx="5">
                  <c:v>-48016.794444443403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8-40A7-A5C3-924A70C0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RV'!$A$14:$A$29</c:f>
              <c:numCache>
                <c:formatCode>d\-mmm\-yy</c:formatCode>
                <c:ptCount val="16"/>
                <c:pt idx="0">
                  <c:v>45931</c:v>
                </c:pt>
                <c:pt idx="1">
                  <c:v>45932</c:v>
                </c:pt>
                <c:pt idx="2">
                  <c:v>45933</c:v>
                </c:pt>
                <c:pt idx="3">
                  <c:v>45936</c:v>
                </c:pt>
                <c:pt idx="4">
                  <c:v>45937</c:v>
                </c:pt>
                <c:pt idx="5">
                  <c:v>45938</c:v>
                </c:pt>
                <c:pt idx="6">
                  <c:v>45939</c:v>
                </c:pt>
                <c:pt idx="7">
                  <c:v>45940</c:v>
                </c:pt>
                <c:pt idx="8">
                  <c:v>45941</c:v>
                </c:pt>
              </c:numCache>
            </c:numRef>
          </c:cat>
          <c:val>
            <c:numRef>
              <c:f>'KSA RV'!$N$15:$N$31</c:f>
              <c:numCache>
                <c:formatCode>_("$"* #,##0.00_);_("$"* \(#,##0.00\);_("$"* "-"??_);_(@_)</c:formatCode>
                <c:ptCount val="17"/>
                <c:pt idx="0">
                  <c:v>-32686.938363333298</c:v>
                </c:pt>
                <c:pt idx="1">
                  <c:v>-19297.376726667459</c:v>
                </c:pt>
                <c:pt idx="2">
                  <c:v>-16258.991816669015</c:v>
                </c:pt>
                <c:pt idx="3">
                  <c:v>-18135.380180000517</c:v>
                </c:pt>
                <c:pt idx="4">
                  <c:v>-12721.318543334342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D-48EB-8DCC-1B4115C35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RV'!$A$14:$A$29</c:f>
              <c:numCache>
                <c:formatCode>d\-mmm\-yy</c:formatCode>
                <c:ptCount val="16"/>
                <c:pt idx="0">
                  <c:v>45933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</c:numCache>
            </c:numRef>
          </c:cat>
          <c:val>
            <c:numRef>
              <c:f>'EU Banks CDS RV'!$H$15:$H$31</c:f>
              <c:numCache>
                <c:formatCode>_("$"* #,##0.00_);_("$"* \(#,##0.00\);_("$"* "-"??_);_(@_)</c:formatCode>
                <c:ptCount val="17"/>
                <c:pt idx="0">
                  <c:v>-1124.1733333332741</c:v>
                </c:pt>
                <c:pt idx="1">
                  <c:v>2470.7778888889206</c:v>
                </c:pt>
                <c:pt idx="2">
                  <c:v>-1828.7708888888219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0-41EF-B27E-38BF0965A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Compression'!$A$14:$A$29</c:f>
              <c:numCache>
                <c:formatCode>d\-mmm\-yy</c:formatCode>
                <c:ptCount val="16"/>
                <c:pt idx="0">
                  <c:v>45937</c:v>
                </c:pt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45941</c:v>
                </c:pt>
              </c:numCache>
            </c:numRef>
          </c:cat>
          <c:val>
            <c:numRef>
              <c:f>'EU ETF Compression'!$N$15:$N$31</c:f>
              <c:numCache>
                <c:formatCode>_("$"* #,##0.00_);_("$"* \(#,##0.00\);_("$"* "-"??_);_(@_)</c:formatCode>
                <c:ptCount val="17"/>
                <c:pt idx="0">
                  <c:v>-60247.702236505749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9-4546-B1F8-63545A09C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ETF Compression'!$T$12:$T$14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ETF Compression'!$A$14:$A$29</c:f>
              <c:numCache>
                <c:formatCode>d\-mmm\-yy</c:formatCode>
                <c:ptCount val="16"/>
                <c:pt idx="0">
                  <c:v>45915</c:v>
                </c:pt>
                <c:pt idx="1">
                  <c:v>45916</c:v>
                </c:pt>
                <c:pt idx="2">
                  <c:v>45917</c:v>
                </c:pt>
                <c:pt idx="3">
                  <c:v>45918</c:v>
                </c:pt>
                <c:pt idx="4">
                  <c:v>45919</c:v>
                </c:pt>
                <c:pt idx="5">
                  <c:v>45922</c:v>
                </c:pt>
                <c:pt idx="6">
                  <c:v>45923</c:v>
                </c:pt>
                <c:pt idx="7">
                  <c:v>45924</c:v>
                </c:pt>
                <c:pt idx="8">
                  <c:v>45925</c:v>
                </c:pt>
                <c:pt idx="9">
                  <c:v>45926</c:v>
                </c:pt>
                <c:pt idx="10">
                  <c:v>45929</c:v>
                </c:pt>
                <c:pt idx="11">
                  <c:v>45930</c:v>
                </c:pt>
                <c:pt idx="12">
                  <c:v>45931</c:v>
                </c:pt>
                <c:pt idx="13">
                  <c:v>45932</c:v>
                </c:pt>
                <c:pt idx="14">
                  <c:v>45933</c:v>
                </c:pt>
                <c:pt idx="15">
                  <c:v>45936</c:v>
                </c:pt>
              </c:numCache>
            </c:numRef>
          </c:cat>
          <c:val>
            <c:numRef>
              <c:f>'US ETF Compression'!$T$15:$T$31</c:f>
              <c:numCache>
                <c:formatCode>_("$"* #,##0_);_("$"* \(#,##0\);_("$"* "-"??_);_(@_)</c:formatCode>
                <c:ptCount val="17"/>
                <c:pt idx="0">
                  <c:v>31217.214616930833</c:v>
                </c:pt>
                <c:pt idx="1">
                  <c:v>-40274.442201504164</c:v>
                </c:pt>
                <c:pt idx="2">
                  <c:v>45075.639234011898</c:v>
                </c:pt>
                <c:pt idx="3">
                  <c:v>42451.761896485979</c:v>
                </c:pt>
                <c:pt idx="4">
                  <c:v>108871.49256401924</c:v>
                </c:pt>
                <c:pt idx="5">
                  <c:v>106697.93186877367</c:v>
                </c:pt>
                <c:pt idx="6">
                  <c:v>131978.59209042153</c:v>
                </c:pt>
                <c:pt idx="7">
                  <c:v>92444.507231884942</c:v>
                </c:pt>
                <c:pt idx="8">
                  <c:v>108259.48657025544</c:v>
                </c:pt>
                <c:pt idx="9">
                  <c:v>145392.45495853462</c:v>
                </c:pt>
                <c:pt idx="10">
                  <c:v>115643.94561680552</c:v>
                </c:pt>
                <c:pt idx="11">
                  <c:v>64837.727716074645</c:v>
                </c:pt>
                <c:pt idx="12">
                  <c:v>38957.331052547874</c:v>
                </c:pt>
                <c:pt idx="13">
                  <c:v>-11334.484437440191</c:v>
                </c:pt>
                <c:pt idx="14">
                  <c:v>34156.797751233782</c:v>
                </c:pt>
                <c:pt idx="15">
                  <c:v>-16188.4539461192</c:v>
                </c:pt>
                <c:pt idx="16">
                  <c:v>-2619.5204751941892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2-4419-A0DA-A27446B1B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IG Cash Curve'!$T$12:$T$14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IG Cash Curve'!$A$14:$A$21</c:f>
              <c:numCache>
                <c:formatCode>d\-mmm\-yy</c:formatCode>
                <c:ptCount val="8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  <c:pt idx="6">
                  <c:v>45933</c:v>
                </c:pt>
                <c:pt idx="7">
                  <c:v>45936</c:v>
                </c:pt>
              </c:numCache>
            </c:numRef>
          </c:cat>
          <c:val>
            <c:numRef>
              <c:f>'US IG Cash Curve'!$T$15:$T$31</c:f>
              <c:numCache>
                <c:formatCode>_("$"* #,##0_);_("$"* \(#,##0\);_("$"* "-"??_);_(@_)</c:formatCode>
                <c:ptCount val="17"/>
                <c:pt idx="0">
                  <c:v>-55382.275611917656</c:v>
                </c:pt>
                <c:pt idx="1">
                  <c:v>-43004.817213670685</c:v>
                </c:pt>
                <c:pt idx="2">
                  <c:v>-51000.88574030342</c:v>
                </c:pt>
                <c:pt idx="3">
                  <c:v>56125.214644821666</c:v>
                </c:pt>
                <c:pt idx="4">
                  <c:v>39225.910170083109</c:v>
                </c:pt>
                <c:pt idx="5">
                  <c:v>15593.953784406411</c:v>
                </c:pt>
                <c:pt idx="6">
                  <c:v>12279.276684667464</c:v>
                </c:pt>
                <c:pt idx="7">
                  <c:v>42255.63945660241</c:v>
                </c:pt>
                <c:pt idx="8">
                  <c:v>17431.054379030538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E-457A-8C85-67FD5B679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0</xdr:rowOff>
    </xdr:from>
    <xdr:to>
      <xdr:col>27</xdr:col>
      <xdr:colOff>100014</xdr:colOff>
      <xdr:row>20</xdr:row>
      <xdr:rowOff>62706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DA8BA-604F-43FA-BB65-32577F55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DD156-6774-45DD-B594-72912ED83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3C198-CB3C-49EB-9C05-1EDDE076B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149445-5CB1-45F4-A0EC-FB75467E4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1C4BB9-043A-4F9D-A89B-8C3655702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486453</xdr:colOff>
      <xdr:row>13</xdr:row>
      <xdr:rowOff>151492</xdr:rowOff>
    </xdr:from>
    <xdr:to>
      <xdr:col>33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60682F-C604-4268-A9CB-FB46889B8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486453</xdr:colOff>
      <xdr:row>13</xdr:row>
      <xdr:rowOff>151492</xdr:rowOff>
    </xdr:from>
    <xdr:to>
      <xdr:col>33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DB794-5FE6-4AEB-A433-77F98641B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zoomScale="80" zoomScaleNormal="80" workbookViewId="0">
      <selection activeCell="J40" sqref="J40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2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109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TODAY()-5</f>
        <v>45933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6" ca="1">_xll.BDH($B$4, "PX_LAST, ", $L$1, "")</f>
        <v>45933</v>
      </c>
      <c r="M3" s="3">
        <f ca="1"/>
        <v>101.806</v>
      </c>
      <c r="N3" s="53" cm="1">
        <f t="array" aca="1" ref="N3:O6" ca="1">_xll.BDH($C$4, "PX_LAST, ", $L$1, "")</f>
        <v>45933</v>
      </c>
      <c r="O3" s="3">
        <f ca="1"/>
        <v>101.01600000000001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45936</v>
      </c>
      <c r="M4" s="3">
        <f ca="1"/>
        <v>106.31399999999999</v>
      </c>
      <c r="N4" s="53">
        <f ca="1"/>
        <v>45936</v>
      </c>
      <c r="O4" s="3">
        <f ca="1"/>
        <v>100.465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45937</v>
      </c>
      <c r="M5" s="3">
        <f ca="1"/>
        <v>106.738</v>
      </c>
      <c r="N5" s="53">
        <f ca="1"/>
        <v>45937</v>
      </c>
      <c r="O5" s="3">
        <f ca="1"/>
        <v>100.452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45938</v>
      </c>
      <c r="M6" s="3">
        <f ca="1"/>
        <v>104.866</v>
      </c>
      <c r="N6" s="53">
        <f ca="1"/>
        <v>45938</v>
      </c>
      <c r="O6" s="3">
        <f ca="1"/>
        <v>100.539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I7" s="3"/>
      <c r="L7" s="53"/>
      <c r="N7" s="53"/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</row>
    <row r="10" spans="1:15" ht="15" thickBot="1" x14ac:dyDescent="0.35">
      <c r="A10" s="16" t="s">
        <v>29</v>
      </c>
      <c r="B10" s="20" cm="1">
        <f t="array" ref="B10">_xll.BDP(B4,"PX_LAST")</f>
        <v>104.8661</v>
      </c>
      <c r="C10" s="13" cm="1">
        <f t="array" ref="C10">_xll.BDP(C4,"PX_LAST")</f>
        <v>100.539</v>
      </c>
      <c r="D10" s="31"/>
      <c r="E10" s="1"/>
      <c r="F10" s="1"/>
      <c r="G10" s="1"/>
      <c r="H10" s="1"/>
      <c r="I10" s="1"/>
      <c r="J10" s="1"/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</row>
    <row r="12" spans="1:15" ht="15" thickBot="1" x14ac:dyDescent="0.35">
      <c r="A12" s="40" t="s">
        <v>23</v>
      </c>
      <c r="B12" s="80" t="s">
        <v>0</v>
      </c>
      <c r="C12" s="81"/>
      <c r="D12" s="81"/>
      <c r="E12" s="82"/>
      <c r="F12" s="83" t="s">
        <v>1</v>
      </c>
      <c r="G12" s="84"/>
      <c r="H12" s="85"/>
      <c r="I12" s="40" t="s">
        <v>16</v>
      </c>
      <c r="J12" s="1"/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15"/>
      <c r="J14" s="1"/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105">
        <f>(D15+E15)*$B$9-G15-H15</f>
        <v>20572.519958333647</v>
      </c>
      <c r="J15" s="1"/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9" si="2">(F16-$F$14)/100*$C$5</f>
        <v>73500.000000000291</v>
      </c>
      <c r="H16" s="32">
        <f t="shared" ref="H16:H34" si="3">$C$6*(A16-$A$14)/360*$C$5-$C$7*(A16-$A$14)/360*$C$5*$F$14/100</f>
        <v>1102.5520833333339</v>
      </c>
      <c r="I16" s="105">
        <f t="shared" ref="I16:I33" si="4">(D16+E16)*$B$9-G16-H16</f>
        <v>18236.58391666643</v>
      </c>
      <c r="J16" s="1"/>
    </row>
    <row r="17" spans="1:10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105">
        <f t="shared" si="4"/>
        <v>45757.170791666686</v>
      </c>
      <c r="J17" s="1"/>
    </row>
    <row r="18" spans="1:10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105">
        <f t="shared" si="4"/>
        <v>63393.419749999666</v>
      </c>
      <c r="J18" s="1"/>
    </row>
    <row r="19" spans="1:10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105">
        <f t="shared" si="4"/>
        <v>61094.388208332988</v>
      </c>
      <c r="J19" s="1"/>
    </row>
    <row r="20" spans="1:10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105">
        <f t="shared" si="4"/>
        <v>90173.865666666854</v>
      </c>
      <c r="J20" s="1"/>
    </row>
    <row r="21" spans="1:10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105">
        <f t="shared" si="4"/>
        <v>74992.472625000097</v>
      </c>
      <c r="J21" s="1"/>
    </row>
    <row r="22" spans="1:10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105">
        <f t="shared" si="4"/>
        <v>81807.740500000044</v>
      </c>
      <c r="J22" s="1"/>
    </row>
    <row r="23" spans="1:10" hidden="1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105">
        <f t="shared" si="4"/>
        <v>60914.435958333328</v>
      </c>
      <c r="J23" s="1"/>
    </row>
    <row r="24" spans="1:10" hidden="1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105">
        <f t="shared" si="4"/>
        <v>74009.595416666678</v>
      </c>
      <c r="J24" s="1"/>
    </row>
    <row r="25" spans="1:10" hidden="1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105">
        <f t="shared" si="4"/>
        <v>33945.590374999971</v>
      </c>
      <c r="J25" s="1"/>
    </row>
    <row r="26" spans="1:10" hidden="1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105">
        <f t="shared" si="4"/>
        <v>26106.814333333008</v>
      </c>
      <c r="J26" s="1"/>
    </row>
    <row r="27" spans="1:10" hidden="1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105"/>
      <c r="J27" s="1"/>
    </row>
    <row r="28" spans="1:10" hidden="1" x14ac:dyDescent="0.3">
      <c r="A28" s="37">
        <v>45922</v>
      </c>
      <c r="B28" s="4">
        <v>103.506</v>
      </c>
      <c r="C28" s="1">
        <f t="shared" ref="C28:C39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105">
        <f t="shared" si="4"/>
        <v>32354.597708333502</v>
      </c>
      <c r="J28" s="1"/>
    </row>
    <row r="29" spans="1:10" hidden="1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105">
        <f t="shared" si="4"/>
        <v>32365.614166666328</v>
      </c>
      <c r="J29" s="1"/>
    </row>
    <row r="30" spans="1:10" hidden="1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105">
        <f t="shared" si="4"/>
        <v>34935.891624999553</v>
      </c>
      <c r="J30" s="1"/>
    </row>
    <row r="31" spans="1:10" hidden="1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9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105">
        <f t="shared" si="4"/>
        <v>32388.287583332876</v>
      </c>
      <c r="J31" s="1"/>
    </row>
    <row r="32" spans="1:10" hidden="1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105">
        <f t="shared" si="4"/>
        <v>11025.391541666799</v>
      </c>
      <c r="J32" s="1"/>
    </row>
    <row r="33" spans="1:10" hidden="1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105">
        <f t="shared" si="4"/>
        <v>34122.251916666726</v>
      </c>
      <c r="J33" s="1"/>
    </row>
    <row r="34" spans="1:10" hidden="1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105">
        <f t="shared" ref="I34:I39" si="8">(D34+E34)*$B$9-G34-H34</f>
        <v>30267.178874999743</v>
      </c>
      <c r="J34" s="1"/>
    </row>
    <row r="35" spans="1:10" hidden="1" x14ac:dyDescent="0.3">
      <c r="A35" s="37">
        <v>45931</v>
      </c>
      <c r="B35" s="4">
        <v>104.288</v>
      </c>
      <c r="C35" s="1">
        <f t="shared" si="5"/>
        <v>92.747</v>
      </c>
      <c r="D35" s="31">
        <f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9">$C$6*(A35-$A$14)/360*$C$5-$C$7*(A35-$A$14)/360*$C$5*$F$14/100</f>
        <v>15435.729166666664</v>
      </c>
      <c r="I35" s="105">
        <f t="shared" si="8"/>
        <v>38979.032333333416</v>
      </c>
      <c r="J35" s="1"/>
    </row>
    <row r="36" spans="1:10" hidden="1" x14ac:dyDescent="0.3">
      <c r="A36" s="37">
        <v>45932</v>
      </c>
      <c r="B36" s="4">
        <v>102.09</v>
      </c>
      <c r="C36" s="1">
        <f t="shared" si="5"/>
        <v>90.549000000000007</v>
      </c>
      <c r="D36" s="31">
        <f>-1*(C36-$C$14)*10^-4*$B$8*$B$5</f>
        <v>177853.64999999994</v>
      </c>
      <c r="E36" s="32">
        <f t="shared" si="7"/>
        <v>20138.888888888887</v>
      </c>
      <c r="F36" s="4">
        <v>101.143</v>
      </c>
      <c r="G36" s="1">
        <f t="shared" si="2"/>
        <v>170100.00000000003</v>
      </c>
      <c r="H36" s="32">
        <f>$C$6*(A36-$A$14)/360*$C$5-$C$7*(A36-$A$14)/360*$C$5*$F$14/100</f>
        <v>15987.005208333343</v>
      </c>
      <c r="I36" s="105">
        <f t="shared" si="8"/>
        <v>45564.265291666525</v>
      </c>
      <c r="J36" s="1"/>
    </row>
    <row r="37" spans="1:10" x14ac:dyDescent="0.3">
      <c r="A37" s="37">
        <v>45933</v>
      </c>
      <c r="B37" s="4">
        <v>101.806</v>
      </c>
      <c r="C37" s="1">
        <f t="shared" si="5"/>
        <v>90.265000000000001</v>
      </c>
      <c r="D37" s="31">
        <f>-1*(C37-$C$14)*10^-4*$B$8*$B$5</f>
        <v>181020.25</v>
      </c>
      <c r="E37" s="32">
        <f t="shared" si="7"/>
        <v>20833.333333333332</v>
      </c>
      <c r="F37" s="4">
        <v>101.01600000000001</v>
      </c>
      <c r="G37" s="1">
        <f t="shared" si="2"/>
        <v>160575.00000000041</v>
      </c>
      <c r="H37" s="32">
        <f>$C$6*(A37-$A$14)/360*$C$5-$C$7*(A37-$A$14)/360*$C$5*$F$14/100</f>
        <v>16538.281250000007</v>
      </c>
      <c r="I37" s="105">
        <f t="shared" si="8"/>
        <v>59055.41124999959</v>
      </c>
      <c r="J37" s="1"/>
    </row>
    <row r="38" spans="1:10" x14ac:dyDescent="0.3">
      <c r="A38" s="37">
        <v>45936</v>
      </c>
      <c r="B38" s="4">
        <v>106.31399999999999</v>
      </c>
      <c r="C38" s="1">
        <f t="shared" si="5"/>
        <v>94.772999999999996</v>
      </c>
      <c r="D38" s="31">
        <f>-1*(C38-$C$14)*10^-4*$B$8*$B$5</f>
        <v>130756.05000000005</v>
      </c>
      <c r="E38" s="32">
        <f t="shared" si="7"/>
        <v>22916.666666666668</v>
      </c>
      <c r="F38" s="4">
        <v>100.465</v>
      </c>
      <c r="G38" s="1">
        <f t="shared" si="2"/>
        <v>119250.00000000026</v>
      </c>
      <c r="H38" s="32">
        <f>$C$6*(A38-$A$14)/360*$C$5-$C$7*(A38-$A$14)/360*$C$5*$F$14/100</f>
        <v>18192.109375000007</v>
      </c>
      <c r="I38" s="105">
        <f t="shared" si="8"/>
        <v>42354.969124999763</v>
      </c>
      <c r="J38" s="1"/>
    </row>
    <row r="39" spans="1:10" x14ac:dyDescent="0.3">
      <c r="A39" s="37">
        <v>45937</v>
      </c>
      <c r="B39" s="4">
        <v>106.738</v>
      </c>
      <c r="C39" s="1">
        <f t="shared" si="5"/>
        <v>95.197000000000003</v>
      </c>
      <c r="D39" s="31">
        <f>-1*(C39-$C$14)*10^-4*$B$8*$B$5</f>
        <v>126028.45</v>
      </c>
      <c r="E39" s="32">
        <f t="shared" si="7"/>
        <v>23611.111111111113</v>
      </c>
      <c r="F39" s="4">
        <v>100.452</v>
      </c>
      <c r="G39" s="1">
        <f t="shared" si="2"/>
        <v>118274.99999999987</v>
      </c>
      <c r="H39" s="32">
        <f>$C$6*(A39-$A$14)/360*$C$5-$C$7*(A39-$A$14)/360*$C$5*$F$14/100</f>
        <v>18743.385416666664</v>
      </c>
      <c r="I39" s="105">
        <f t="shared" si="8"/>
        <v>38059.901083333454</v>
      </c>
      <c r="J39" s="1"/>
    </row>
    <row r="40" spans="1:10" x14ac:dyDescent="0.3">
      <c r="A40" s="37">
        <v>45938</v>
      </c>
      <c r="B40" s="4">
        <v>104.866</v>
      </c>
      <c r="C40" s="1">
        <f t="shared" ref="C40" si="10">B40-$G$6</f>
        <v>93.325000000000003</v>
      </c>
      <c r="D40" s="31">
        <f>-1*(C40-$C$14)*10^-4*$B$8*$B$5</f>
        <v>146901.24999999997</v>
      </c>
      <c r="E40" s="32">
        <f t="shared" ref="E40" si="11">$B$6*(A40-$A$14)/360*$B$5</f>
        <v>24305.555555555558</v>
      </c>
      <c r="F40" s="4">
        <v>100.539</v>
      </c>
      <c r="G40" s="1">
        <f t="shared" ref="G40" si="12">(F40-$F$14)/100*$C$5</f>
        <v>124800.00000000012</v>
      </c>
      <c r="H40" s="32">
        <f>$C$6*(A40-$A$14)/360*$C$5-$C$7*(A40-$A$14)/360*$C$5*$F$14/100</f>
        <v>19294.661458333336</v>
      </c>
      <c r="I40" s="105">
        <f t="shared" ref="I40" si="13">(D40+E40)*$B$9-G40-H40</f>
        <v>56217.301041666513</v>
      </c>
      <c r="J40" s="1"/>
    </row>
    <row r="41" spans="1:10" x14ac:dyDescent="0.3">
      <c r="A41" s="37">
        <v>45939</v>
      </c>
      <c r="B41" s="4"/>
      <c r="C41" s="1"/>
      <c r="D41" s="31"/>
      <c r="E41" s="5"/>
      <c r="F41" s="4"/>
      <c r="G41" s="1"/>
      <c r="H41" s="5"/>
      <c r="I41" s="105"/>
      <c r="J41" s="1"/>
    </row>
    <row r="42" spans="1:10" x14ac:dyDescent="0.3">
      <c r="A42" s="37">
        <v>45940</v>
      </c>
      <c r="B42" s="4"/>
      <c r="C42" s="1"/>
      <c r="D42" s="31"/>
      <c r="E42" s="5"/>
      <c r="F42" s="4"/>
      <c r="G42" s="1"/>
      <c r="H42" s="5"/>
      <c r="I42" s="105"/>
      <c r="J42" s="1"/>
    </row>
    <row r="43" spans="1:10" x14ac:dyDescent="0.3">
      <c r="A43" s="37">
        <v>45941</v>
      </c>
      <c r="B43" s="4"/>
      <c r="C43" s="1"/>
      <c r="D43" s="31"/>
      <c r="E43" s="5"/>
      <c r="F43" s="4"/>
      <c r="G43" s="1"/>
      <c r="H43" s="5"/>
      <c r="I43" s="105"/>
      <c r="J43" s="1"/>
    </row>
    <row r="44" spans="1:10" x14ac:dyDescent="0.3">
      <c r="A44" s="37">
        <v>45942</v>
      </c>
      <c r="B44" s="4"/>
      <c r="C44" s="1"/>
      <c r="D44" s="31"/>
      <c r="E44" s="5"/>
      <c r="F44" s="4"/>
      <c r="G44" s="1"/>
      <c r="H44" s="5"/>
      <c r="I44" s="105"/>
      <c r="J44" s="1"/>
    </row>
    <row r="45" spans="1:10" x14ac:dyDescent="0.3">
      <c r="A45" s="37">
        <v>45943</v>
      </c>
      <c r="B45" s="34"/>
      <c r="E45" s="35"/>
      <c r="F45" s="34"/>
      <c r="H45" s="35"/>
      <c r="I45" s="107"/>
    </row>
    <row r="46" spans="1:10" ht="15" thickBot="1" x14ac:dyDescent="0.35">
      <c r="A46" s="37">
        <v>45944</v>
      </c>
      <c r="B46" s="36"/>
      <c r="C46" s="12"/>
      <c r="D46" s="72"/>
      <c r="E46" s="13"/>
      <c r="F46" s="36"/>
      <c r="G46" s="12"/>
      <c r="H46" s="13"/>
      <c r="I46" s="108"/>
    </row>
  </sheetData>
  <mergeCells count="2">
    <mergeCell ref="B12:E12"/>
    <mergeCell ref="F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zoomScale="80" zoomScaleNormal="80" workbookViewId="0">
      <selection activeCell="M7" sqref="M7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11.88671875" style="55" bestFit="1" customWidth="1"/>
    <col min="12" max="12" width="10.6640625" style="55" bestFit="1" customWidth="1"/>
    <col min="13" max="16384" width="8.88671875" style="55"/>
  </cols>
  <sheetData>
    <row r="1" spans="1:12" ht="15" thickBot="1" x14ac:dyDescent="0.35">
      <c r="A1" s="1"/>
      <c r="B1" s="1"/>
      <c r="C1" s="1"/>
      <c r="D1" s="1"/>
      <c r="E1" s="1"/>
      <c r="F1" s="54">
        <f ca="1">TODAY()-5</f>
        <v>45933</v>
      </c>
      <c r="G1" s="1"/>
      <c r="H1" s="1"/>
      <c r="I1" s="1"/>
      <c r="J1" s="1"/>
      <c r="K1" s="1"/>
      <c r="L1" s="1"/>
    </row>
    <row r="2" spans="1:12" ht="15" thickBot="1" x14ac:dyDescent="0.35">
      <c r="A2" s="30"/>
      <c r="B2" s="41" t="s">
        <v>0</v>
      </c>
      <c r="C2" s="45" t="s">
        <v>0</v>
      </c>
      <c r="D2" s="28" t="s">
        <v>1</v>
      </c>
      <c r="F2" s="27" t="s">
        <v>0</v>
      </c>
      <c r="G2" s="1"/>
      <c r="H2" s="45" t="s">
        <v>0</v>
      </c>
      <c r="I2" s="2"/>
      <c r="J2" s="28" t="s">
        <v>1</v>
      </c>
      <c r="K2" s="1"/>
      <c r="L2" s="1"/>
    </row>
    <row r="3" spans="1:12" x14ac:dyDescent="0.3">
      <c r="A3" s="15" t="s">
        <v>33</v>
      </c>
      <c r="B3" s="1" t="s">
        <v>30</v>
      </c>
      <c r="C3" s="1" t="s">
        <v>31</v>
      </c>
      <c r="D3" s="5" t="s">
        <v>32</v>
      </c>
      <c r="F3" s="53" cm="1">
        <f t="array" aca="1" ref="F3:G6" ca="1">_xll.BDH($B$4, "PX_LAST, ", $F$1, "")</f>
        <v>45933</v>
      </c>
      <c r="G3" s="1">
        <f ca="1"/>
        <v>46.137</v>
      </c>
      <c r="H3" s="53" cm="1">
        <f t="array" aca="1" ref="H3:I6" ca="1">_xll.BDH($C$4, "PX_LAST, ", $F$1, "")</f>
        <v>45933</v>
      </c>
      <c r="I3" s="47">
        <f ca="1"/>
        <v>33.853999999999999</v>
      </c>
      <c r="J3" s="53" cm="1">
        <f t="array" aca="1" ref="J3:K6" ca="1">_xll.BDH($D$4, "PX_LAST, ", $F$1, "")</f>
        <v>45933</v>
      </c>
      <c r="K3" s="1">
        <f ca="1"/>
        <v>47.753</v>
      </c>
      <c r="L3" s="1"/>
    </row>
    <row r="4" spans="1:12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F4" s="78">
        <f ca="1"/>
        <v>45936</v>
      </c>
      <c r="G4" s="1">
        <f ca="1"/>
        <v>46.728999999999999</v>
      </c>
      <c r="H4" s="54">
        <f ca="1"/>
        <v>45936</v>
      </c>
      <c r="I4" s="1">
        <f ca="1"/>
        <v>34.582000000000001</v>
      </c>
      <c r="J4" s="54">
        <f ca="1"/>
        <v>45936</v>
      </c>
      <c r="K4" s="1">
        <f ca="1"/>
        <v>48.448999999999998</v>
      </c>
      <c r="L4" s="1"/>
    </row>
    <row r="5" spans="1:12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F5" s="78">
        <f ca="1"/>
        <v>45937</v>
      </c>
      <c r="G5" s="1">
        <f ca="1"/>
        <v>47.106999999999999</v>
      </c>
      <c r="H5" s="54">
        <f ca="1"/>
        <v>45937</v>
      </c>
      <c r="I5" s="1">
        <f ca="1"/>
        <v>34.889000000000003</v>
      </c>
      <c r="J5" s="54">
        <f ca="1"/>
        <v>45937</v>
      </c>
      <c r="K5" s="1">
        <f ca="1"/>
        <v>49.048000000000002</v>
      </c>
      <c r="L5" s="1"/>
    </row>
    <row r="6" spans="1:12" x14ac:dyDescent="0.3">
      <c r="A6" s="15" t="s">
        <v>10</v>
      </c>
      <c r="B6" s="9">
        <v>0.05</v>
      </c>
      <c r="C6" s="9">
        <v>0.01</v>
      </c>
      <c r="D6" s="44">
        <v>0.01</v>
      </c>
      <c r="F6" s="78">
        <f ca="1"/>
        <v>45938</v>
      </c>
      <c r="G6" s="1">
        <f ca="1"/>
        <v>47.043999999999997</v>
      </c>
      <c r="H6" s="54">
        <f ca="1"/>
        <v>45938</v>
      </c>
      <c r="I6" s="1">
        <f ca="1"/>
        <v>35.479999999999997</v>
      </c>
      <c r="J6" s="54">
        <f ca="1"/>
        <v>45938</v>
      </c>
      <c r="K6" s="1">
        <f ca="1"/>
        <v>49.991999999999997</v>
      </c>
      <c r="L6" s="1"/>
    </row>
    <row r="7" spans="1:12" x14ac:dyDescent="0.3">
      <c r="A7" s="15" t="s">
        <v>12</v>
      </c>
      <c r="B7" s="9">
        <v>0</v>
      </c>
      <c r="C7" s="9">
        <v>0</v>
      </c>
      <c r="D7" s="44">
        <v>0</v>
      </c>
      <c r="F7" s="78"/>
      <c r="G7" s="1"/>
      <c r="H7" s="54"/>
      <c r="I7" s="1"/>
      <c r="J7" s="54"/>
      <c r="K7" s="1"/>
      <c r="L7" s="1"/>
    </row>
    <row r="8" spans="1:12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</row>
    <row r="9" spans="1:12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</row>
    <row r="10" spans="1:12" ht="15" thickBot="1" x14ac:dyDescent="0.35">
      <c r="A10" s="16" t="s">
        <v>29</v>
      </c>
      <c r="B10" s="21" cm="1">
        <f t="array" ref="B10">_xll.BDP(B4,"px_last")</f>
        <v>47.044139999999999</v>
      </c>
      <c r="C10" s="21" cm="1">
        <f t="array" ref="C10">_xll.BDP(C4,"px_last")</f>
        <v>35.479619999999997</v>
      </c>
      <c r="D10" s="22" cm="1">
        <f t="array" ref="D10">_xll.BDP(D4,"px_last")</f>
        <v>49.992440000000002</v>
      </c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35">
      <c r="A12" s="40" t="s">
        <v>23</v>
      </c>
      <c r="B12" s="80" t="s">
        <v>0</v>
      </c>
      <c r="C12" s="81"/>
      <c r="D12" s="82"/>
      <c r="E12" s="86" t="s">
        <v>0</v>
      </c>
      <c r="F12" s="87"/>
      <c r="G12" s="88"/>
      <c r="H12" s="83" t="s">
        <v>1</v>
      </c>
      <c r="I12" s="84"/>
      <c r="J12" s="85"/>
      <c r="K12" s="40" t="s">
        <v>16</v>
      </c>
      <c r="L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</row>
    <row r="14" spans="1:12" x14ac:dyDescent="0.3">
      <c r="A14" s="37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15"/>
      <c r="L14" s="1"/>
    </row>
    <row r="15" spans="1:12" x14ac:dyDescent="0.3">
      <c r="A15" s="37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105">
        <f>C15+D15+F15+G15-I15-J15</f>
        <v>-36864.819555555579</v>
      </c>
      <c r="L15" s="1"/>
    </row>
    <row r="16" spans="1:12" x14ac:dyDescent="0.3">
      <c r="A16" s="37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105">
        <f t="shared" ref="K16:K17" si="6">C16+D16+F16+G16-I16-J16</f>
        <v>-38790.459111111108</v>
      </c>
      <c r="L16" s="1"/>
    </row>
    <row r="17" spans="1:12" x14ac:dyDescent="0.3">
      <c r="A17" s="37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105">
        <f t="shared" si="6"/>
        <v>-43588.029777777825</v>
      </c>
      <c r="L17" s="1"/>
    </row>
    <row r="18" spans="1:12" x14ac:dyDescent="0.3">
      <c r="A18" s="37">
        <v>45930</v>
      </c>
      <c r="B18" s="46">
        <v>47.238</v>
      </c>
      <c r="C18" s="31">
        <f t="shared" ref="C18:C23" si="7">-1*(B18-$B$14)*10^-4*$B$8*$B$5</f>
        <v>-22462.552</v>
      </c>
      <c r="D18" s="32">
        <f t="shared" ref="D18:D23" si="8">$B$6*(A18-$A$14)/360*$B$5</f>
        <v>11666.66666666667</v>
      </c>
      <c r="E18" s="4">
        <v>35.067999999999998</v>
      </c>
      <c r="F18" s="31">
        <f t="shared" ref="F18:F23" si="9">-1*(E18-$E$14)*10^-4*$C$8*$C$5</f>
        <v>-8646.5279999999839</v>
      </c>
      <c r="G18" s="32">
        <f t="shared" ref="G18:G23" si="10">$C$6*(A18-$A$14)/360*$C$5</f>
        <v>2666.6666666666665</v>
      </c>
      <c r="H18" s="4">
        <v>49.289000000000001</v>
      </c>
      <c r="I18" s="31">
        <f t="shared" ref="I18:I23" si="11">-1*(H18-$H$14)*10^-4*$D$8*$D$5</f>
        <v>21387.499999999982</v>
      </c>
      <c r="J18" s="32">
        <f t="shared" ref="J18" si="12">$D$6*(A18-$A$14)/360*$D$5</f>
        <v>4166.666666666667</v>
      </c>
      <c r="K18" s="105">
        <f>C18+D18+F18+G18-I18-J18</f>
        <v>-42329.913333333294</v>
      </c>
      <c r="L18" s="1"/>
    </row>
    <row r="19" spans="1:12" x14ac:dyDescent="0.3">
      <c r="A19" s="37">
        <v>45931</v>
      </c>
      <c r="B19" s="46">
        <v>47.076000000000001</v>
      </c>
      <c r="C19" s="31">
        <f t="shared" si="7"/>
        <v>-21133.504000000008</v>
      </c>
      <c r="D19" s="32">
        <f t="shared" si="8"/>
        <v>13611.111111111113</v>
      </c>
      <c r="E19" s="4">
        <v>35.444000000000003</v>
      </c>
      <c r="F19" s="31">
        <f t="shared" si="9"/>
        <v>-11690.62400000002</v>
      </c>
      <c r="G19" s="32">
        <f t="shared" si="10"/>
        <v>3111.1111111111113</v>
      </c>
      <c r="H19" s="4">
        <v>49.095999999999997</v>
      </c>
      <c r="I19" s="31">
        <f t="shared" si="11"/>
        <v>23800.00000000004</v>
      </c>
      <c r="J19" s="32">
        <f t="shared" ref="J19" si="13">$D$6*(A19-$A$14)/360*$D$5</f>
        <v>4861.1111111111113</v>
      </c>
      <c r="K19" s="105">
        <f t="shared" ref="K19" si="14">C19+D19+F19+G19-I19-J19</f>
        <v>-44763.016888888953</v>
      </c>
      <c r="L19" s="1"/>
    </row>
    <row r="20" spans="1:12" x14ac:dyDescent="0.3">
      <c r="A20" s="37">
        <v>45932</v>
      </c>
      <c r="B20" s="46">
        <v>46.082000000000001</v>
      </c>
      <c r="C20" s="31">
        <f t="shared" si="7"/>
        <v>-12978.728000000006</v>
      </c>
      <c r="D20" s="32">
        <f t="shared" si="8"/>
        <v>15555.555555555555</v>
      </c>
      <c r="E20" s="4">
        <v>33.387</v>
      </c>
      <c r="F20" s="31">
        <f t="shared" si="9"/>
        <v>4962.8479999999963</v>
      </c>
      <c r="G20" s="32">
        <f t="shared" si="10"/>
        <v>3555.5555555555557</v>
      </c>
      <c r="H20" s="4">
        <v>48.683</v>
      </c>
      <c r="I20" s="31">
        <f t="shared" si="11"/>
        <v>28962.5</v>
      </c>
      <c r="J20" s="32">
        <f t="shared" ref="J20" si="15">$D$6*(A20-$A$14)/360*$D$5</f>
        <v>5555.5555555555557</v>
      </c>
      <c r="K20" s="105">
        <f t="shared" ref="K20" si="16">C20+D20+F20+G20-I20-J20</f>
        <v>-23422.824444444454</v>
      </c>
      <c r="L20" s="1"/>
    </row>
    <row r="21" spans="1:12" x14ac:dyDescent="0.3">
      <c r="A21" s="37">
        <v>45933</v>
      </c>
      <c r="B21" s="46">
        <v>46.137</v>
      </c>
      <c r="C21" s="31">
        <f t="shared" si="7"/>
        <v>-13429.948000000004</v>
      </c>
      <c r="D21" s="32">
        <f t="shared" si="8"/>
        <v>17500</v>
      </c>
      <c r="E21" s="4">
        <v>33.853999999999999</v>
      </c>
      <c r="F21" s="31">
        <f t="shared" si="9"/>
        <v>1182.0160000000064</v>
      </c>
      <c r="G21" s="32">
        <f t="shared" si="10"/>
        <v>4000</v>
      </c>
      <c r="H21" s="4">
        <v>47.753</v>
      </c>
      <c r="I21" s="31">
        <f t="shared" si="11"/>
        <v>40587.5</v>
      </c>
      <c r="J21" s="32">
        <f t="shared" ref="J21" si="17">$D$6*(A21-$A$14)/360*$D$5</f>
        <v>6250</v>
      </c>
      <c r="K21" s="105">
        <f t="shared" ref="K21" si="18">C21+D21+F21+G21-I21-J21</f>
        <v>-37585.432000000001</v>
      </c>
      <c r="L21" s="1"/>
    </row>
    <row r="22" spans="1:12" x14ac:dyDescent="0.3">
      <c r="A22" s="37">
        <v>45936</v>
      </c>
      <c r="B22" s="46">
        <v>46.728999999999999</v>
      </c>
      <c r="C22" s="31">
        <f t="shared" si="7"/>
        <v>-18286.715999999997</v>
      </c>
      <c r="D22" s="32">
        <f t="shared" si="8"/>
        <v>23333.333333333339</v>
      </c>
      <c r="E22" s="4">
        <v>34.582000000000001</v>
      </c>
      <c r="F22" s="31">
        <f t="shared" si="9"/>
        <v>-4711.8720000000058</v>
      </c>
      <c r="G22" s="32">
        <f t="shared" si="10"/>
        <v>5333.333333333333</v>
      </c>
      <c r="H22" s="4">
        <v>48.448999999999998</v>
      </c>
      <c r="I22" s="31">
        <f t="shared" si="11"/>
        <v>31887.500000000025</v>
      </c>
      <c r="J22" s="32">
        <f t="shared" ref="J22" si="19">$D$6*(A22-$A$14)/360*$D$5</f>
        <v>8333.3333333333339</v>
      </c>
      <c r="K22" s="105">
        <f t="shared" ref="K22" si="20">C22+D22+F22+G22-I22-J22</f>
        <v>-34552.754666666689</v>
      </c>
      <c r="L22" s="1"/>
    </row>
    <row r="23" spans="1:12" x14ac:dyDescent="0.3">
      <c r="A23" s="37">
        <v>45937</v>
      </c>
      <c r="B23" s="1">
        <v>47.106999999999999</v>
      </c>
      <c r="C23" s="31">
        <f t="shared" si="7"/>
        <v>-21387.827999999998</v>
      </c>
      <c r="D23" s="32">
        <f t="shared" si="8"/>
        <v>25277.777777777781</v>
      </c>
      <c r="E23" s="4">
        <v>34.889000000000003</v>
      </c>
      <c r="F23" s="31">
        <f t="shared" si="9"/>
        <v>-7197.3440000000228</v>
      </c>
      <c r="G23" s="32">
        <f t="shared" si="10"/>
        <v>5777.7777777777783</v>
      </c>
      <c r="H23" s="4">
        <v>49.048000000000002</v>
      </c>
      <c r="I23" s="31">
        <f t="shared" si="11"/>
        <v>24399.999999999982</v>
      </c>
      <c r="J23" s="32">
        <f t="shared" ref="J23" si="21">$D$6*(A23-$A$14)/360*$D$5</f>
        <v>9027.7777777777792</v>
      </c>
      <c r="K23" s="105">
        <f t="shared" ref="K23" si="22">C23+D23+F23+G23-I23-J23</f>
        <v>-30957.394222222225</v>
      </c>
      <c r="L23" s="1"/>
    </row>
    <row r="24" spans="1:12" x14ac:dyDescent="0.3">
      <c r="A24" s="37">
        <v>45938</v>
      </c>
      <c r="B24" s="1">
        <v>47.043999999999997</v>
      </c>
      <c r="C24" s="31">
        <f t="shared" ref="C24" si="23">-1*(B24-$B$14)*10^-4*$B$8*$B$5</f>
        <v>-20870.975999999977</v>
      </c>
      <c r="D24" s="32">
        <f t="shared" ref="D24" si="24">$B$6*(A24-$A$14)/360*$B$5</f>
        <v>27222.222222222226</v>
      </c>
      <c r="E24" s="4">
        <v>35.479999999999997</v>
      </c>
      <c r="F24" s="31">
        <f t="shared" ref="F24" si="25">-1*(E24-$E$14)*10^-4*$C$8*$C$5</f>
        <v>-11982.079999999974</v>
      </c>
      <c r="G24" s="32">
        <f t="shared" ref="G24" si="26">$C$6*(A24-$A$14)/360*$C$5</f>
        <v>6222.2222222222226</v>
      </c>
      <c r="H24" s="4">
        <v>49.991999999999997</v>
      </c>
      <c r="I24" s="31">
        <f t="shared" ref="I24" si="27">-1*(H24-$H$14)*10^-4*$D$8*$D$5</f>
        <v>12600.000000000033</v>
      </c>
      <c r="J24" s="32">
        <f t="shared" ref="J24" si="28">$D$6*(A24-$A$14)/360*$D$5</f>
        <v>9722.2222222222226</v>
      </c>
      <c r="K24" s="105">
        <f t="shared" ref="K24" si="29">C24+D24+F24+G24-I24-J24</f>
        <v>-21730.833777777756</v>
      </c>
      <c r="L24" s="1"/>
    </row>
    <row r="25" spans="1:12" x14ac:dyDescent="0.3">
      <c r="A25" s="37">
        <v>45939</v>
      </c>
      <c r="B25" s="46"/>
      <c r="C25" s="31"/>
      <c r="D25" s="32"/>
      <c r="E25" s="4"/>
      <c r="F25" s="31"/>
      <c r="G25" s="32"/>
      <c r="H25" s="4"/>
      <c r="I25" s="31"/>
      <c r="J25" s="32"/>
      <c r="K25" s="105"/>
      <c r="L25" s="1"/>
    </row>
    <row r="26" spans="1:12" x14ac:dyDescent="0.3">
      <c r="A26" s="37">
        <v>45940</v>
      </c>
      <c r="B26" s="46"/>
      <c r="C26" s="31"/>
      <c r="D26" s="32"/>
      <c r="E26" s="4"/>
      <c r="F26" s="31"/>
      <c r="G26" s="32"/>
      <c r="H26" s="4"/>
      <c r="I26" s="31"/>
      <c r="J26" s="32"/>
      <c r="K26" s="105"/>
      <c r="L26" s="1"/>
    </row>
    <row r="27" spans="1:12" x14ac:dyDescent="0.3">
      <c r="A27" s="37">
        <v>45941</v>
      </c>
      <c r="B27" s="57"/>
      <c r="C27" s="58"/>
      <c r="D27" s="59"/>
      <c r="E27" s="4"/>
      <c r="F27" s="31"/>
      <c r="G27" s="32"/>
      <c r="H27" s="4"/>
      <c r="I27" s="31"/>
      <c r="J27" s="32"/>
      <c r="K27" s="105"/>
      <c r="L27" s="1"/>
    </row>
    <row r="28" spans="1:12" x14ac:dyDescent="0.3">
      <c r="A28" s="37"/>
      <c r="B28" s="46"/>
      <c r="C28" s="31"/>
      <c r="D28" s="32"/>
      <c r="E28" s="4"/>
      <c r="F28" s="31"/>
      <c r="G28" s="32"/>
      <c r="H28" s="4"/>
      <c r="I28" s="31"/>
      <c r="J28" s="32"/>
      <c r="K28" s="105"/>
      <c r="L28" s="1"/>
    </row>
    <row r="29" spans="1:12" x14ac:dyDescent="0.3">
      <c r="A29" s="37"/>
      <c r="B29" s="46"/>
      <c r="C29" s="31"/>
      <c r="D29" s="32"/>
      <c r="E29" s="4"/>
      <c r="F29" s="31"/>
      <c r="G29" s="32"/>
      <c r="H29" s="4"/>
      <c r="I29" s="31"/>
      <c r="J29" s="32"/>
      <c r="K29" s="105"/>
      <c r="L29" s="1"/>
    </row>
    <row r="30" spans="1:12" x14ac:dyDescent="0.3">
      <c r="A30" s="56"/>
      <c r="B30" s="46"/>
      <c r="C30" s="31"/>
      <c r="D30" s="32"/>
      <c r="E30" s="4"/>
      <c r="F30" s="31"/>
      <c r="G30" s="32"/>
      <c r="H30" s="4"/>
      <c r="I30" s="31"/>
      <c r="J30" s="32"/>
      <c r="K30" s="105"/>
      <c r="L30" s="1"/>
    </row>
    <row r="31" spans="1:12" x14ac:dyDescent="0.3">
      <c r="A31" s="56"/>
      <c r="B31" s="46"/>
      <c r="C31" s="31"/>
      <c r="D31" s="32"/>
      <c r="E31" s="4"/>
      <c r="F31" s="31"/>
      <c r="G31" s="32"/>
      <c r="H31" s="4"/>
      <c r="I31" s="31"/>
      <c r="J31" s="32"/>
      <c r="K31" s="105"/>
      <c r="L31" s="1"/>
    </row>
    <row r="32" spans="1:12" x14ac:dyDescent="0.3">
      <c r="A32" s="15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</row>
    <row r="33" spans="1:12" x14ac:dyDescent="0.3">
      <c r="A33" s="15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</row>
    <row r="34" spans="1:12" x14ac:dyDescent="0.3">
      <c r="A34" s="15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</row>
    <row r="35" spans="1:12" x14ac:dyDescent="0.3">
      <c r="A35" s="15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</row>
    <row r="36" spans="1:12" x14ac:dyDescent="0.3">
      <c r="A36" s="15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</row>
    <row r="37" spans="1:12" x14ac:dyDescent="0.3">
      <c r="A37" s="15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</row>
    <row r="38" spans="1:12" x14ac:dyDescent="0.3">
      <c r="A38" s="15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</row>
    <row r="39" spans="1:12" x14ac:dyDescent="0.3">
      <c r="A39" s="15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</row>
    <row r="40" spans="1:12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</row>
    <row r="41" spans="1:12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</row>
    <row r="42" spans="1:12" x14ac:dyDescent="0.3">
      <c r="B42" s="60"/>
      <c r="C42" s="60"/>
      <c r="D42" s="60"/>
      <c r="F42" s="58"/>
      <c r="G42" s="58"/>
      <c r="I42" s="58"/>
      <c r="J42" s="58"/>
      <c r="K42" s="58"/>
    </row>
    <row r="43" spans="1:12" x14ac:dyDescent="0.3">
      <c r="B43" s="60"/>
      <c r="C43" s="60"/>
      <c r="D43" s="60"/>
      <c r="I43" s="58"/>
      <c r="J43" s="58"/>
      <c r="K43" s="58"/>
    </row>
    <row r="44" spans="1:12" x14ac:dyDescent="0.3">
      <c r="B44" s="60"/>
      <c r="C44" s="60"/>
      <c r="D44" s="60"/>
      <c r="I44" s="58"/>
      <c r="J44" s="58"/>
      <c r="K44" s="58"/>
    </row>
    <row r="45" spans="1:12" x14ac:dyDescent="0.3">
      <c r="B45" s="60"/>
      <c r="C45" s="60"/>
      <c r="D45" s="60"/>
      <c r="I45" s="58"/>
      <c r="J45" s="58"/>
      <c r="K45" s="58"/>
    </row>
    <row r="46" spans="1:12" x14ac:dyDescent="0.3">
      <c r="B46" s="60"/>
      <c r="C46" s="60"/>
      <c r="D46" s="60"/>
    </row>
    <row r="47" spans="1:12" x14ac:dyDescent="0.3">
      <c r="B47" s="60"/>
      <c r="C47" s="60"/>
      <c r="D47" s="60"/>
    </row>
    <row r="48" spans="1:12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3">
    <mergeCell ref="H12:J12"/>
    <mergeCell ref="B12:D12"/>
    <mergeCell ref="E12:G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L53"/>
  <sheetViews>
    <sheetView zoomScale="80" zoomScaleNormal="80" workbookViewId="0">
      <selection activeCell="K4" sqref="K4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45933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37</v>
      </c>
      <c r="C3" s="5" t="s">
        <v>38</v>
      </c>
      <c r="E3" s="53" cm="1">
        <f t="array" aca="1" ref="E3:F6" ca="1">_xll.BDH($B$4, "PX_LAST, ",E1, "")</f>
        <v>45933</v>
      </c>
      <c r="F3" s="1">
        <f ca="1"/>
        <v>56.69</v>
      </c>
      <c r="G3" s="53" cm="1">
        <f t="array" aca="1" ref="G3:H6" ca="1">_xll.BDH($C$4, "PX_LAST, ",E1, "")</f>
        <v>45933</v>
      </c>
      <c r="H3" s="47">
        <f ca="1"/>
        <v>39.761000000000003</v>
      </c>
      <c r="J3" s="1"/>
    </row>
    <row r="4" spans="1:12" ht="32.25" customHeight="1" x14ac:dyDescent="0.3">
      <c r="A4" s="15" t="s">
        <v>34</v>
      </c>
      <c r="B4" s="42" t="s">
        <v>39</v>
      </c>
      <c r="C4" s="43" t="s">
        <v>40</v>
      </c>
      <c r="E4" s="54">
        <f ca="1"/>
        <v>45936</v>
      </c>
      <c r="F4" s="1">
        <f ca="1"/>
        <v>57.584000000000003</v>
      </c>
      <c r="G4" s="54">
        <f ca="1"/>
        <v>45936</v>
      </c>
      <c r="H4" s="1">
        <f ca="1"/>
        <v>40.457999999999998</v>
      </c>
      <c r="I4" s="1"/>
    </row>
    <row r="5" spans="1:12" x14ac:dyDescent="0.3">
      <c r="A5" s="15" t="s">
        <v>8</v>
      </c>
      <c r="B5" s="7">
        <f>20*10^6</f>
        <v>20000000</v>
      </c>
      <c r="C5" s="8">
        <f>28*10^6</f>
        <v>28000000</v>
      </c>
      <c r="E5" s="54">
        <f ca="1"/>
        <v>45937</v>
      </c>
      <c r="F5" s="1">
        <f ca="1"/>
        <v>57.856000000000002</v>
      </c>
      <c r="G5" s="54">
        <f ca="1"/>
        <v>45937</v>
      </c>
      <c r="H5" s="1">
        <f ca="1"/>
        <v>40.533000000000001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>
        <f ca="1"/>
        <v>45938</v>
      </c>
      <c r="F6" s="1">
        <f ca="1"/>
        <v>57.868000000000002</v>
      </c>
      <c r="G6" s="54">
        <f ca="1"/>
        <v>45938</v>
      </c>
      <c r="H6" s="1">
        <f ca="1"/>
        <v>40.604999999999997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/>
      <c r="H7" s="1"/>
      <c r="I7" s="1"/>
    </row>
    <row r="8" spans="1:12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57.868479999999998</v>
      </c>
      <c r="C10" s="22" cm="1">
        <f t="array" ref="C10">_xll.BDP(C4,"px_last")</f>
        <v>40.604509999999998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80" t="s">
        <v>0</v>
      </c>
      <c r="C12" s="81"/>
      <c r="D12" s="82"/>
      <c r="E12" s="83" t="s">
        <v>1</v>
      </c>
      <c r="F12" s="84"/>
      <c r="G12" s="85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105"/>
      <c r="I14" s="1"/>
    </row>
    <row r="15" spans="1:12" x14ac:dyDescent="0.3">
      <c r="A15" s="37">
        <v>45926</v>
      </c>
      <c r="B15" s="46">
        <v>58.128</v>
      </c>
      <c r="C15" s="31">
        <f t="shared" ref="C15:C22" si="0">-1*(B15-$B$14)*10^-4*$B$8*$B$5</f>
        <v>-6229.7600000000011</v>
      </c>
      <c r="D15" s="32">
        <f t="shared" ref="D15:D22" si="1">$B$6*(A15-$A$14)/360*$B$5</f>
        <v>555.55555555555554</v>
      </c>
      <c r="E15" s="4">
        <v>40.033999999999999</v>
      </c>
      <c r="F15" s="31">
        <f t="shared" ref="F15:F22" si="2">-1*(E15-$E$14)*10^-4*$C$8*$C$5</f>
        <v>-478.85599999998482</v>
      </c>
      <c r="G15" s="32">
        <f t="shared" ref="G15:G20" si="3">$C$6*(A15-$A$14)/360*$C$5</f>
        <v>777.77777777777783</v>
      </c>
      <c r="H15" s="105">
        <f>C15+D15-F15-G15</f>
        <v>-5973.1262222222376</v>
      </c>
      <c r="I15" s="1"/>
    </row>
    <row r="16" spans="1:12" x14ac:dyDescent="0.3">
      <c r="A16" s="37">
        <v>45929</v>
      </c>
      <c r="B16" s="46">
        <v>57.143999999999998</v>
      </c>
      <c r="C16" s="31">
        <f t="shared" si="0"/>
        <v>3531.5200000000164</v>
      </c>
      <c r="D16" s="32">
        <f t="shared" si="1"/>
        <v>2222.2222222222222</v>
      </c>
      <c r="E16" s="4">
        <v>39.978000000000002</v>
      </c>
      <c r="F16" s="31">
        <f t="shared" si="2"/>
        <v>309.84799999997841</v>
      </c>
      <c r="G16" s="32">
        <f t="shared" si="3"/>
        <v>3111.1111111111113</v>
      </c>
      <c r="H16" s="105">
        <f t="shared" ref="H16" si="4">C16+D16-F16-G16</f>
        <v>2332.7831111111491</v>
      </c>
      <c r="I16" s="1"/>
    </row>
    <row r="17" spans="1:9" x14ac:dyDescent="0.3">
      <c r="A17" s="37">
        <v>45930</v>
      </c>
      <c r="B17" s="46">
        <v>57.469000000000001</v>
      </c>
      <c r="C17" s="31">
        <f t="shared" si="0"/>
        <v>307.51999999998822</v>
      </c>
      <c r="D17" s="32">
        <f t="shared" si="1"/>
        <v>2777.7777777777778</v>
      </c>
      <c r="E17" s="4">
        <v>40.097999999999999</v>
      </c>
      <c r="F17" s="31">
        <f t="shared" si="2"/>
        <v>-1380.2319999999856</v>
      </c>
      <c r="G17" s="32">
        <f t="shared" si="3"/>
        <v>3888.8888888888887</v>
      </c>
      <c r="H17" s="105">
        <f t="shared" ref="H17:H18" si="5">C17+D17-F17-G17</f>
        <v>576.64088888886272</v>
      </c>
      <c r="I17" s="1"/>
    </row>
    <row r="18" spans="1:9" x14ac:dyDescent="0.3">
      <c r="A18" s="37">
        <v>45931</v>
      </c>
      <c r="B18" s="46">
        <v>57.505000000000003</v>
      </c>
      <c r="C18" s="31">
        <f t="shared" si="0"/>
        <v>-49.600000000025375</v>
      </c>
      <c r="D18" s="32">
        <f t="shared" si="1"/>
        <v>3333.333333333333</v>
      </c>
      <c r="E18" s="4">
        <v>40.186</v>
      </c>
      <c r="F18" s="31">
        <f t="shared" si="2"/>
        <v>-2619.6239999999993</v>
      </c>
      <c r="G18" s="32">
        <f t="shared" si="3"/>
        <v>4666.6666666666661</v>
      </c>
      <c r="H18" s="105">
        <f t="shared" si="5"/>
        <v>1236.6906666666409</v>
      </c>
      <c r="I18" s="1"/>
    </row>
    <row r="19" spans="1:9" x14ac:dyDescent="0.3">
      <c r="A19" s="37">
        <v>45932</v>
      </c>
      <c r="B19" s="46">
        <v>57.018000000000001</v>
      </c>
      <c r="C19" s="31">
        <f t="shared" si="0"/>
        <v>4781.4399999999932</v>
      </c>
      <c r="D19" s="32">
        <f t="shared" si="1"/>
        <v>3888.8888888888891</v>
      </c>
      <c r="E19" s="4">
        <v>39.902000000000001</v>
      </c>
      <c r="F19" s="31">
        <f t="shared" si="2"/>
        <v>1380.2319999999856</v>
      </c>
      <c r="G19" s="32">
        <f t="shared" si="3"/>
        <v>5444.4444444444453</v>
      </c>
      <c r="H19" s="105">
        <f t="shared" ref="H19" si="6">C19+D19-F19-G19</f>
        <v>1845.6524444444512</v>
      </c>
      <c r="I19" s="1"/>
    </row>
    <row r="20" spans="1:9" x14ac:dyDescent="0.3">
      <c r="A20" s="37">
        <v>45933</v>
      </c>
      <c r="B20" s="46">
        <v>56.69</v>
      </c>
      <c r="C20" s="31">
        <f t="shared" si="0"/>
        <v>8035.2000000000235</v>
      </c>
      <c r="D20" s="32">
        <f t="shared" si="1"/>
        <v>4444.4444444444443</v>
      </c>
      <c r="E20" s="4">
        <v>39.761000000000003</v>
      </c>
      <c r="F20" s="31">
        <f t="shared" si="2"/>
        <v>3366.0759999999614</v>
      </c>
      <c r="G20" s="32">
        <f t="shared" si="3"/>
        <v>6222.2222222222226</v>
      </c>
      <c r="H20" s="105">
        <f t="shared" ref="H20" si="7">C20+D20-F20-G20</f>
        <v>2891.3462222222843</v>
      </c>
      <c r="I20" s="1"/>
    </row>
    <row r="21" spans="1:9" x14ac:dyDescent="0.3">
      <c r="A21" s="37">
        <v>45936</v>
      </c>
      <c r="B21" s="46">
        <v>57.584000000000003</v>
      </c>
      <c r="C21" s="31">
        <f t="shared" si="0"/>
        <v>-833.28000000003169</v>
      </c>
      <c r="D21" s="32">
        <f t="shared" si="1"/>
        <v>6111.1111111111113</v>
      </c>
      <c r="E21" s="4">
        <v>40.457999999999998</v>
      </c>
      <c r="F21" s="31">
        <f t="shared" si="2"/>
        <v>-6450.4719999999779</v>
      </c>
      <c r="G21" s="32">
        <f t="shared" ref="G21" si="8">$C$6*(A21-$A$14)/360*$C$5</f>
        <v>8555.5555555555547</v>
      </c>
      <c r="H21" s="105">
        <f t="shared" ref="H21" si="9">C21+D21-F21-G21</f>
        <v>3172.7475555555029</v>
      </c>
      <c r="I21" s="1"/>
    </row>
    <row r="22" spans="1:9" x14ac:dyDescent="0.3">
      <c r="A22" s="37">
        <v>45937</v>
      </c>
      <c r="B22" s="46"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v>40.533000000000001</v>
      </c>
      <c r="F22" s="31">
        <f t="shared" si="2"/>
        <v>-7506.7720000000181</v>
      </c>
      <c r="G22" s="32">
        <f t="shared" ref="G22" si="10">$C$6*(A22-$A$14)/360*$C$5</f>
        <v>9333.3333333333321</v>
      </c>
      <c r="H22" s="105">
        <f t="shared" ref="H22" si="11">C22+D22-F22-G22</f>
        <v>1308.5853333333362</v>
      </c>
      <c r="I22" s="1"/>
    </row>
    <row r="23" spans="1:9" x14ac:dyDescent="0.3">
      <c r="A23" s="37">
        <v>45938</v>
      </c>
      <c r="B23" s="46">
        <v>57.868000000000002</v>
      </c>
      <c r="C23" s="31">
        <f t="shared" ref="C23" si="12">-1*(B23-$B$14)*10^-4*$B$8*$B$5</f>
        <v>-3650.5600000000204</v>
      </c>
      <c r="D23" s="32">
        <f t="shared" ref="D23" si="13">$B$6*(A23-$A$14)/360*$B$5</f>
        <v>7222.2222222222226</v>
      </c>
      <c r="E23" s="4">
        <v>40.604999999999997</v>
      </c>
      <c r="F23" s="31">
        <f t="shared" ref="F23" si="14">-1*(E23-$E$14)*10^-4*$C$8*$C$5</f>
        <v>-8520.8199999999579</v>
      </c>
      <c r="G23" s="32">
        <f t="shared" ref="G23" si="15">$C$6*(A23-$A$14)/360*$C$5</f>
        <v>10111.111111111111</v>
      </c>
      <c r="H23" s="105">
        <f t="shared" ref="H23" si="16">C23+D23-F23-G23</f>
        <v>1981.3711111110479</v>
      </c>
      <c r="I23" s="1"/>
    </row>
    <row r="24" spans="1:9" x14ac:dyDescent="0.3">
      <c r="A24" s="37">
        <v>45939</v>
      </c>
      <c r="B24" s="46"/>
      <c r="C24" s="31"/>
      <c r="D24" s="32"/>
      <c r="E24" s="4"/>
      <c r="F24" s="31"/>
      <c r="G24" s="32"/>
      <c r="H24" s="105"/>
      <c r="I24" s="1"/>
    </row>
    <row r="25" spans="1:9" x14ac:dyDescent="0.3">
      <c r="A25" s="37">
        <v>45940</v>
      </c>
      <c r="B25" s="46"/>
      <c r="C25" s="31"/>
      <c r="D25" s="32"/>
      <c r="E25" s="4"/>
      <c r="F25" s="31"/>
      <c r="G25" s="32"/>
      <c r="H25" s="105"/>
      <c r="I25" s="1"/>
    </row>
    <row r="26" spans="1:9" x14ac:dyDescent="0.3">
      <c r="A26" s="37">
        <v>45941</v>
      </c>
      <c r="B26" s="46"/>
      <c r="C26" s="31"/>
      <c r="D26" s="32"/>
      <c r="E26" s="4"/>
      <c r="F26" s="31"/>
      <c r="G26" s="32"/>
      <c r="H26" s="105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105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105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53"/>
  <sheetViews>
    <sheetView zoomScale="80" zoomScaleNormal="80" workbookViewId="0">
      <selection activeCell="J6" sqref="J6"/>
    </sheetView>
  </sheetViews>
  <sheetFormatPr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8.88671875" style="3"/>
    <col min="11" max="11" width="10.21875" style="3" bestFit="1" customWidth="1"/>
    <col min="12" max="12" width="12.21875" style="3" bestFit="1" customWidth="1"/>
    <col min="13" max="16384" width="8.88671875" style="3"/>
  </cols>
  <sheetData>
    <row r="1" spans="1:13" ht="15" thickBot="1" x14ac:dyDescent="0.35">
      <c r="A1" s="1"/>
      <c r="B1" s="1"/>
      <c r="C1" s="1"/>
      <c r="D1" s="1"/>
      <c r="E1" s="54">
        <f ca="1">TODAY()-5</f>
        <v>45933</v>
      </c>
      <c r="G1" s="1"/>
      <c r="H1" s="1"/>
      <c r="I1" s="1"/>
      <c r="J1" s="1"/>
    </row>
    <row r="2" spans="1:13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3" x14ac:dyDescent="0.3">
      <c r="A3" s="15" t="s">
        <v>33</v>
      </c>
      <c r="B3" s="66" t="s">
        <v>41</v>
      </c>
      <c r="C3" s="67" t="s">
        <v>42</v>
      </c>
      <c r="E3" s="53" cm="1">
        <f t="array" aca="1" ref="E3:F6" ca="1">_xll.BDH($B$4, "PX_LAST, ",E1, "")</f>
        <v>45933</v>
      </c>
      <c r="F3" s="1">
        <f ca="1"/>
        <v>94.963999999999999</v>
      </c>
      <c r="G3" s="53" cm="1">
        <f t="array" aca="1" ref="G3:H6" ca="1">_xll.BDH($C$4, "PX_LAST, ",E1, "")</f>
        <v>45933</v>
      </c>
      <c r="H3" s="47">
        <f ca="1"/>
        <v>106.473</v>
      </c>
      <c r="J3" s="1"/>
    </row>
    <row r="4" spans="1:13" ht="32.25" customHeight="1" x14ac:dyDescent="0.3">
      <c r="A4" s="15" t="s">
        <v>34</v>
      </c>
      <c r="B4" s="68" t="s">
        <v>43</v>
      </c>
      <c r="C4" s="43" t="s">
        <v>44</v>
      </c>
      <c r="E4" s="54">
        <f ca="1"/>
        <v>45936</v>
      </c>
      <c r="F4" s="1">
        <f ca="1"/>
        <v>94.912000000000006</v>
      </c>
      <c r="G4" s="54">
        <f ca="1"/>
        <v>45936</v>
      </c>
      <c r="H4" s="1">
        <f ca="1"/>
        <v>106.16800000000001</v>
      </c>
      <c r="I4" s="1"/>
    </row>
    <row r="5" spans="1:13" x14ac:dyDescent="0.3">
      <c r="A5" s="15" t="s">
        <v>8</v>
      </c>
      <c r="B5" s="69">
        <f>18*10^6</f>
        <v>18000000</v>
      </c>
      <c r="C5" s="8">
        <f>10*10^6</f>
        <v>10000000</v>
      </c>
      <c r="E5" s="54">
        <f ca="1"/>
        <v>45937</v>
      </c>
      <c r="F5" s="1">
        <f ca="1"/>
        <v>94.86</v>
      </c>
      <c r="G5" s="54">
        <f ca="1"/>
        <v>45937</v>
      </c>
      <c r="H5" s="1">
        <f ca="1"/>
        <v>106.07599999999999</v>
      </c>
      <c r="I5" s="1"/>
      <c r="L5" s="62"/>
    </row>
    <row r="6" spans="1:13" x14ac:dyDescent="0.3">
      <c r="A6" s="15" t="s">
        <v>10</v>
      </c>
      <c r="B6" s="70">
        <v>4.3749999999999997E-2</v>
      </c>
      <c r="C6" s="65">
        <v>7.6249999999999998E-2</v>
      </c>
      <c r="E6" s="54">
        <f ca="1"/>
        <v>45938</v>
      </c>
      <c r="F6" s="1">
        <f ca="1"/>
        <v>94.793000000000006</v>
      </c>
      <c r="G6" s="54">
        <f ca="1"/>
        <v>45938</v>
      </c>
      <c r="H6" s="1">
        <f ca="1"/>
        <v>106.027</v>
      </c>
      <c r="I6" s="1"/>
      <c r="K6" s="73"/>
      <c r="L6" s="73"/>
      <c r="M6" s="73"/>
    </row>
    <row r="7" spans="1:13" x14ac:dyDescent="0.3">
      <c r="A7" s="15" t="s">
        <v>12</v>
      </c>
      <c r="B7" s="71">
        <v>4.2299999999999997E-2</v>
      </c>
      <c r="C7" s="10">
        <v>4.2299999999999997E-2</v>
      </c>
      <c r="E7" s="54"/>
      <c r="F7" s="1"/>
      <c r="G7" s="54"/>
      <c r="H7" s="1"/>
      <c r="I7" s="1"/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K8" s="73"/>
      <c r="L8" s="73"/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</row>
    <row r="10" spans="1:13" ht="15" thickBot="1" x14ac:dyDescent="0.35">
      <c r="A10" s="16" t="s">
        <v>29</v>
      </c>
      <c r="B10" s="11" cm="1">
        <f t="array" ref="B10">_xll.BDP(B4,"px_last")</f>
        <v>94.793000000000006</v>
      </c>
      <c r="C10" s="22" cm="1">
        <f t="array" ref="C10">_xll.BDP(C4,"px_last")</f>
        <v>106.027</v>
      </c>
      <c r="E10" s="1"/>
      <c r="F10" s="1"/>
      <c r="G10" s="1"/>
      <c r="H10" s="1"/>
      <c r="I10" s="1"/>
    </row>
    <row r="11" spans="1:13" ht="15" thickBot="1" x14ac:dyDescent="0.35">
      <c r="C11" s="1"/>
      <c r="D11" s="1"/>
      <c r="E11" s="1"/>
      <c r="F11" s="1"/>
      <c r="G11" s="1"/>
      <c r="H11" s="1"/>
      <c r="I11" s="1"/>
    </row>
    <row r="12" spans="1:13" ht="15" thickBot="1" x14ac:dyDescent="0.35">
      <c r="A12" s="40" t="s">
        <v>23</v>
      </c>
      <c r="B12" s="80" t="s">
        <v>0</v>
      </c>
      <c r="C12" s="81"/>
      <c r="D12" s="82"/>
      <c r="E12" s="83" t="s">
        <v>1</v>
      </c>
      <c r="F12" s="84"/>
      <c r="G12" s="85"/>
      <c r="H12" s="40" t="s">
        <v>16</v>
      </c>
      <c r="I12" s="1"/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15"/>
      <c r="I14" s="1"/>
    </row>
    <row r="15" spans="1:13" x14ac:dyDescent="0.3">
      <c r="A15" s="37">
        <v>45931</v>
      </c>
      <c r="B15" s="46">
        <v>94.757000000000005</v>
      </c>
      <c r="C15" s="31">
        <f>(B15-$B$14)/100*$B$5</f>
        <v>-21239.999999999098</v>
      </c>
      <c r="D15" s="32">
        <f>(A15-$A$14)/360*$B$6*$B$5-(A15-$A$14)/360*$B$7*$B$5*$B$14/100</f>
        <v>180.89374999999995</v>
      </c>
      <c r="E15" s="4">
        <v>105.964</v>
      </c>
      <c r="F15" s="31">
        <f>(E15-$E$14)/100*$C$5</f>
        <v>21399.999999999865</v>
      </c>
      <c r="G15" s="32">
        <f>(A15-$A$14)/360*$C$6*$C$5-(A15-$A$14)/360*$C$7*$C$5*$E$14/100</f>
        <v>875.49305555555566</v>
      </c>
      <c r="H15" s="105">
        <f>C15+D15-F15-G15</f>
        <v>-43334.599305554519</v>
      </c>
      <c r="I15" s="1"/>
    </row>
    <row r="16" spans="1:13" x14ac:dyDescent="0.3">
      <c r="A16" s="37">
        <v>45932</v>
      </c>
      <c r="B16" s="46">
        <v>94.944000000000003</v>
      </c>
      <c r="C16" s="31">
        <f>(B16-$B$14)/100*$B$5</f>
        <v>12420.000000000469</v>
      </c>
      <c r="D16" s="32">
        <f>(A16-$A$14)/360*$B$6*$B$5-(A16-$A$14)/360*$B$7*$B$5*$B$14/100</f>
        <v>361.78749999999991</v>
      </c>
      <c r="E16" s="4">
        <v>106.205</v>
      </c>
      <c r="F16" s="31">
        <f>(E16-$E$14)/100*$C$5</f>
        <v>45499.999999999825</v>
      </c>
      <c r="G16" s="32">
        <f>(A16-$A$14)/360*$C$6*$C$5-(A16-$A$14)/360*$C$7*$C$5*$E$14/100</f>
        <v>1750.9861111111113</v>
      </c>
      <c r="H16" s="105">
        <f>C16+D16-F16-G16</f>
        <v>-34469.198611110463</v>
      </c>
      <c r="I16" s="1"/>
    </row>
    <row r="17" spans="1:9" x14ac:dyDescent="0.3">
      <c r="A17" s="37">
        <v>45933</v>
      </c>
      <c r="B17" s="46">
        <v>94.963999999999999</v>
      </c>
      <c r="C17" s="31">
        <f>(B17-$B$14)/100*$B$5</f>
        <v>16019.999999999754</v>
      </c>
      <c r="D17" s="32">
        <f>(A17-$A$14)/360*$B$6*$B$5-(A17-$A$14)/360*$B$7*$B$5*$B$14/100</f>
        <v>542.68125000000055</v>
      </c>
      <c r="E17" s="4">
        <v>106.473</v>
      </c>
      <c r="F17" s="31">
        <f>(E17-$E$14)/100*$C$5</f>
        <v>72299.999999999898</v>
      </c>
      <c r="G17" s="32">
        <f>(A17-$A$14)/360*$C$6*$C$5-(A17-$A$14)/360*$C$7*$C$5*$E$14/100</f>
        <v>2626.4791666666665</v>
      </c>
      <c r="H17" s="105">
        <f>C17+D17-F17-G17</f>
        <v>-58363.797916666808</v>
      </c>
      <c r="I17" s="1"/>
    </row>
    <row r="18" spans="1:9" x14ac:dyDescent="0.3">
      <c r="A18" s="37">
        <v>45936</v>
      </c>
      <c r="B18" s="46">
        <v>94.912000000000006</v>
      </c>
      <c r="C18" s="31">
        <f>(B18-$B$14)/100*$B$5</f>
        <v>6660.000000001105</v>
      </c>
      <c r="D18" s="32">
        <f>(A18-$A$14)/360*$B$6*$B$5-(A18-$A$14)/360*$B$7*$B$5*$B$14/100</f>
        <v>1085.3625000000011</v>
      </c>
      <c r="E18" s="4">
        <v>106.16800000000001</v>
      </c>
      <c r="F18" s="31">
        <f>(E18-$E$14)/100*$C$5</f>
        <v>41800.00000000064</v>
      </c>
      <c r="G18" s="32">
        <f>(A18-$A$14)/360*$C$6*$C$5-(A18-$A$14)/360*$C$7*$C$5*$E$14/100</f>
        <v>5252.958333333333</v>
      </c>
      <c r="H18" s="105">
        <f>C18+D18-F18-G18</f>
        <v>-39307.595833332867</v>
      </c>
      <c r="I18" s="1"/>
    </row>
    <row r="19" spans="1:9" x14ac:dyDescent="0.3">
      <c r="A19" s="37">
        <v>45937</v>
      </c>
      <c r="B19" s="46">
        <v>94.86</v>
      </c>
      <c r="C19" s="31">
        <f>(B19-$B$14)/100*$B$5</f>
        <v>-2700.0000000001023</v>
      </c>
      <c r="D19" s="32">
        <f>(A19-$A$14)/360*$B$6*$B$5-(A19-$A$14)/360*$B$7*$B$5*$B$14/100</f>
        <v>1266.2562499999985</v>
      </c>
      <c r="E19" s="4">
        <v>106.07599999999999</v>
      </c>
      <c r="F19" s="31">
        <f>(E19-$E$14)/100*$C$5</f>
        <v>32599.999999999338</v>
      </c>
      <c r="G19" s="32">
        <f>(A19-$A$14)/360*$C$6*$C$5-(A19-$A$14)/360*$C$7*$C$5*$E$14/100</f>
        <v>6128.4513888888887</v>
      </c>
      <c r="H19" s="105">
        <f>C19+D19-F19-G19</f>
        <v>-40162.195138888332</v>
      </c>
      <c r="I19" s="1"/>
    </row>
    <row r="20" spans="1:9" x14ac:dyDescent="0.3">
      <c r="A20" s="37">
        <v>45938</v>
      </c>
      <c r="B20" s="46">
        <v>94.793000000000006</v>
      </c>
      <c r="C20" s="31">
        <f>(B20-$B$14)/100*$B$5</f>
        <v>-14759.999999998854</v>
      </c>
      <c r="D20" s="32">
        <f>(A20-$A$14)/360*$B$6*$B$5-(A20-$A$14)/360*$B$7*$B$5*$B$14/100</f>
        <v>1447.1499999999996</v>
      </c>
      <c r="E20" s="4">
        <v>106.027</v>
      </c>
      <c r="F20" s="31">
        <f>(E20-$E$14)/100*$C$5</f>
        <v>27700.000000000102</v>
      </c>
      <c r="G20" s="32">
        <f>(A20-$A$14)/360*$C$6*$C$5-(A20-$A$14)/360*$C$7*$C$5*$E$14/100</f>
        <v>7003.9444444444453</v>
      </c>
      <c r="H20" s="105">
        <f>C20+D20-F20-G20</f>
        <v>-48016.794444443403</v>
      </c>
      <c r="I20" s="1"/>
    </row>
    <row r="21" spans="1:9" x14ac:dyDescent="0.3">
      <c r="A21" s="37">
        <v>45939</v>
      </c>
      <c r="B21" s="46"/>
      <c r="C21" s="31"/>
      <c r="D21" s="32"/>
      <c r="E21" s="4"/>
      <c r="F21" s="31"/>
      <c r="G21" s="32"/>
      <c r="H21" s="39"/>
      <c r="I21" s="1"/>
    </row>
    <row r="22" spans="1:9" x14ac:dyDescent="0.3">
      <c r="A22" s="37">
        <v>45940</v>
      </c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>
        <v>45941</v>
      </c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O53"/>
  <sheetViews>
    <sheetView zoomScale="80" zoomScaleNormal="80" workbookViewId="0">
      <selection activeCell="R12" sqref="R12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88671875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45933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45</v>
      </c>
      <c r="C3" s="76" t="s">
        <v>46</v>
      </c>
      <c r="D3" s="76" t="s">
        <v>47</v>
      </c>
      <c r="E3" s="67" t="s">
        <v>48</v>
      </c>
      <c r="G3" s="53" cm="1">
        <f t="array" aca="1" ref="G3:H6" ca="1">_xll.BDH($B$4, "PX_LAST, ", $G$1, "")</f>
        <v>45933</v>
      </c>
      <c r="H3" s="1">
        <f ca="1"/>
        <v>100.846</v>
      </c>
      <c r="I3" s="53" cm="1">
        <f t="array" aca="1" ref="I3:J6" ca="1">_xll.BDH($C$4, "PX_LAST, ", $G$1, "")</f>
        <v>45933</v>
      </c>
      <c r="J3" s="47">
        <f ca="1"/>
        <v>101.1484375</v>
      </c>
      <c r="K3" s="53" cm="1">
        <f t="array" aca="1" ref="K3:L6" ca="1">_xll.BDH($D$4, "PX_LAST, ", $G$1, "")</f>
        <v>45933</v>
      </c>
      <c r="L3" s="1">
        <f ca="1"/>
        <v>94.849000000000004</v>
      </c>
      <c r="M3" s="53" cm="1">
        <f t="array" aca="1" ref="M3:N6" ca="1">_xll.BDH($E$4, "PX_LAST, ", $G$1, "")</f>
        <v>45933</v>
      </c>
      <c r="N3" s="55">
        <f ca="1"/>
        <v>100.5546875</v>
      </c>
    </row>
    <row r="4" spans="1:14" ht="32.25" customHeight="1" x14ac:dyDescent="0.3">
      <c r="A4" s="15" t="s">
        <v>34</v>
      </c>
      <c r="B4" s="68" t="s">
        <v>49</v>
      </c>
      <c r="C4" s="42" t="s">
        <v>50</v>
      </c>
      <c r="D4" s="42" t="s">
        <v>51</v>
      </c>
      <c r="E4" s="43" t="s">
        <v>52</v>
      </c>
      <c r="G4" s="78">
        <f ca="1"/>
        <v>45936</v>
      </c>
      <c r="H4" s="1">
        <f ca="1"/>
        <v>100.666</v>
      </c>
      <c r="I4" s="54">
        <f ca="1"/>
        <v>45936</v>
      </c>
      <c r="J4" s="1">
        <f ca="1"/>
        <v>100.8828125</v>
      </c>
      <c r="K4" s="54">
        <f ca="1"/>
        <v>45936</v>
      </c>
      <c r="L4" s="1">
        <f ca="1"/>
        <v>94.522000000000006</v>
      </c>
      <c r="M4" s="54">
        <f ca="1"/>
        <v>45936</v>
      </c>
      <c r="N4" s="55">
        <f ca="1"/>
        <v>99.96875</v>
      </c>
    </row>
    <row r="5" spans="1:14" x14ac:dyDescent="0.3">
      <c r="A5" s="15" t="s">
        <v>8</v>
      </c>
      <c r="B5" s="69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G5" s="78">
        <f ca="1"/>
        <v>45937</v>
      </c>
      <c r="H5" s="1">
        <f ca="1"/>
        <v>100.748</v>
      </c>
      <c r="I5" s="54">
        <f ca="1"/>
        <v>45937</v>
      </c>
      <c r="J5" s="1">
        <f ca="1"/>
        <v>101.1171875</v>
      </c>
      <c r="K5" s="54">
        <f ca="1"/>
        <v>45937</v>
      </c>
      <c r="L5" s="1">
        <f ca="1"/>
        <v>94.481999999999999</v>
      </c>
      <c r="M5" s="54">
        <f ca="1"/>
        <v>45937</v>
      </c>
      <c r="N5" s="55">
        <f ca="1"/>
        <v>100.359375</v>
      </c>
    </row>
    <row r="6" spans="1:14" x14ac:dyDescent="0.3">
      <c r="A6" s="15" t="s">
        <v>10</v>
      </c>
      <c r="B6" s="71">
        <v>4.8750000000000002E-2</v>
      </c>
      <c r="C6" s="77">
        <v>4.2500000000000003E-2</v>
      </c>
      <c r="D6" s="77">
        <v>5.3749999999999999E-2</v>
      </c>
      <c r="E6" s="10">
        <v>4.7500000000000001E-2</v>
      </c>
      <c r="G6" s="78">
        <f ca="1"/>
        <v>45938</v>
      </c>
      <c r="H6" s="1">
        <f ca="1"/>
        <v>100.798</v>
      </c>
      <c r="I6" s="54">
        <f ca="1"/>
        <v>45938</v>
      </c>
      <c r="J6" s="1">
        <f ca="1"/>
        <v>101.1484375</v>
      </c>
      <c r="K6" s="54">
        <f ca="1"/>
        <v>45938</v>
      </c>
      <c r="L6" s="1">
        <f ca="1"/>
        <v>94.536000000000001</v>
      </c>
      <c r="M6" s="54">
        <f ca="1"/>
        <v>45938</v>
      </c>
      <c r="N6" s="55">
        <f ca="1"/>
        <v>100.484375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100.798</v>
      </c>
      <c r="C10" s="21" cm="1">
        <f t="array" ref="C10">_xll.BDP(C4,"px_last")</f>
        <v>101.15625</v>
      </c>
      <c r="D10" s="21" cm="1">
        <f t="array" ref="D10">_xll.BDP(D4,"px_last")</f>
        <v>94.536000000000001</v>
      </c>
      <c r="E10" s="22" cm="1">
        <f t="array" ref="E10">_xll.BDP(E4,"px_last")</f>
        <v>100.5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80" t="s">
        <v>0</v>
      </c>
      <c r="C12" s="81"/>
      <c r="D12" s="81"/>
      <c r="E12" s="86" t="s">
        <v>1</v>
      </c>
      <c r="F12" s="87"/>
      <c r="G12" s="88"/>
      <c r="H12" s="83" t="s">
        <v>1</v>
      </c>
      <c r="I12" s="84"/>
      <c r="J12" s="85"/>
      <c r="K12" s="89" t="s">
        <v>0</v>
      </c>
      <c r="L12" s="90"/>
      <c r="M12" s="91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6"/>
    </row>
    <row r="14" spans="1:14" x14ac:dyDescent="0.3">
      <c r="A14" s="37">
        <v>45931</v>
      </c>
      <c r="B14" s="79">
        <v>100.65</v>
      </c>
      <c r="C14" s="47"/>
      <c r="D14" s="48"/>
      <c r="E14" s="79">
        <v>100.898</v>
      </c>
      <c r="F14" s="1"/>
      <c r="G14" s="5"/>
      <c r="H14" s="79">
        <v>94.375</v>
      </c>
      <c r="I14" s="1"/>
      <c r="J14" s="5"/>
      <c r="K14" s="79">
        <v>100.297</v>
      </c>
      <c r="L14" s="1"/>
      <c r="M14" s="5"/>
      <c r="N14" s="15"/>
    </row>
    <row r="15" spans="1:14" x14ac:dyDescent="0.3">
      <c r="A15" s="37">
        <v>45932</v>
      </c>
      <c r="B15" s="79">
        <v>100.941</v>
      </c>
      <c r="C15" s="31">
        <f>(B15-$B$14)/100*$B$5</f>
        <v>40739.999999999556</v>
      </c>
      <c r="D15" s="32">
        <f>(A15-$A$14)/360*$B$6*$B$5-(A15-$A$14)/360*$B$7*$B$5*$B$14/100</f>
        <v>240.1408333333336</v>
      </c>
      <c r="E15" s="79">
        <v>101.44499999999999</v>
      </c>
      <c r="F15" s="31">
        <f>(E15-$E$14)/100*$C$5</f>
        <v>74391.999999999593</v>
      </c>
      <c r="G15" s="32">
        <f>(A15-$A$14)/360*$C$6*$C$5-(A15-$A$14)/360*$C$7*$C$5*$E$14/100</f>
        <v>-6.7944844444439241</v>
      </c>
      <c r="H15" s="79">
        <v>94.896000000000001</v>
      </c>
      <c r="I15" s="31">
        <f>(H15-$H$14)/100*$D$5</f>
        <v>26050.00000000004</v>
      </c>
      <c r="J15" s="32">
        <f>(A15-$A$14)/360*$D$6*$D$5-(A15-$A$14)/360*$D$7*$D$5*$H$14/100</f>
        <v>192.07465277777771</v>
      </c>
      <c r="K15" s="79">
        <v>100.9375</v>
      </c>
      <c r="L15" s="31">
        <f>(K15-$K$14)/100*$E$5</f>
        <v>26901.000000000124</v>
      </c>
      <c r="M15" s="32">
        <f>(A15-$A$14)/360*$E$6*$E$5-(A15-$A$14)/360*$E$7*$E$5*$K$14/100</f>
        <v>59.20097166666676</v>
      </c>
      <c r="N15" s="105">
        <f>C15+D15-F15-G15-I15-J15+L15+M15</f>
        <v>-32686.938363333298</v>
      </c>
    </row>
    <row r="16" spans="1:14" x14ac:dyDescent="0.3">
      <c r="A16" s="37">
        <v>45933</v>
      </c>
      <c r="B16" s="79">
        <v>100.846</v>
      </c>
      <c r="C16" s="31">
        <f>(B16-$B$14)/100*$B$5</f>
        <v>27439.999999999713</v>
      </c>
      <c r="D16" s="32">
        <f>(A16-$A$14)/360*$B$6*$B$5-(A16-$A$14)/360*$B$7*$B$5*$B$14/100</f>
        <v>480.28166666666721</v>
      </c>
      <c r="E16" s="79">
        <v>101.1484375</v>
      </c>
      <c r="F16" s="31">
        <f>(E16-$E$14)/100*$C$5</f>
        <v>34059.500000000524</v>
      </c>
      <c r="G16" s="32">
        <f>(A16-$A$14)/360*$C$6*$C$5-(A16-$A$14)/360*$C$7*$C$5*$E$14/100</f>
        <v>-13.588968888887848</v>
      </c>
      <c r="H16" s="79">
        <v>94.849000000000004</v>
      </c>
      <c r="I16" s="31">
        <f>(H16-$H$14)/100*$D$5</f>
        <v>23700.000000000189</v>
      </c>
      <c r="J16" s="32">
        <f>(A16-$A$14)/360*$D$6*$D$5-(A16-$A$14)/360*$D$7*$D$5*$H$14/100</f>
        <v>384.14930555555543</v>
      </c>
      <c r="K16" s="79">
        <v>100.554</v>
      </c>
      <c r="L16" s="31">
        <f>(K16-$K$14)/100*$E$5</f>
        <v>10794.000000000211</v>
      </c>
      <c r="M16" s="32">
        <f>(A16-$A$14)/360*$E$6*$E$5-(A16-$A$14)/360*$E$7*$E$5*$K$14/100</f>
        <v>118.40194333333352</v>
      </c>
      <c r="N16" s="105">
        <f>C16+D16-F16-G16-I16-J16+L16+M16</f>
        <v>-19297.376726667459</v>
      </c>
    </row>
    <row r="17" spans="1:14" x14ac:dyDescent="0.3">
      <c r="A17" s="37">
        <v>45936</v>
      </c>
      <c r="B17" s="79">
        <v>100.666</v>
      </c>
      <c r="C17" s="31">
        <f>(B17-$B$14)/100*$B$5</f>
        <v>2239.9999999987585</v>
      </c>
      <c r="D17" s="32">
        <f>(A17-$A$14)/360*$B$6*$B$5-(A17-$A$14)/360*$B$7*$B$5*$B$14/100</f>
        <v>1200.7041666666682</v>
      </c>
      <c r="E17" s="79">
        <v>100.8828</v>
      </c>
      <c r="F17" s="31">
        <f>(E17-$E$14)/100*$C$5</f>
        <v>-2067.1999999990476</v>
      </c>
      <c r="G17" s="32">
        <f>(A17-$A$14)/360*$C$6*$C$5-(A17-$A$14)/360*$C$7*$C$5*$E$14/100</f>
        <v>-33.972422222220303</v>
      </c>
      <c r="H17" s="79">
        <v>94.522000000000006</v>
      </c>
      <c r="I17" s="31">
        <f>(H17-$H$14)/100*$D$5</f>
        <v>7350.0000000002783</v>
      </c>
      <c r="J17" s="32">
        <f>(A17-$A$14)/360*$D$6*$D$5-(A17-$A$14)/360*$D$7*$D$5*$H$14/100</f>
        <v>960.37326388888914</v>
      </c>
      <c r="K17" s="79">
        <v>99.96875</v>
      </c>
      <c r="L17" s="31">
        <f>(K17-$K$14)/100*$E$5</f>
        <v>-13786.499999999876</v>
      </c>
      <c r="M17" s="32">
        <f>(A17-$A$14)/360*$E$6*$E$5-(A17-$A$14)/360*$E$7*$E$5*$K$14/100</f>
        <v>296.00485833333414</v>
      </c>
      <c r="N17" s="105">
        <f>C17+D17-F17-G17-I17-J17+L17+M17</f>
        <v>-16258.991816669015</v>
      </c>
    </row>
    <row r="18" spans="1:14" x14ac:dyDescent="0.3">
      <c r="A18" s="37">
        <v>45937</v>
      </c>
      <c r="B18" s="46">
        <v>100.748</v>
      </c>
      <c r="C18" s="31">
        <f>(B18-$B$14)/100*$B$5</f>
        <v>13719.999999999856</v>
      </c>
      <c r="D18" s="32">
        <f>(A18-$A$14)/360*$B$6*$B$5-(A18-$A$14)/360*$B$7*$B$5*$B$14/100</f>
        <v>1440.8450000000012</v>
      </c>
      <c r="E18" s="79">
        <v>101.1171875</v>
      </c>
      <c r="F18" s="31">
        <f>(E18-$E$14)/100*$C$5</f>
        <v>29809.500000000528</v>
      </c>
      <c r="G18" s="32">
        <f>(A18-$A$14)/360*$C$6*$C$5-(A18-$A$14)/360*$C$7*$C$5*$E$14/100</f>
        <v>-40.766906666663999</v>
      </c>
      <c r="H18" s="4">
        <v>94.481999999999999</v>
      </c>
      <c r="I18" s="31">
        <f>(H18-$H$14)/100*$D$5</f>
        <v>5349.9999999999663</v>
      </c>
      <c r="J18" s="32">
        <f>(A18-$A$14)/360*$D$6*$D$5-(A18-$A$14)/360*$D$7*$D$5*$H$14/100</f>
        <v>1152.4479166666674</v>
      </c>
      <c r="K18" s="79">
        <v>100.359375</v>
      </c>
      <c r="L18" s="31">
        <f>(K18-$K$14)/100*$E$5</f>
        <v>2619.7500000001241</v>
      </c>
      <c r="M18" s="32">
        <f>(A18-$A$14)/360*$E$6*$E$5-(A18-$A$14)/360*$E$7*$E$5*$K$14/100</f>
        <v>355.20583000000033</v>
      </c>
      <c r="N18" s="105">
        <f>C18+D18-F18-G18-I18-J18+L18+M18</f>
        <v>-18135.380180000517</v>
      </c>
    </row>
    <row r="19" spans="1:14" x14ac:dyDescent="0.3">
      <c r="A19" s="37">
        <v>45938</v>
      </c>
      <c r="B19" s="46">
        <v>100.798</v>
      </c>
      <c r="C19" s="31">
        <f>(B19-$B$14)/100*$B$5</f>
        <v>20719.999999999458</v>
      </c>
      <c r="D19" s="32">
        <f>(A19-$A$14)/360*$B$6*$B$5-(A19-$A$14)/360*$B$7*$B$5*$B$14/100</f>
        <v>1680.9858333333341</v>
      </c>
      <c r="E19" s="79">
        <v>101.1484375</v>
      </c>
      <c r="F19" s="31">
        <f>(E19-$E$14)/100*$C$5</f>
        <v>34059.500000000524</v>
      </c>
      <c r="G19" s="32">
        <f>(A19-$A$14)/360*$C$6*$C$5-(A19-$A$14)/360*$C$7*$C$5*$E$14/100</f>
        <v>-47.561391111108605</v>
      </c>
      <c r="H19" s="4">
        <v>94.536000000000001</v>
      </c>
      <c r="I19" s="31">
        <f>(H19-$H$14)/100*$D$5</f>
        <v>8050.0000000000673</v>
      </c>
      <c r="J19" s="32">
        <f>(A19-$A$14)/360*$D$6*$D$5-(A19-$A$14)/360*$D$7*$D$5*$H$14/100</f>
        <v>1344.5225694444443</v>
      </c>
      <c r="K19" s="79">
        <v>100.484375</v>
      </c>
      <c r="L19" s="31">
        <f>(K19-$K$14)/100*$E$5</f>
        <v>7869.7500000001237</v>
      </c>
      <c r="M19" s="32">
        <f>(A19-$A$14)/360*$E$6*$E$5-(A19-$A$14)/360*$E$7*$E$5*$K$14/100</f>
        <v>414.40680166666698</v>
      </c>
      <c r="N19" s="105">
        <f>C19+D19-F19-G19-I19-J19+L19+M19</f>
        <v>-12721.318543334342</v>
      </c>
    </row>
    <row r="20" spans="1:14" x14ac:dyDescent="0.3">
      <c r="A20" s="37">
        <v>45939</v>
      </c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105"/>
    </row>
    <row r="21" spans="1:14" x14ac:dyDescent="0.3">
      <c r="A21" s="37">
        <v>45940</v>
      </c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105"/>
    </row>
    <row r="22" spans="1:14" x14ac:dyDescent="0.3">
      <c r="A22" s="37">
        <v>45941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105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39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39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39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39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39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39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39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E12:G12"/>
    <mergeCell ref="H12:J12"/>
    <mergeCell ref="B12:D12"/>
    <mergeCell ref="K12:M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L53"/>
  <sheetViews>
    <sheetView zoomScale="80" zoomScaleNormal="80" workbookViewId="0">
      <selection activeCell="K6" sqref="K6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TODAY()-7</f>
        <v>45931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53</v>
      </c>
      <c r="C3" s="5" t="s">
        <v>54</v>
      </c>
      <c r="E3" s="53" cm="1">
        <f t="array" aca="1" ref="E3:F5" ca="1">_xll.BDH($B$4, "PX_LAST, ",E1, "")</f>
        <v>45931</v>
      </c>
      <c r="F3" s="1">
        <f ca="1"/>
        <v>93.427999999999997</v>
      </c>
      <c r="G3" s="94" cm="1">
        <f t="array" aca="1" ref="G3:H8" ca="1">_xll.BDH($C$4, "PX_LAST, ",E1, "")</f>
        <v>45931</v>
      </c>
      <c r="H3" s="47">
        <f ca="1"/>
        <v>45.883000000000003</v>
      </c>
      <c r="J3" s="1"/>
    </row>
    <row r="4" spans="1:12" ht="32.25" customHeight="1" x14ac:dyDescent="0.3">
      <c r="A4" s="15" t="s">
        <v>34</v>
      </c>
      <c r="B4" s="42" t="s">
        <v>55</v>
      </c>
      <c r="C4" s="43" t="s">
        <v>56</v>
      </c>
      <c r="E4" s="54">
        <f ca="1"/>
        <v>45932</v>
      </c>
      <c r="F4" s="1">
        <f ca="1"/>
        <v>92.248999999999995</v>
      </c>
      <c r="G4" s="96">
        <f ca="1"/>
        <v>45932</v>
      </c>
      <c r="H4" s="1">
        <f ca="1"/>
        <v>46.127000000000002</v>
      </c>
      <c r="I4" s="1"/>
    </row>
    <row r="5" spans="1:12" x14ac:dyDescent="0.3">
      <c r="A5" s="15" t="s">
        <v>8</v>
      </c>
      <c r="B5" s="7">
        <f>20*10^6</f>
        <v>20000000</v>
      </c>
      <c r="C5" s="8">
        <f>39*10^6</f>
        <v>39000000</v>
      </c>
      <c r="E5" s="54">
        <f ca="1"/>
        <v>45938</v>
      </c>
      <c r="F5" s="1">
        <f ca="1"/>
        <v>92.66</v>
      </c>
      <c r="G5" s="96">
        <f ca="1"/>
        <v>45933</v>
      </c>
      <c r="H5" s="1">
        <f ca="1"/>
        <v>45.582000000000001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/>
      <c r="F6" s="1"/>
      <c r="G6" s="96">
        <f ca="1"/>
        <v>45936</v>
      </c>
      <c r="H6" s="1">
        <f ca="1"/>
        <v>46.14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96">
        <f ca="1"/>
        <v>45937</v>
      </c>
      <c r="H7" s="1">
        <f ca="1"/>
        <v>46.350999999999999</v>
      </c>
      <c r="I7" s="1"/>
    </row>
    <row r="8" spans="1:12" x14ac:dyDescent="0.3">
      <c r="A8" s="15" t="s">
        <v>14</v>
      </c>
      <c r="B8" s="1">
        <v>4.8499999999999996</v>
      </c>
      <c r="C8" s="5">
        <v>5.01</v>
      </c>
      <c r="E8" s="1"/>
      <c r="F8" s="1"/>
      <c r="G8" s="96">
        <f ca="1"/>
        <v>45938</v>
      </c>
      <c r="H8" s="1">
        <f ca="1"/>
        <v>46.362000000000002</v>
      </c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92.989009999999993</v>
      </c>
      <c r="C10" s="22" cm="1">
        <f t="array" ref="C10">_xll.BDP(C4,"px_last")</f>
        <v>46.363630000000001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80" t="s">
        <v>0</v>
      </c>
      <c r="C12" s="81"/>
      <c r="D12" s="82"/>
      <c r="E12" s="83" t="s">
        <v>1</v>
      </c>
      <c r="F12" s="84"/>
      <c r="G12" s="85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105"/>
      <c r="I14" s="1"/>
    </row>
    <row r="15" spans="1:12" x14ac:dyDescent="0.3">
      <c r="A15" s="37">
        <v>45936</v>
      </c>
      <c r="B15" s="46">
        <v>92.248999999999995</v>
      </c>
      <c r="C15" s="31">
        <f t="shared" ref="C15" si="0">-1*(B15-$B$14)*10^-4*$B$8*$B$5</f>
        <v>-21815.299999999952</v>
      </c>
      <c r="D15" s="32">
        <f t="shared" ref="D15" si="1">$B$6*(A15-$A$14)/360*$B$5</f>
        <v>1666.6666666666665</v>
      </c>
      <c r="E15" s="46">
        <v>46.14</v>
      </c>
      <c r="F15" s="31">
        <f t="shared" ref="F15" si="2">-1*(E15-$E$14)*10^-4*$C$8*$C$5</f>
        <v>-22274.46000000001</v>
      </c>
      <c r="G15" s="32">
        <f t="shared" ref="G15" si="3">$C$6*(A15-$A$14)/360*$C$5</f>
        <v>3250</v>
      </c>
      <c r="H15" s="105">
        <f>C15+D15-F15-G15</f>
        <v>-1124.1733333332741</v>
      </c>
      <c r="I15" s="1"/>
    </row>
    <row r="16" spans="1:12" x14ac:dyDescent="0.3">
      <c r="A16" s="37">
        <v>45937</v>
      </c>
      <c r="B16" s="46">
        <v>92.248999999999995</v>
      </c>
      <c r="C16" s="31">
        <f t="shared" ref="C16" si="4">-1*(B16-$B$14)*10^-4*$B$8*$B$5</f>
        <v>-21815.299999999952</v>
      </c>
      <c r="D16" s="32">
        <f t="shared" ref="D16" si="5">$B$6*(A16-$A$14)/360*$B$5</f>
        <v>2222.2222222222222</v>
      </c>
      <c r="E16" s="46">
        <v>46.350999999999999</v>
      </c>
      <c r="F16" s="31">
        <f t="shared" ref="F16" si="6">-1*(E16-$E$14)*10^-4*$C$8*$C$5</f>
        <v>-26397.188999999984</v>
      </c>
      <c r="G16" s="32">
        <f>$C$6*(A16-$A$14)/360*$C$5</f>
        <v>4333.3333333333339</v>
      </c>
      <c r="H16" s="105">
        <f>C16+D16-F16-G16</f>
        <v>2470.7778888889206</v>
      </c>
      <c r="I16" s="1"/>
    </row>
    <row r="17" spans="1:9" x14ac:dyDescent="0.3">
      <c r="A17" s="37">
        <v>45938</v>
      </c>
      <c r="B17" s="46">
        <v>92.66</v>
      </c>
      <c r="C17" s="31">
        <f t="shared" ref="C17" si="7">-1*(B17-$B$14)*10^-4*$B$8*$B$5</f>
        <v>-25801.999999999967</v>
      </c>
      <c r="D17" s="32">
        <f t="shared" ref="D17" si="8">$B$6*(A17-$A$14)/360*$B$5</f>
        <v>2777.7777777777778</v>
      </c>
      <c r="E17" s="46">
        <v>46.362000000000002</v>
      </c>
      <c r="F17" s="31">
        <f t="shared" ref="F17" si="9">-1*(E17-$E$14)*10^-4*$C$8*$C$5</f>
        <v>-26612.118000000035</v>
      </c>
      <c r="G17" s="32">
        <f>$C$6*(A17-$A$14)/360*$C$5</f>
        <v>5416.666666666667</v>
      </c>
      <c r="H17" s="105">
        <f>C17+D17-F17-G17</f>
        <v>-1828.7708888888219</v>
      </c>
      <c r="I17" s="1"/>
    </row>
    <row r="18" spans="1:9" x14ac:dyDescent="0.3">
      <c r="A18" s="37">
        <v>45939</v>
      </c>
      <c r="B18" s="46"/>
      <c r="C18" s="31"/>
      <c r="D18" s="32"/>
      <c r="E18" s="46"/>
      <c r="F18" s="31"/>
      <c r="G18" s="32"/>
      <c r="H18" s="105"/>
      <c r="I18" s="1"/>
    </row>
    <row r="19" spans="1:9" x14ac:dyDescent="0.3">
      <c r="A19" s="37">
        <v>45940</v>
      </c>
      <c r="B19" s="46"/>
      <c r="C19" s="31"/>
      <c r="D19" s="32"/>
      <c r="E19" s="46"/>
      <c r="F19" s="31"/>
      <c r="G19" s="32"/>
      <c r="H19" s="39"/>
      <c r="I19" s="1"/>
    </row>
    <row r="20" spans="1:9" x14ac:dyDescent="0.3">
      <c r="A20" s="37">
        <v>45941</v>
      </c>
      <c r="B20" s="46"/>
      <c r="C20" s="31"/>
      <c r="D20" s="32"/>
      <c r="E20" s="46"/>
      <c r="F20" s="31"/>
      <c r="G20" s="32"/>
      <c r="H20" s="39"/>
      <c r="I20" s="1"/>
    </row>
    <row r="21" spans="1:9" x14ac:dyDescent="0.3">
      <c r="A21" s="37"/>
      <c r="B21" s="46"/>
      <c r="C21" s="31"/>
      <c r="D21" s="32"/>
      <c r="E21" s="46"/>
      <c r="F21" s="31"/>
      <c r="G21" s="32"/>
      <c r="H21" s="39"/>
      <c r="I21" s="1"/>
    </row>
    <row r="22" spans="1:9" x14ac:dyDescent="0.3">
      <c r="A22" s="37"/>
      <c r="B22" s="46"/>
      <c r="C22" s="31"/>
      <c r="D22" s="32"/>
      <c r="E22" s="46"/>
      <c r="F22" s="31"/>
      <c r="G22" s="32"/>
      <c r="H22" s="39"/>
      <c r="I22" s="1"/>
    </row>
    <row r="23" spans="1:9" x14ac:dyDescent="0.3">
      <c r="A23" s="37"/>
      <c r="B23" s="46"/>
      <c r="C23" s="31"/>
      <c r="D23" s="32"/>
      <c r="E23" s="46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6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6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6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O53"/>
  <sheetViews>
    <sheetView tabSelected="1" zoomScale="80" zoomScaleNormal="80" workbookViewId="0"/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88671875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45933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57</v>
      </c>
      <c r="C3" s="76" t="s">
        <v>58</v>
      </c>
      <c r="D3" s="76" t="s">
        <v>59</v>
      </c>
      <c r="E3" s="67" t="s">
        <v>60</v>
      </c>
      <c r="G3" s="53" cm="1">
        <f t="array" aca="1" ref="G3:H6" ca="1">_xll.BDH($B$4, "PX_LAST, ", $G$1, "")</f>
        <v>45933</v>
      </c>
      <c r="H3" s="1">
        <f ca="1"/>
        <v>92.57</v>
      </c>
      <c r="I3" s="53" cm="1">
        <f t="array" aca="1" ref="I3:J6" ca="1">_xll.BDH($C$4, "PX_LAST, ", $G$1, "")</f>
        <v>45933</v>
      </c>
      <c r="J3" s="47">
        <f ca="1"/>
        <v>100.9</v>
      </c>
      <c r="K3" s="53" cm="1">
        <f t="array" aca="1" ref="K3:L6" ca="1">_xll.BDH($D$4, "PX_LAST, ", $G$1, "")</f>
        <v>45933</v>
      </c>
      <c r="L3" s="1">
        <f ca="1"/>
        <v>121.04</v>
      </c>
      <c r="M3" s="53" cm="1">
        <f t="array" aca="1" ref="M3:N6" ca="1">_xll.BDH($E$4, "PX_LAST, ", $G$1, "")</f>
        <v>45933</v>
      </c>
      <c r="N3" s="55">
        <f ca="1"/>
        <v>99.516999999999996</v>
      </c>
    </row>
    <row r="4" spans="1:14" ht="32.25" customHeight="1" x14ac:dyDescent="0.3">
      <c r="A4" s="15" t="s">
        <v>34</v>
      </c>
      <c r="B4" s="68" t="s">
        <v>61</v>
      </c>
      <c r="C4" s="42" t="s">
        <v>63</v>
      </c>
      <c r="D4" s="42" t="s">
        <v>62</v>
      </c>
      <c r="E4" s="43" t="s">
        <v>64</v>
      </c>
      <c r="G4" s="78">
        <f ca="1"/>
        <v>45936</v>
      </c>
      <c r="H4" s="1">
        <f ca="1"/>
        <v>92.53</v>
      </c>
      <c r="I4" s="54">
        <f ca="1"/>
        <v>45936</v>
      </c>
      <c r="J4" s="1">
        <f ca="1"/>
        <v>100.917</v>
      </c>
      <c r="K4" s="54">
        <f ca="1"/>
        <v>45936</v>
      </c>
      <c r="L4" s="1">
        <f ca="1"/>
        <v>120.97499999999999</v>
      </c>
      <c r="M4" s="54">
        <f ca="1"/>
        <v>45936</v>
      </c>
      <c r="N4" s="55">
        <f ca="1"/>
        <v>99.501000000000005</v>
      </c>
    </row>
    <row r="5" spans="1:14" x14ac:dyDescent="0.3">
      <c r="A5" s="15" t="s">
        <v>8</v>
      </c>
      <c r="B5" s="69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78">
        <f ca="1"/>
        <v>45937</v>
      </c>
      <c r="H5" s="1">
        <f ca="1"/>
        <v>92.26</v>
      </c>
      <c r="I5" s="54">
        <f ca="1"/>
        <v>45937</v>
      </c>
      <c r="J5" s="1">
        <f ca="1"/>
        <v>100.93</v>
      </c>
      <c r="K5" s="54">
        <f ca="1"/>
        <v>45937</v>
      </c>
      <c r="L5" s="1">
        <f ca="1"/>
        <v>120.96</v>
      </c>
      <c r="M5" s="54">
        <f ca="1"/>
        <v>45937</v>
      </c>
      <c r="N5" s="55">
        <f ca="1"/>
        <v>99.540999999999997</v>
      </c>
    </row>
    <row r="6" spans="1:14" x14ac:dyDescent="0.3">
      <c r="A6" s="15" t="s">
        <v>10</v>
      </c>
      <c r="B6" s="71">
        <v>0</v>
      </c>
      <c r="C6" s="77">
        <v>2.4E-2</v>
      </c>
      <c r="D6" s="77">
        <v>0</v>
      </c>
      <c r="E6" s="10">
        <v>2.1999999999999999E-2</v>
      </c>
      <c r="G6" s="78">
        <f ca="1"/>
        <v>45938</v>
      </c>
      <c r="H6" s="1">
        <f ca="1"/>
        <v>92.19</v>
      </c>
      <c r="I6" s="54">
        <f ca="1"/>
        <v>45938</v>
      </c>
      <c r="J6" s="1">
        <f ca="1"/>
        <v>100.989</v>
      </c>
      <c r="K6" s="54">
        <f ca="1"/>
        <v>45938</v>
      </c>
      <c r="L6" s="1">
        <f ca="1"/>
        <v>121.09</v>
      </c>
      <c r="M6" s="54">
        <f ca="1"/>
        <v>45938</v>
      </c>
      <c r="N6" s="55">
        <f ca="1"/>
        <v>99.658000000000001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92.19</v>
      </c>
      <c r="C10" s="21" cm="1">
        <f t="array" ref="C10">_xll.BDP(C4,"px_last")</f>
        <v>100.989</v>
      </c>
      <c r="D10" s="21" cm="1">
        <f t="array" ref="D10">_xll.BDP(D4,"px_last")</f>
        <v>121.09</v>
      </c>
      <c r="E10" s="22" cm="1">
        <f t="array" ref="E10">_xll.BDP(E4,"px_last")</f>
        <v>99.658000000000001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80" t="s">
        <v>0</v>
      </c>
      <c r="C12" s="81"/>
      <c r="D12" s="81"/>
      <c r="E12" s="86" t="s">
        <v>1</v>
      </c>
      <c r="F12" s="87"/>
      <c r="G12" s="88"/>
      <c r="H12" s="83" t="s">
        <v>1</v>
      </c>
      <c r="I12" s="84"/>
      <c r="J12" s="85"/>
      <c r="K12" s="89" t="s">
        <v>0</v>
      </c>
      <c r="L12" s="90"/>
      <c r="M12" s="91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6"/>
    </row>
    <row r="14" spans="1:14" x14ac:dyDescent="0.3">
      <c r="A14" s="37">
        <v>45937</v>
      </c>
      <c r="B14" s="79">
        <v>92.37</v>
      </c>
      <c r="C14" s="47"/>
      <c r="D14" s="48"/>
      <c r="E14" s="79">
        <v>100.9</v>
      </c>
      <c r="F14" s="1"/>
      <c r="G14" s="5"/>
      <c r="H14" s="79">
        <v>120.9</v>
      </c>
      <c r="I14" s="1"/>
      <c r="J14" s="5"/>
      <c r="K14" s="79">
        <v>99.48</v>
      </c>
      <c r="L14" s="1"/>
      <c r="M14" s="5"/>
      <c r="N14" s="105"/>
    </row>
    <row r="15" spans="1:14" x14ac:dyDescent="0.3">
      <c r="A15" s="37">
        <v>45938</v>
      </c>
      <c r="B15" s="79">
        <v>92.19</v>
      </c>
      <c r="C15" s="31">
        <f>(B15/$B$14-1)*$B$5</f>
        <v>-48717.115946736441</v>
      </c>
      <c r="D15" s="32">
        <f>-1*(A15-$A$14)/360*$B$7*$B$5</f>
        <v>-2937.5</v>
      </c>
      <c r="E15" s="79">
        <v>100.989</v>
      </c>
      <c r="F15" s="31">
        <f>(E15-$E$14)/100*$C$5</f>
        <v>17799.999999999727</v>
      </c>
      <c r="G15" s="32">
        <f>(A15-$A$14)/360*$C$6*$C$5-(A15-$A$14)/360*$C$7*$C$5*$E$14/100</f>
        <v>-1037.8166666666666</v>
      </c>
      <c r="H15" s="79">
        <v>121.09</v>
      </c>
      <c r="I15" s="31">
        <f>(H15/$H$14-1)*$D$5</f>
        <v>67576.509511990676</v>
      </c>
      <c r="J15" s="32">
        <f>-1*(A15-$A$14)/360*$D$7*$D$5</f>
        <v>-5052.5</v>
      </c>
      <c r="K15" s="79">
        <v>99.658000000000001</v>
      </c>
      <c r="L15" s="31">
        <f>(K15-$K$14)/100*$E$5</f>
        <v>72979.99999999888</v>
      </c>
      <c r="M15" s="32">
        <f>(A15-$A$14)/360*$E$6*$E$5-(A15-$A$14)/360*$E$7*$E$5*$K$14/100</f>
        <v>-2286.8934444444453</v>
      </c>
      <c r="N15" s="105">
        <f>C15+D15-F15-G15-I15-J15+L15+M15</f>
        <v>-60247.702236505749</v>
      </c>
    </row>
    <row r="16" spans="1:14" x14ac:dyDescent="0.3">
      <c r="A16" s="37">
        <v>45939</v>
      </c>
      <c r="B16" s="79"/>
      <c r="C16" s="31"/>
      <c r="D16" s="32"/>
      <c r="E16" s="79"/>
      <c r="F16" s="31"/>
      <c r="G16" s="32"/>
      <c r="H16" s="79"/>
      <c r="I16" s="31"/>
      <c r="J16" s="32"/>
      <c r="K16" s="79"/>
      <c r="L16" s="31"/>
      <c r="M16" s="32"/>
      <c r="N16" s="105"/>
    </row>
    <row r="17" spans="1:14" x14ac:dyDescent="0.3">
      <c r="A17" s="37">
        <v>45940</v>
      </c>
      <c r="B17" s="79"/>
      <c r="C17" s="31"/>
      <c r="D17" s="32"/>
      <c r="E17" s="79"/>
      <c r="F17" s="31"/>
      <c r="G17" s="32"/>
      <c r="H17" s="79"/>
      <c r="I17" s="31"/>
      <c r="J17" s="32"/>
      <c r="K17" s="79"/>
      <c r="L17" s="31"/>
      <c r="M17" s="32"/>
      <c r="N17" s="105"/>
    </row>
    <row r="18" spans="1:14" x14ac:dyDescent="0.3">
      <c r="A18" s="37">
        <v>45941</v>
      </c>
      <c r="B18" s="46"/>
      <c r="C18" s="31"/>
      <c r="D18" s="32"/>
      <c r="E18" s="4"/>
      <c r="F18" s="31"/>
      <c r="G18" s="32"/>
      <c r="H18" s="4"/>
      <c r="I18" s="31"/>
      <c r="J18" s="32"/>
      <c r="K18" s="4"/>
      <c r="L18" s="31"/>
      <c r="M18" s="32"/>
      <c r="N18" s="39"/>
    </row>
    <row r="19" spans="1:14" x14ac:dyDescent="0.3">
      <c r="B19" s="46"/>
      <c r="C19" s="31"/>
      <c r="D19" s="32"/>
      <c r="E19" s="4"/>
      <c r="F19" s="31"/>
      <c r="G19" s="32"/>
      <c r="H19" s="4"/>
      <c r="I19" s="31"/>
      <c r="J19" s="32"/>
      <c r="K19" s="4"/>
      <c r="L19" s="31"/>
      <c r="M19" s="32"/>
      <c r="N19" s="39"/>
    </row>
    <row r="20" spans="1:14" x14ac:dyDescent="0.3"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39"/>
    </row>
    <row r="21" spans="1:14" x14ac:dyDescent="0.3"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39"/>
    </row>
    <row r="22" spans="1:14" x14ac:dyDescent="0.3"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39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39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39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39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39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39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39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39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B12:D12"/>
    <mergeCell ref="E12:G12"/>
    <mergeCell ref="H12:J12"/>
    <mergeCell ref="K12:M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U73"/>
  <sheetViews>
    <sheetView zoomScale="80" zoomScaleNormal="80" workbookViewId="0">
      <selection activeCell="U12" sqref="U12"/>
    </sheetView>
  </sheetViews>
  <sheetFormatPr defaultRowHeight="14.4" x14ac:dyDescent="0.3"/>
  <cols>
    <col min="1" max="1" width="15.44140625" style="55" bestFit="1" customWidth="1"/>
    <col min="2" max="7" width="12.44140625" style="55" customWidth="1"/>
    <col min="8" max="16" width="10.77734375" style="55" customWidth="1"/>
    <col min="17" max="18" width="11.5546875" style="55" bestFit="1" customWidth="1"/>
    <col min="19" max="20" width="13.33203125" style="55" bestFit="1" customWidth="1"/>
    <col min="22" max="16384" width="8.88671875" style="55"/>
  </cols>
  <sheetData>
    <row r="1" spans="1:20" ht="15" thickBot="1" x14ac:dyDescent="0.35">
      <c r="A1" s="1"/>
      <c r="B1" s="1"/>
      <c r="C1" s="1"/>
      <c r="D1" s="1"/>
      <c r="E1" s="1"/>
      <c r="F1" s="1"/>
      <c r="G1" s="1"/>
      <c r="I1" s="54">
        <f ca="1">TODAY()-5</f>
        <v>45933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5" thickBot="1" x14ac:dyDescent="0.35">
      <c r="A2" s="30"/>
      <c r="B2" s="41" t="s">
        <v>0</v>
      </c>
      <c r="C2" s="45" t="s">
        <v>1</v>
      </c>
      <c r="D2" s="74" t="s">
        <v>1</v>
      </c>
      <c r="E2" s="92" t="s">
        <v>0</v>
      </c>
      <c r="F2" s="74" t="s">
        <v>0</v>
      </c>
      <c r="G2" s="75" t="s">
        <v>0</v>
      </c>
      <c r="I2" s="27" t="s">
        <v>0</v>
      </c>
      <c r="J2" s="1"/>
      <c r="K2" s="45" t="s">
        <v>1</v>
      </c>
      <c r="L2" s="2"/>
      <c r="M2" s="28" t="s">
        <v>1</v>
      </c>
      <c r="N2" s="1"/>
      <c r="O2" s="92" t="s">
        <v>0</v>
      </c>
      <c r="Q2" s="74" t="s">
        <v>0</v>
      </c>
      <c r="S2" s="75" t="s">
        <v>0</v>
      </c>
    </row>
    <row r="3" spans="1:20" x14ac:dyDescent="0.3">
      <c r="A3" s="15" t="s">
        <v>33</v>
      </c>
      <c r="B3" s="66" t="s">
        <v>65</v>
      </c>
      <c r="C3" s="76" t="s">
        <v>67</v>
      </c>
      <c r="D3" s="76" t="s">
        <v>68</v>
      </c>
      <c r="E3" s="76" t="s">
        <v>67</v>
      </c>
      <c r="F3" s="76" t="s">
        <v>69</v>
      </c>
      <c r="G3" s="67" t="s">
        <v>70</v>
      </c>
      <c r="I3" s="94" cm="1">
        <f t="array" aca="1" ref="I3:J6" ca="1">_xll.BDH($B$4, "PX_LAST, ", $I$1, "")</f>
        <v>45933</v>
      </c>
      <c r="J3" s="1">
        <f ca="1"/>
        <v>80.84</v>
      </c>
      <c r="K3" s="94" cm="1">
        <f t="array" aca="1" ref="K3:L6" ca="1">_xll.BDH($C$4, "PX_LAST, ", $I$1, "")</f>
        <v>45933</v>
      </c>
      <c r="L3" s="47">
        <f ca="1"/>
        <v>99.58984375</v>
      </c>
      <c r="M3" s="94" cm="1">
        <f t="array" aca="1" ref="M3:N6" ca="1">_xll.BDH($D$4, "PX_LAST, ", $I$1, "")</f>
        <v>45933</v>
      </c>
      <c r="N3" s="1">
        <f ca="1"/>
        <v>111.55</v>
      </c>
      <c r="O3" s="94" cm="1">
        <f t="array" aca="1" ref="O3:P6" ca="1">_xll.BDH($E$4, "PX_LAST, ", $I$1, "")</f>
        <v>45933</v>
      </c>
      <c r="P3" s="55">
        <f ca="1"/>
        <v>99.58984375</v>
      </c>
      <c r="Q3" s="94" cm="1">
        <f t="array" aca="1" ref="Q3:R6" ca="1">_xll.BDH($F$4, "PX_LAST, ", $I$1, "")</f>
        <v>45933</v>
      </c>
      <c r="R3" s="55">
        <f ca="1"/>
        <v>101.0390625</v>
      </c>
      <c r="S3" s="94" cm="1">
        <f t="array" aca="1" ref="S3:T6" ca="1">_xll.BDH($G$4, "PX_LAST, ", $I$1, "")</f>
        <v>45933</v>
      </c>
      <c r="T3" s="55">
        <f ca="1"/>
        <v>100.59375</v>
      </c>
    </row>
    <row r="4" spans="1:20" ht="32.25" customHeight="1" x14ac:dyDescent="0.3">
      <c r="A4" s="15" t="s">
        <v>34</v>
      </c>
      <c r="B4" s="68" t="s">
        <v>66</v>
      </c>
      <c r="C4" s="42" t="s">
        <v>74</v>
      </c>
      <c r="D4" s="42" t="s">
        <v>71</v>
      </c>
      <c r="E4" s="42" t="s">
        <v>74</v>
      </c>
      <c r="F4" s="42" t="s">
        <v>73</v>
      </c>
      <c r="G4" s="43" t="s">
        <v>72</v>
      </c>
      <c r="I4" s="95">
        <f ca="1"/>
        <v>45936</v>
      </c>
      <c r="J4" s="1">
        <f ca="1"/>
        <v>80.86</v>
      </c>
      <c r="K4" s="96">
        <f ca="1"/>
        <v>45936</v>
      </c>
      <c r="L4" s="1">
        <f ca="1"/>
        <v>99.5078125</v>
      </c>
      <c r="M4" s="96">
        <f ca="1"/>
        <v>45936</v>
      </c>
      <c r="N4" s="1">
        <f ca="1"/>
        <v>111.19</v>
      </c>
      <c r="O4" s="95">
        <f ca="1"/>
        <v>45936</v>
      </c>
      <c r="P4" s="55">
        <f ca="1"/>
        <v>99.5078125</v>
      </c>
      <c r="Q4" s="95">
        <f ca="1"/>
        <v>45936</v>
      </c>
      <c r="R4" s="55">
        <f ca="1"/>
        <v>100.765625</v>
      </c>
      <c r="S4" s="96">
        <f ca="1"/>
        <v>45936</v>
      </c>
      <c r="T4" s="55">
        <f ca="1"/>
        <v>100.015625</v>
      </c>
    </row>
    <row r="5" spans="1:20" x14ac:dyDescent="0.3">
      <c r="A5" s="15" t="s">
        <v>8</v>
      </c>
      <c r="B5" s="69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95">
        <f ca="1"/>
        <v>45937</v>
      </c>
      <c r="J5" s="1">
        <f ca="1"/>
        <v>80.77</v>
      </c>
      <c r="K5" s="96">
        <f ca="1"/>
        <v>45937</v>
      </c>
      <c r="L5" s="1">
        <f ca="1"/>
        <v>99.65625</v>
      </c>
      <c r="M5" s="96">
        <f ca="1"/>
        <v>45937</v>
      </c>
      <c r="N5" s="1">
        <f ca="1"/>
        <v>111.4</v>
      </c>
      <c r="O5" s="95">
        <f ca="1"/>
        <v>45937</v>
      </c>
      <c r="P5" s="55">
        <f ca="1"/>
        <v>99.65625</v>
      </c>
      <c r="Q5" s="95">
        <f ca="1"/>
        <v>45937</v>
      </c>
      <c r="R5" s="55">
        <f ca="1"/>
        <v>101.0078125</v>
      </c>
      <c r="S5" s="96">
        <f ca="1"/>
        <v>45937</v>
      </c>
      <c r="T5" s="55">
        <f ca="1"/>
        <v>100.40625</v>
      </c>
    </row>
    <row r="6" spans="1:20" x14ac:dyDescent="0.3">
      <c r="A6" s="15" t="s">
        <v>10</v>
      </c>
      <c r="B6" s="71">
        <v>0</v>
      </c>
      <c r="C6" s="77">
        <f>(3+5/8)*0.01</f>
        <v>3.6249999999999998E-2</v>
      </c>
      <c r="D6" s="77">
        <v>0</v>
      </c>
      <c r="E6" s="77">
        <f>(3+5/8)*0.01</f>
        <v>3.6249999999999998E-2</v>
      </c>
      <c r="F6" s="77">
        <v>4.2500000000000003E-2</v>
      </c>
      <c r="G6" s="10">
        <v>4.7500000000000001E-2</v>
      </c>
      <c r="I6" s="95">
        <f ca="1"/>
        <v>45938</v>
      </c>
      <c r="J6" s="1">
        <f ca="1"/>
        <v>80.819800000000001</v>
      </c>
      <c r="K6" s="96">
        <f ca="1"/>
        <v>45938</v>
      </c>
      <c r="L6" s="1">
        <f ca="1"/>
        <v>99.609375</v>
      </c>
      <c r="M6" s="96">
        <f ca="1"/>
        <v>45938</v>
      </c>
      <c r="N6" s="1">
        <f ca="1"/>
        <v>111.52500000000001</v>
      </c>
      <c r="O6" s="95">
        <f ca="1"/>
        <v>45938</v>
      </c>
      <c r="P6" s="55">
        <f ca="1"/>
        <v>99.609375</v>
      </c>
      <c r="Q6" s="95">
        <f ca="1"/>
        <v>45938</v>
      </c>
      <c r="R6" s="55">
        <f ca="1"/>
        <v>101.0703125</v>
      </c>
      <c r="S6" s="96">
        <f ca="1"/>
        <v>45938</v>
      </c>
      <c r="T6" s="55">
        <f ca="1"/>
        <v>100.7265625</v>
      </c>
    </row>
    <row r="7" spans="1:20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77">
        <v>4.2299999999999997E-2</v>
      </c>
      <c r="F7" s="77">
        <v>4.2299999999999997E-2</v>
      </c>
      <c r="G7" s="10">
        <v>4.2299999999999997E-2</v>
      </c>
      <c r="I7" s="96"/>
      <c r="J7" s="1"/>
      <c r="K7" s="96"/>
      <c r="L7" s="1"/>
      <c r="M7" s="96"/>
      <c r="N7" s="1"/>
      <c r="O7" s="96"/>
      <c r="P7" s="1"/>
      <c r="Q7" s="96"/>
      <c r="R7" s="1"/>
      <c r="S7" s="96"/>
      <c r="T7" s="1"/>
    </row>
    <row r="8" spans="1:20" x14ac:dyDescent="0.3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6"/>
      <c r="J8" s="1"/>
      <c r="K8" s="96"/>
      <c r="L8" s="1"/>
      <c r="M8" s="96"/>
      <c r="N8" s="1"/>
      <c r="O8" s="96"/>
      <c r="P8" s="1"/>
      <c r="Q8" s="96"/>
      <c r="R8" s="1"/>
      <c r="S8" s="96"/>
      <c r="T8" s="1"/>
    </row>
    <row r="9" spans="1:20" x14ac:dyDescent="0.3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96"/>
      <c r="J9" s="1"/>
      <c r="K9" s="96"/>
      <c r="L9" s="1"/>
      <c r="M9" s="96"/>
      <c r="N9" s="1"/>
      <c r="O9" s="96"/>
      <c r="P9" s="1"/>
      <c r="Q9" s="96"/>
      <c r="R9" s="1"/>
      <c r="S9" s="96"/>
      <c r="T9" s="1"/>
    </row>
    <row r="10" spans="1:20" ht="15" thickBot="1" x14ac:dyDescent="0.35">
      <c r="A10" s="16" t="s">
        <v>29</v>
      </c>
      <c r="B10" s="11" cm="1">
        <f t="array" ref="B10">_xll.BDP(B4,"px_last")</f>
        <v>80.78</v>
      </c>
      <c r="C10" s="21" cm="1">
        <f t="array" ref="C10">_xll.BDP(C4,"px_last")</f>
        <v>99.6171875</v>
      </c>
      <c r="D10" s="21" cm="1">
        <f t="array" ref="D10">_xll.BDP(D4,"px_last")</f>
        <v>111.46810000000001</v>
      </c>
      <c r="E10" s="21" cm="1">
        <f t="array" ref="E10">_xll.BDP(E4,"px_last")</f>
        <v>99.6171875</v>
      </c>
      <c r="F10" s="21" cm="1">
        <f t="array" ref="F10">_xll.BDP(F4,"px_last")</f>
        <v>101.078125</v>
      </c>
      <c r="G10" s="22" cm="1">
        <f t="array" ref="G10">_xll.BDP(G4,"px_last")</f>
        <v>100.734375</v>
      </c>
      <c r="H10" s="1"/>
      <c r="I10" s="96"/>
      <c r="J10" s="1"/>
      <c r="K10" s="96"/>
      <c r="L10" s="1"/>
      <c r="M10" s="96"/>
      <c r="N10" s="1"/>
      <c r="O10" s="96"/>
      <c r="P10" s="1"/>
      <c r="Q10" s="96"/>
      <c r="R10" s="1"/>
      <c r="S10" s="96"/>
      <c r="T10" s="1"/>
    </row>
    <row r="11" spans="1:20" ht="15" thickBot="1" x14ac:dyDescent="0.35">
      <c r="C11" s="1"/>
      <c r="D11" s="1"/>
      <c r="E11" s="1"/>
      <c r="F11" s="1"/>
      <c r="G11" s="1"/>
      <c r="H11" s="1"/>
      <c r="I11" s="96"/>
      <c r="J11" s="1"/>
      <c r="K11" s="96"/>
      <c r="L11" s="1"/>
      <c r="M11" s="96"/>
      <c r="N11" s="1"/>
      <c r="O11" s="96"/>
      <c r="P11" s="1"/>
      <c r="Q11" s="96"/>
      <c r="R11" s="1"/>
      <c r="S11" s="96"/>
      <c r="T11" s="1"/>
    </row>
    <row r="12" spans="1:20" ht="15" thickBot="1" x14ac:dyDescent="0.35">
      <c r="A12" s="40" t="s">
        <v>23</v>
      </c>
      <c r="B12" s="80" t="s">
        <v>0</v>
      </c>
      <c r="C12" s="81"/>
      <c r="D12" s="81"/>
      <c r="E12" s="86" t="s">
        <v>1</v>
      </c>
      <c r="F12" s="87"/>
      <c r="G12" s="88"/>
      <c r="H12" s="83" t="s">
        <v>1</v>
      </c>
      <c r="I12" s="97"/>
      <c r="J12" s="85"/>
      <c r="K12" s="99" t="s">
        <v>0</v>
      </c>
      <c r="L12" s="93"/>
      <c r="M12" s="102"/>
      <c r="N12" s="83" t="s">
        <v>0</v>
      </c>
      <c r="O12" s="97"/>
      <c r="P12" s="85"/>
      <c r="Q12" s="101" t="s">
        <v>0</v>
      </c>
      <c r="R12" s="90"/>
      <c r="S12" s="104"/>
      <c r="T12" s="40" t="s">
        <v>16</v>
      </c>
    </row>
    <row r="13" spans="1:20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98" t="s">
        <v>21</v>
      </c>
      <c r="J13" s="22" t="s">
        <v>20</v>
      </c>
      <c r="K13" s="100" t="s">
        <v>17</v>
      </c>
      <c r="L13" s="21" t="s">
        <v>21</v>
      </c>
      <c r="M13" s="103" t="s">
        <v>20</v>
      </c>
      <c r="N13" s="11" t="s">
        <v>17</v>
      </c>
      <c r="O13" s="98" t="s">
        <v>21</v>
      </c>
      <c r="P13" s="22" t="s">
        <v>20</v>
      </c>
      <c r="Q13" s="100" t="s">
        <v>17</v>
      </c>
      <c r="R13" s="21" t="s">
        <v>21</v>
      </c>
      <c r="S13" s="103" t="s">
        <v>20</v>
      </c>
      <c r="T13" s="16"/>
    </row>
    <row r="14" spans="1:20" x14ac:dyDescent="0.3">
      <c r="A14" s="37">
        <v>45915</v>
      </c>
      <c r="B14" s="46">
        <v>81.165000000000006</v>
      </c>
      <c r="C14" s="47"/>
      <c r="D14" s="47"/>
      <c r="E14" s="46">
        <f>100+3/32+3/4*1/32</f>
        <v>100.1171875</v>
      </c>
      <c r="F14" s="47"/>
      <c r="G14" s="48"/>
      <c r="H14" s="46">
        <v>112.41500000000001</v>
      </c>
      <c r="I14" s="47"/>
      <c r="J14" s="48"/>
      <c r="K14" s="46">
        <f>100+3/32+3/4*1/32</f>
        <v>100.1171875</v>
      </c>
      <c r="L14" s="47"/>
      <c r="M14" s="48"/>
      <c r="N14" s="46">
        <f>101+24/32+3/4*1/32</f>
        <v>101.7734375</v>
      </c>
      <c r="O14" s="47"/>
      <c r="P14" s="48"/>
      <c r="Q14" s="46">
        <f>101+20/32+3/4*1/32</f>
        <v>101.6484375</v>
      </c>
      <c r="R14" s="47"/>
      <c r="S14" s="48"/>
      <c r="T14" s="15"/>
    </row>
    <row r="15" spans="1:20" x14ac:dyDescent="0.3">
      <c r="A15" s="37">
        <v>45916</v>
      </c>
      <c r="B15" s="46">
        <v>81.13</v>
      </c>
      <c r="C15" s="47">
        <f>(B15/$B$14-1)*$B$5</f>
        <v>-15092.712376026941</v>
      </c>
      <c r="D15" s="47">
        <f>-1*(A15-$A$14)/360*$B$7*$B$5</f>
        <v>-4112.5</v>
      </c>
      <c r="E15" s="46">
        <v>100.17578125</v>
      </c>
      <c r="F15" s="47">
        <f>(E15-$E$14)/100*$C$5</f>
        <v>11425.78125</v>
      </c>
      <c r="G15" s="48">
        <f>(A15-$A$14)/360*$C$6*$C$5-(A15-$A$14)/360*$C$7*$C$5*$E$14/100</f>
        <v>-330.39339192708326</v>
      </c>
      <c r="H15" s="46">
        <v>112.26</v>
      </c>
      <c r="I15" s="47">
        <f>(H15/$H$14-1)*$D$5</f>
        <v>-49637.503891829307</v>
      </c>
      <c r="J15" s="48">
        <f>-1*(A15-$A$14)/360*$D$7*$D$5</f>
        <v>-4230</v>
      </c>
      <c r="K15" s="46">
        <v>100.17578125</v>
      </c>
      <c r="L15" s="47">
        <f>(K15-$K$14)/100*$E$5</f>
        <v>9960.9375</v>
      </c>
      <c r="M15" s="48">
        <f>(A15-$A$14)/360*$E$6*$E$5-(A15-$A$14)/360*$E$7*$E$5*$N$14/100</f>
        <v>-321.11885850694443</v>
      </c>
      <c r="N15" s="46">
        <v>101.7890625</v>
      </c>
      <c r="O15" s="47">
        <f>(N15-$N$14)/100*$F$5</f>
        <v>1171.875</v>
      </c>
      <c r="P15" s="48">
        <f>(A15-$A$14)/360*$F$6*$F$5-(A15-$A$14)/360*$F$7*$F$5*$N$14/100</f>
        <v>-11.461751302083258</v>
      </c>
      <c r="Q15" s="46">
        <v>101.6171875</v>
      </c>
      <c r="R15" s="47">
        <f>(Q15-$Q$14)/100*$G$5</f>
        <v>-3281.25</v>
      </c>
      <c r="S15" s="48">
        <f>(A15-$A$14)/360*$G$6*$G$5-(A15-$A$14)/360*$G$7*$G$5*$Q$14/100</f>
        <v>131.32906901041679</v>
      </c>
      <c r="T15" s="106">
        <f>C15+D15-F15-G15-I15-J15+L15+M15+O15+P15+R15+S15</f>
        <v>31217.214616930833</v>
      </c>
    </row>
    <row r="16" spans="1:20" x14ac:dyDescent="0.3">
      <c r="A16" s="37">
        <v>45917</v>
      </c>
      <c r="B16" s="46">
        <v>81.05</v>
      </c>
      <c r="C16" s="47">
        <f t="shared" ref="C16:C31" si="0">(B16/$B$14-1)*$B$5</f>
        <v>-49590.340664082411</v>
      </c>
      <c r="D16" s="47">
        <f t="shared" ref="D16:D31" si="1">-1*(A16-$A$14)/360*$B$7*$B$5</f>
        <v>-8225</v>
      </c>
      <c r="E16" s="46">
        <v>99.86328125</v>
      </c>
      <c r="F16" s="47">
        <f t="shared" ref="F16:F31" si="2">(E16-$E$14)/100*$C$5</f>
        <v>-49511.71875</v>
      </c>
      <c r="G16" s="48">
        <f t="shared" ref="G16:G31" si="3">(A16-$A$14)/360*$C$6*$C$5-(A16-$A$14)/360*$C$7*$C$5*$E$14/100</f>
        <v>-660.78678385416652</v>
      </c>
      <c r="H16" s="46">
        <v>112.06</v>
      </c>
      <c r="I16" s="47">
        <f t="shared" ref="I16:I31" si="4">(H16/$H$14-1)*$D$5</f>
        <v>-113685.8960103213</v>
      </c>
      <c r="J16" s="48">
        <f t="shared" ref="J16:J31" si="5">-1*(A16-$A$14)/360*$D$7*$D$5</f>
        <v>-8460</v>
      </c>
      <c r="K16" s="46">
        <v>99.86328125</v>
      </c>
      <c r="L16" s="47">
        <f t="shared" ref="L16:L31" si="6">(K16-$K$14)/100*$E$5</f>
        <v>-43164.0625</v>
      </c>
      <c r="M16" s="48">
        <f t="shared" ref="M16:M31" si="7">(A16-$A$14)/360*$E$6*$E$5-(A16-$A$14)/360*$E$7*$E$5*$N$14/100</f>
        <v>-642.23771701388887</v>
      </c>
      <c r="N16" s="46">
        <v>101.296875</v>
      </c>
      <c r="O16" s="47">
        <f t="shared" ref="O16:O31" si="8">(N16-$N$14)/100*$F$5</f>
        <v>-35742.1875</v>
      </c>
      <c r="P16" s="48">
        <f t="shared" ref="P16:P31" si="9">(A16-$A$14)/360*$F$6*$F$5-(A16-$A$14)/360*$F$7*$F$5*$N$14/100</f>
        <v>-22.923502604166515</v>
      </c>
      <c r="Q16" s="46">
        <v>100.9296875</v>
      </c>
      <c r="R16" s="47">
        <f t="shared" ref="R16:R31" si="10">(Q16-$Q$14)/100*$G$5</f>
        <v>-75468.75</v>
      </c>
      <c r="S16" s="48">
        <f t="shared" ref="S16:S31" si="11">(A16-$A$14)/360*$G$6*$G$5-(A16-$A$14)/360*$G$7*$G$5*$Q$14/100</f>
        <v>262.65813802083358</v>
      </c>
      <c r="T16" s="106">
        <f t="shared" ref="T16:T31" si="12">C16+D16-F16-G16-I16-J16+L16+M16+O16+P16+R16+S16</f>
        <v>-40274.442201504164</v>
      </c>
    </row>
    <row r="17" spans="1:20" x14ac:dyDescent="0.3">
      <c r="A17" s="37">
        <v>45918</v>
      </c>
      <c r="B17" s="46">
        <v>81.23</v>
      </c>
      <c r="C17" s="47">
        <f t="shared" si="0"/>
        <v>28029.322984043371</v>
      </c>
      <c r="D17" s="47">
        <f t="shared" si="1"/>
        <v>-12337.499999999998</v>
      </c>
      <c r="E17" s="46">
        <v>99.82421875</v>
      </c>
      <c r="F17" s="47">
        <f t="shared" si="2"/>
        <v>-57128.90625</v>
      </c>
      <c r="G17" s="48">
        <f t="shared" si="3"/>
        <v>-991.18017578125</v>
      </c>
      <c r="H17" s="46">
        <v>111.83</v>
      </c>
      <c r="I17" s="47">
        <f t="shared" si="4"/>
        <v>-187341.54694658311</v>
      </c>
      <c r="J17" s="48">
        <f t="shared" si="5"/>
        <v>-12689.999999999998</v>
      </c>
      <c r="K17" s="46">
        <v>99.82421875</v>
      </c>
      <c r="L17" s="47">
        <f t="shared" si="6"/>
        <v>-49804.6875</v>
      </c>
      <c r="M17" s="48">
        <f t="shared" si="7"/>
        <v>-963.35657552083285</v>
      </c>
      <c r="N17" s="46">
        <v>101.15625</v>
      </c>
      <c r="O17" s="47">
        <f t="shared" si="8"/>
        <v>-46289.0625</v>
      </c>
      <c r="P17" s="48">
        <f t="shared" si="9"/>
        <v>-34.385253906249545</v>
      </c>
      <c r="Q17" s="46">
        <v>100.390625</v>
      </c>
      <c r="R17" s="47">
        <f t="shared" si="10"/>
        <v>-132070.3125</v>
      </c>
      <c r="S17" s="48">
        <f t="shared" si="11"/>
        <v>393.98720703125036</v>
      </c>
      <c r="T17" s="106">
        <f t="shared" si="12"/>
        <v>45075.639234011898</v>
      </c>
    </row>
    <row r="18" spans="1:20" x14ac:dyDescent="0.3">
      <c r="A18" s="37">
        <v>45919</v>
      </c>
      <c r="B18" s="46">
        <v>81.260000000000005</v>
      </c>
      <c r="C18" s="47">
        <f t="shared" si="0"/>
        <v>40965.933592067573</v>
      </c>
      <c r="D18" s="47">
        <f t="shared" si="1"/>
        <v>-16450</v>
      </c>
      <c r="E18" s="46">
        <v>99.7578125</v>
      </c>
      <c r="F18" s="47">
        <f t="shared" si="2"/>
        <v>-70078.125</v>
      </c>
      <c r="G18" s="48">
        <f t="shared" si="3"/>
        <v>-1321.573567708333</v>
      </c>
      <c r="H18" s="46">
        <v>111.74</v>
      </c>
      <c r="I18" s="47">
        <f t="shared" si="4"/>
        <v>-216163.3233999045</v>
      </c>
      <c r="J18" s="48">
        <f t="shared" si="5"/>
        <v>-16920</v>
      </c>
      <c r="K18" s="46">
        <v>99.7578125</v>
      </c>
      <c r="L18" s="47">
        <f t="shared" si="6"/>
        <v>-61093.75</v>
      </c>
      <c r="M18" s="48">
        <f t="shared" si="7"/>
        <v>-1284.4754340277777</v>
      </c>
      <c r="N18" s="46">
        <v>100.9765625</v>
      </c>
      <c r="O18" s="47">
        <f t="shared" si="8"/>
        <v>-59765.625</v>
      </c>
      <c r="P18" s="48">
        <f t="shared" si="9"/>
        <v>-45.84700520833303</v>
      </c>
      <c r="Q18" s="46">
        <v>100.078125</v>
      </c>
      <c r="R18" s="47">
        <f t="shared" si="10"/>
        <v>-164882.81249999997</v>
      </c>
      <c r="S18" s="48">
        <f t="shared" si="11"/>
        <v>525.31627604166715</v>
      </c>
      <c r="T18" s="106">
        <f t="shared" si="12"/>
        <v>42451.761896485979</v>
      </c>
    </row>
    <row r="19" spans="1:20" x14ac:dyDescent="0.3">
      <c r="A19" s="37">
        <v>45922</v>
      </c>
      <c r="B19" s="46">
        <v>81.319999999999993</v>
      </c>
      <c r="C19" s="47">
        <f t="shared" si="0"/>
        <v>66839.154808100429</v>
      </c>
      <c r="D19" s="47">
        <f t="shared" si="1"/>
        <v>-28787.5</v>
      </c>
      <c r="E19" s="46">
        <v>99.65234375</v>
      </c>
      <c r="F19" s="47">
        <f t="shared" si="2"/>
        <v>-90644.53125</v>
      </c>
      <c r="G19" s="48">
        <f t="shared" si="3"/>
        <v>-2312.7537434895839</v>
      </c>
      <c r="H19" s="46">
        <v>111.49</v>
      </c>
      <c r="I19" s="47">
        <f t="shared" si="4"/>
        <v>-296223.81354801951</v>
      </c>
      <c r="J19" s="48">
        <f t="shared" si="5"/>
        <v>-29610</v>
      </c>
      <c r="K19" s="46">
        <v>99.65234375</v>
      </c>
      <c r="L19" s="47">
        <f t="shared" si="6"/>
        <v>-79023.4375</v>
      </c>
      <c r="M19" s="48">
        <f t="shared" si="7"/>
        <v>-2247.8320095486106</v>
      </c>
      <c r="N19" s="46">
        <v>100.8203125</v>
      </c>
      <c r="O19" s="47">
        <f t="shared" si="8"/>
        <v>-71484.375</v>
      </c>
      <c r="P19" s="48">
        <f t="shared" si="9"/>
        <v>-80.23225911458303</v>
      </c>
      <c r="Q19" s="46">
        <v>99.78125</v>
      </c>
      <c r="R19" s="47">
        <f t="shared" si="10"/>
        <v>-196054.6875</v>
      </c>
      <c r="S19" s="48">
        <f t="shared" si="11"/>
        <v>919.30348307291752</v>
      </c>
      <c r="T19" s="106">
        <f t="shared" si="12"/>
        <v>108871.49256401924</v>
      </c>
    </row>
    <row r="20" spans="1:20" x14ac:dyDescent="0.3">
      <c r="A20" s="37">
        <v>45923</v>
      </c>
      <c r="B20" s="46">
        <v>81.260000000000005</v>
      </c>
      <c r="C20" s="47">
        <f t="shared" si="0"/>
        <v>40965.933592067573</v>
      </c>
      <c r="D20" s="47">
        <f t="shared" si="1"/>
        <v>-32900</v>
      </c>
      <c r="E20" s="46">
        <v>99.80078125</v>
      </c>
      <c r="F20" s="47">
        <f t="shared" si="2"/>
        <v>-61699.218750000007</v>
      </c>
      <c r="G20" s="48">
        <f t="shared" si="3"/>
        <v>-2643.1471354166661</v>
      </c>
      <c r="H20" s="46">
        <v>111.71</v>
      </c>
      <c r="I20" s="47">
        <f t="shared" si="4"/>
        <v>-225770.58221767831</v>
      </c>
      <c r="J20" s="48">
        <f t="shared" si="5"/>
        <v>-33840</v>
      </c>
      <c r="K20" s="46">
        <v>99.80078125</v>
      </c>
      <c r="L20" s="47">
        <f t="shared" si="6"/>
        <v>-53789.0625</v>
      </c>
      <c r="M20" s="48">
        <f t="shared" si="7"/>
        <v>-2568.9508680555555</v>
      </c>
      <c r="N20" s="46">
        <v>101.1484375</v>
      </c>
      <c r="O20" s="47">
        <f t="shared" si="8"/>
        <v>-46875</v>
      </c>
      <c r="P20" s="48">
        <f t="shared" si="9"/>
        <v>-91.69401041666606</v>
      </c>
      <c r="Q20" s="46">
        <v>100.4765625</v>
      </c>
      <c r="R20" s="47">
        <f t="shared" si="10"/>
        <v>-123046.875</v>
      </c>
      <c r="S20" s="48">
        <f t="shared" si="11"/>
        <v>1050.6325520833343</v>
      </c>
      <c r="T20" s="106">
        <f t="shared" si="12"/>
        <v>106697.93186877367</v>
      </c>
    </row>
    <row r="21" spans="1:20" x14ac:dyDescent="0.3">
      <c r="A21" s="37">
        <v>45924</v>
      </c>
      <c r="B21" s="46">
        <v>81.150000000000006</v>
      </c>
      <c r="C21" s="47">
        <f t="shared" si="0"/>
        <v>-6468.3053040121004</v>
      </c>
      <c r="D21" s="47">
        <f t="shared" si="1"/>
        <v>-37012.5</v>
      </c>
      <c r="E21" s="46">
        <v>99.58203125</v>
      </c>
      <c r="F21" s="47">
        <f t="shared" si="2"/>
        <v>-104355.46875000001</v>
      </c>
      <c r="G21" s="48">
        <f t="shared" si="3"/>
        <v>-2973.54052734375</v>
      </c>
      <c r="H21" s="46">
        <v>111.26</v>
      </c>
      <c r="I21" s="47">
        <f t="shared" si="4"/>
        <v>-369879.46448427736</v>
      </c>
      <c r="J21" s="48">
        <f t="shared" si="5"/>
        <v>-38070</v>
      </c>
      <c r="K21" s="46">
        <v>99.58203125</v>
      </c>
      <c r="L21" s="47">
        <f t="shared" si="6"/>
        <v>-90976.5625</v>
      </c>
      <c r="M21" s="48">
        <f t="shared" si="7"/>
        <v>-2890.0697265625004</v>
      </c>
      <c r="N21" s="46">
        <v>100.8203125</v>
      </c>
      <c r="O21" s="47">
        <f t="shared" si="8"/>
        <v>-71484.375</v>
      </c>
      <c r="P21" s="48">
        <f t="shared" si="9"/>
        <v>-103.15576171875</v>
      </c>
      <c r="Q21" s="46">
        <v>99.9765625</v>
      </c>
      <c r="R21" s="47">
        <f t="shared" si="10"/>
        <v>-175546.875</v>
      </c>
      <c r="S21" s="48">
        <f t="shared" si="11"/>
        <v>1181.9616210937511</v>
      </c>
      <c r="T21" s="106">
        <f t="shared" si="12"/>
        <v>131978.59209042153</v>
      </c>
    </row>
    <row r="22" spans="1:20" x14ac:dyDescent="0.3">
      <c r="A22" s="37">
        <v>45925</v>
      </c>
      <c r="B22" s="46">
        <v>80.92</v>
      </c>
      <c r="C22" s="47">
        <f t="shared" si="0"/>
        <v>-105648.98663216915</v>
      </c>
      <c r="D22" s="47">
        <f t="shared" si="1"/>
        <v>-41124.999999999993</v>
      </c>
      <c r="E22" s="46">
        <v>99.40234375</v>
      </c>
      <c r="F22" s="47">
        <f t="shared" si="2"/>
        <v>-139394.53125</v>
      </c>
      <c r="G22" s="48">
        <f t="shared" si="3"/>
        <v>-3303.9339192708285</v>
      </c>
      <c r="H22" s="46">
        <v>111.06</v>
      </c>
      <c r="I22" s="47">
        <f t="shared" si="4"/>
        <v>-433927.85660276935</v>
      </c>
      <c r="J22" s="48">
        <f t="shared" si="5"/>
        <v>-42299.999999999993</v>
      </c>
      <c r="K22" s="46">
        <v>99.40234375</v>
      </c>
      <c r="L22" s="47">
        <f t="shared" si="6"/>
        <v>-121523.4375</v>
      </c>
      <c r="M22" s="48">
        <f t="shared" si="7"/>
        <v>-3211.1885850694416</v>
      </c>
      <c r="N22" s="46">
        <v>100.6328125</v>
      </c>
      <c r="O22" s="47">
        <f t="shared" si="8"/>
        <v>-85546.875</v>
      </c>
      <c r="P22" s="48">
        <f t="shared" si="9"/>
        <v>-114.61751302083212</v>
      </c>
      <c r="Q22" s="46">
        <v>100.0234375</v>
      </c>
      <c r="R22" s="47">
        <f t="shared" si="10"/>
        <v>-170625</v>
      </c>
      <c r="S22" s="48">
        <f t="shared" si="11"/>
        <v>1313.2906901041697</v>
      </c>
      <c r="T22" s="106">
        <f t="shared" si="12"/>
        <v>92444.507231884942</v>
      </c>
    </row>
    <row r="23" spans="1:20" x14ac:dyDescent="0.3">
      <c r="A23" s="37">
        <v>45926</v>
      </c>
      <c r="B23" s="46">
        <v>81.08</v>
      </c>
      <c r="C23" s="47">
        <f t="shared" si="0"/>
        <v>-36653.730056062093</v>
      </c>
      <c r="D23" s="47">
        <f t="shared" si="1"/>
        <v>-45237.499999999993</v>
      </c>
      <c r="E23" s="46">
        <v>99.37890625</v>
      </c>
      <c r="F23" s="47">
        <f t="shared" si="2"/>
        <v>-143964.84375</v>
      </c>
      <c r="G23" s="48">
        <f t="shared" si="3"/>
        <v>-3634.3273111979179</v>
      </c>
      <c r="H23" s="46">
        <v>111.21</v>
      </c>
      <c r="I23" s="47">
        <f t="shared" si="4"/>
        <v>-385891.56251390436</v>
      </c>
      <c r="J23" s="48">
        <f t="shared" si="5"/>
        <v>-46529.999999999993</v>
      </c>
      <c r="K23" s="46">
        <v>99.37890625</v>
      </c>
      <c r="L23" s="47">
        <f t="shared" si="6"/>
        <v>-125507.8125</v>
      </c>
      <c r="M23" s="48">
        <f t="shared" si="7"/>
        <v>-3532.3074435763847</v>
      </c>
      <c r="N23" s="46">
        <v>100.5859375</v>
      </c>
      <c r="O23" s="47">
        <f t="shared" si="8"/>
        <v>-89062.5</v>
      </c>
      <c r="P23" s="48">
        <f t="shared" si="9"/>
        <v>-126.07926432291606</v>
      </c>
      <c r="Q23" s="46">
        <v>100</v>
      </c>
      <c r="R23" s="47">
        <f t="shared" si="10"/>
        <v>-173085.9375</v>
      </c>
      <c r="S23" s="48">
        <f t="shared" si="11"/>
        <v>1444.6197591145847</v>
      </c>
      <c r="T23" s="106">
        <f t="shared" si="12"/>
        <v>108259.48657025544</v>
      </c>
    </row>
    <row r="24" spans="1:20" x14ac:dyDescent="0.3">
      <c r="A24" s="37">
        <v>45929</v>
      </c>
      <c r="B24" s="46">
        <v>81.22</v>
      </c>
      <c r="C24" s="47">
        <f t="shared" si="0"/>
        <v>23717.119448037894</v>
      </c>
      <c r="D24" s="47">
        <f t="shared" si="1"/>
        <v>-57575</v>
      </c>
      <c r="E24" s="46">
        <v>99.5078125</v>
      </c>
      <c r="F24" s="47">
        <f t="shared" si="2"/>
        <v>-118828.125</v>
      </c>
      <c r="G24" s="48">
        <f t="shared" si="3"/>
        <v>-4625.5074869791679</v>
      </c>
      <c r="H24" s="46">
        <v>111.58</v>
      </c>
      <c r="I24" s="47">
        <f t="shared" si="4"/>
        <v>-267402.03709469811</v>
      </c>
      <c r="J24" s="48">
        <f t="shared" si="5"/>
        <v>-59220</v>
      </c>
      <c r="K24" s="46">
        <v>99.5078125</v>
      </c>
      <c r="L24" s="47">
        <f t="shared" si="6"/>
        <v>-103593.75</v>
      </c>
      <c r="M24" s="48">
        <f t="shared" si="7"/>
        <v>-4495.6640190972212</v>
      </c>
      <c r="N24" s="46">
        <v>100.8828125</v>
      </c>
      <c r="O24" s="47">
        <f t="shared" si="8"/>
        <v>-66796.875</v>
      </c>
      <c r="P24" s="48">
        <f t="shared" si="9"/>
        <v>-160.46451822916606</v>
      </c>
      <c r="Q24" s="46">
        <v>100.71875</v>
      </c>
      <c r="R24" s="47">
        <f t="shared" si="10"/>
        <v>-97617.1875</v>
      </c>
      <c r="S24" s="48">
        <f t="shared" si="11"/>
        <v>1838.606966145835</v>
      </c>
      <c r="T24" s="106">
        <f t="shared" si="12"/>
        <v>145392.45495853462</v>
      </c>
    </row>
    <row r="25" spans="1:20" x14ac:dyDescent="0.3">
      <c r="A25" s="37">
        <v>45930</v>
      </c>
      <c r="B25" s="46">
        <v>81.19</v>
      </c>
      <c r="C25" s="47">
        <f t="shared" si="0"/>
        <v>10780.508840013692</v>
      </c>
      <c r="D25" s="47">
        <f t="shared" si="1"/>
        <v>-61687.499999999993</v>
      </c>
      <c r="E25" s="46">
        <v>99.48046875</v>
      </c>
      <c r="F25" s="47">
        <f t="shared" si="2"/>
        <v>-124160.15624999999</v>
      </c>
      <c r="G25" s="48">
        <f t="shared" si="3"/>
        <v>-4955.9008789062464</v>
      </c>
      <c r="H25" s="46">
        <v>111.47</v>
      </c>
      <c r="I25" s="47">
        <f t="shared" si="4"/>
        <v>-302628.65275986475</v>
      </c>
      <c r="J25" s="48">
        <f t="shared" si="5"/>
        <v>-63449.999999999993</v>
      </c>
      <c r="K25" s="46">
        <v>99.48046875</v>
      </c>
      <c r="L25" s="47">
        <f t="shared" si="6"/>
        <v>-108242.1875</v>
      </c>
      <c r="M25" s="48">
        <f t="shared" si="7"/>
        <v>-4816.7828776041679</v>
      </c>
      <c r="N25" s="46">
        <v>100.7890625</v>
      </c>
      <c r="O25" s="47">
        <f t="shared" si="8"/>
        <v>-73828.125</v>
      </c>
      <c r="P25" s="48">
        <f t="shared" si="9"/>
        <v>-171.92626953124636</v>
      </c>
      <c r="Q25" s="46">
        <v>100.28125</v>
      </c>
      <c r="R25" s="47">
        <f t="shared" si="10"/>
        <v>-143554.6875</v>
      </c>
      <c r="S25" s="48">
        <f t="shared" si="11"/>
        <v>1969.93603515625</v>
      </c>
      <c r="T25" s="106">
        <f t="shared" si="12"/>
        <v>115643.94561680552</v>
      </c>
    </row>
    <row r="26" spans="1:20" x14ac:dyDescent="0.3">
      <c r="A26" s="37">
        <v>45931</v>
      </c>
      <c r="B26" s="46">
        <v>80.959999999999994</v>
      </c>
      <c r="C26" s="47">
        <f t="shared" si="0"/>
        <v>-88400.172488147247</v>
      </c>
      <c r="D26" s="47">
        <f t="shared" si="1"/>
        <v>-65800</v>
      </c>
      <c r="E26" s="46">
        <v>99.78515625</v>
      </c>
      <c r="F26" s="47">
        <f t="shared" si="2"/>
        <v>-64746.09375</v>
      </c>
      <c r="G26" s="48">
        <f t="shared" si="3"/>
        <v>-5286.2942708333321</v>
      </c>
      <c r="H26" s="46">
        <v>111.51</v>
      </c>
      <c r="I26" s="47">
        <f t="shared" si="4"/>
        <v>-289818.97433616634</v>
      </c>
      <c r="J26" s="48">
        <f t="shared" si="5"/>
        <v>-67680</v>
      </c>
      <c r="K26" s="46">
        <v>99.78515625</v>
      </c>
      <c r="L26" s="47">
        <f t="shared" si="6"/>
        <v>-56445.3125</v>
      </c>
      <c r="M26" s="48">
        <f t="shared" si="7"/>
        <v>-5137.9017361111109</v>
      </c>
      <c r="N26" s="46">
        <v>101.2109375</v>
      </c>
      <c r="O26" s="47">
        <f t="shared" si="8"/>
        <v>-42187.5</v>
      </c>
      <c r="P26" s="48">
        <f t="shared" si="9"/>
        <v>-183.38802083333212</v>
      </c>
      <c r="Q26" s="46">
        <v>100.6328125</v>
      </c>
      <c r="R26" s="47">
        <f t="shared" si="10"/>
        <v>-106640.625</v>
      </c>
      <c r="S26" s="48">
        <f t="shared" si="11"/>
        <v>2101.2651041666686</v>
      </c>
      <c r="T26" s="106">
        <f t="shared" si="12"/>
        <v>64837.727716074645</v>
      </c>
    </row>
    <row r="27" spans="1:20" x14ac:dyDescent="0.3">
      <c r="A27" s="37">
        <v>45932</v>
      </c>
      <c r="B27" s="57">
        <v>80.930000000000007</v>
      </c>
      <c r="C27" s="47">
        <f t="shared" si="0"/>
        <v>-101336.78309616368</v>
      </c>
      <c r="D27" s="47">
        <f t="shared" si="1"/>
        <v>-69912.499999999985</v>
      </c>
      <c r="E27" s="46">
        <v>99.79296875</v>
      </c>
      <c r="F27" s="47">
        <f t="shared" si="2"/>
        <v>-63222.65625</v>
      </c>
      <c r="G27" s="48">
        <f t="shared" si="3"/>
        <v>-5616.6876627604142</v>
      </c>
      <c r="H27" s="46">
        <v>111.69</v>
      </c>
      <c r="I27" s="47">
        <f t="shared" si="4"/>
        <v>-232175.42142952752</v>
      </c>
      <c r="J27" s="48">
        <f t="shared" si="5"/>
        <v>-71909.999999999985</v>
      </c>
      <c r="K27" s="46">
        <v>99.79296875</v>
      </c>
      <c r="L27" s="47">
        <f t="shared" si="6"/>
        <v>-55117.1875</v>
      </c>
      <c r="M27" s="48">
        <f t="shared" si="7"/>
        <v>-5459.0205946180467</v>
      </c>
      <c r="N27" s="46">
        <v>101.3359375</v>
      </c>
      <c r="O27" s="47">
        <f t="shared" si="8"/>
        <v>-32812.5</v>
      </c>
      <c r="P27" s="48">
        <f t="shared" si="9"/>
        <v>-194.84977213541424</v>
      </c>
      <c r="Q27" s="46">
        <v>100.96875</v>
      </c>
      <c r="R27" s="47">
        <f t="shared" si="10"/>
        <v>-71367.1875</v>
      </c>
      <c r="S27" s="48">
        <f t="shared" si="11"/>
        <v>2232.5941731770872</v>
      </c>
      <c r="T27" s="106">
        <f t="shared" si="12"/>
        <v>38957.331052547874</v>
      </c>
    </row>
    <row r="28" spans="1:20" x14ac:dyDescent="0.3">
      <c r="A28" s="37">
        <v>45933</v>
      </c>
      <c r="B28" s="46">
        <v>80.84</v>
      </c>
      <c r="C28" s="47">
        <f t="shared" si="0"/>
        <v>-140146.61492022462</v>
      </c>
      <c r="D28" s="47">
        <f t="shared" si="1"/>
        <v>-74025</v>
      </c>
      <c r="E28" s="46">
        <v>99.58984375</v>
      </c>
      <c r="F28" s="47">
        <f t="shared" si="2"/>
        <v>-102832.03125</v>
      </c>
      <c r="G28" s="48">
        <f t="shared" si="3"/>
        <v>-5947.0810546875</v>
      </c>
      <c r="H28" s="46">
        <v>111.55</v>
      </c>
      <c r="I28" s="47">
        <f t="shared" si="4"/>
        <v>-277009.29591247195</v>
      </c>
      <c r="J28" s="48">
        <f t="shared" si="5"/>
        <v>-76140</v>
      </c>
      <c r="K28" s="46">
        <v>99.58984375</v>
      </c>
      <c r="L28" s="47">
        <f t="shared" si="6"/>
        <v>-89648.4375</v>
      </c>
      <c r="M28" s="48">
        <f t="shared" si="7"/>
        <v>-5780.1394531250007</v>
      </c>
      <c r="N28" s="46">
        <v>101.0390625</v>
      </c>
      <c r="O28" s="47">
        <f t="shared" si="8"/>
        <v>-55078.125</v>
      </c>
      <c r="P28" s="48">
        <f t="shared" si="9"/>
        <v>-206.3115234375</v>
      </c>
      <c r="Q28" s="46">
        <v>100.59375</v>
      </c>
      <c r="R28" s="47">
        <f t="shared" si="10"/>
        <v>-110742.18750000001</v>
      </c>
      <c r="S28" s="48">
        <f t="shared" si="11"/>
        <v>2363.9232421875022</v>
      </c>
      <c r="T28" s="106">
        <f t="shared" si="12"/>
        <v>-11334.484437440191</v>
      </c>
    </row>
    <row r="29" spans="1:20" x14ac:dyDescent="0.3">
      <c r="A29" s="37">
        <v>45936</v>
      </c>
      <c r="B29" s="46">
        <v>80.86</v>
      </c>
      <c r="C29" s="47">
        <f t="shared" si="0"/>
        <v>-131522.20784821367</v>
      </c>
      <c r="D29" s="47">
        <f t="shared" si="1"/>
        <v>-86362.5</v>
      </c>
      <c r="E29" s="46">
        <v>99.5078125</v>
      </c>
      <c r="F29" s="47">
        <f t="shared" si="2"/>
        <v>-118828.125</v>
      </c>
      <c r="G29" s="48">
        <f t="shared" si="3"/>
        <v>-6938.26123046875</v>
      </c>
      <c r="H29" s="46">
        <v>111.19</v>
      </c>
      <c r="I29" s="47">
        <f t="shared" si="4"/>
        <v>-392296.40172574954</v>
      </c>
      <c r="J29" s="48">
        <f t="shared" si="5"/>
        <v>-88830</v>
      </c>
      <c r="K29" s="46">
        <v>99.5078125</v>
      </c>
      <c r="L29" s="47">
        <f t="shared" si="6"/>
        <v>-103593.75</v>
      </c>
      <c r="M29" s="48">
        <f t="shared" si="7"/>
        <v>-6743.4960286458372</v>
      </c>
      <c r="N29" s="46">
        <v>100.765625</v>
      </c>
      <c r="O29" s="47">
        <f t="shared" si="8"/>
        <v>-75585.9375</v>
      </c>
      <c r="P29" s="48">
        <f t="shared" si="9"/>
        <v>-240.69677734375</v>
      </c>
      <c r="Q29" s="46">
        <v>100.015625</v>
      </c>
      <c r="R29" s="47">
        <f t="shared" si="10"/>
        <v>-171445.3125</v>
      </c>
      <c r="S29" s="48">
        <f t="shared" si="11"/>
        <v>2757.9104492187507</v>
      </c>
      <c r="T29" s="106">
        <f t="shared" si="12"/>
        <v>34156.797751233782</v>
      </c>
    </row>
    <row r="30" spans="1:20" x14ac:dyDescent="0.3">
      <c r="A30" s="37">
        <v>45937</v>
      </c>
      <c r="B30" s="46">
        <v>80.77</v>
      </c>
      <c r="C30" s="47">
        <f t="shared" si="0"/>
        <v>-170332.03967227851</v>
      </c>
      <c r="D30" s="47">
        <f t="shared" si="1"/>
        <v>-90474.999999999985</v>
      </c>
      <c r="E30" s="46">
        <v>99.65625</v>
      </c>
      <c r="F30" s="47">
        <f t="shared" si="2"/>
        <v>-89882.8125</v>
      </c>
      <c r="G30" s="48">
        <f t="shared" si="3"/>
        <v>-7268.6546223958358</v>
      </c>
      <c r="H30" s="46">
        <v>111.4</v>
      </c>
      <c r="I30" s="47">
        <f t="shared" si="4"/>
        <v>-325045.59000133292</v>
      </c>
      <c r="J30" s="48">
        <f t="shared" si="5"/>
        <v>-93059.999999999985</v>
      </c>
      <c r="K30" s="46">
        <v>99.65625</v>
      </c>
      <c r="L30" s="47">
        <f t="shared" si="6"/>
        <v>-78359.375</v>
      </c>
      <c r="M30" s="48">
        <f t="shared" si="7"/>
        <v>-7064.6148871527694</v>
      </c>
      <c r="N30" s="46">
        <v>101.0078125</v>
      </c>
      <c r="O30" s="47">
        <f t="shared" si="8"/>
        <v>-57421.875</v>
      </c>
      <c r="P30" s="48">
        <f t="shared" si="9"/>
        <v>-252.15852864583212</v>
      </c>
      <c r="Q30" s="46">
        <v>100.40625</v>
      </c>
      <c r="R30" s="47">
        <f t="shared" si="10"/>
        <v>-130429.6875</v>
      </c>
      <c r="S30" s="48">
        <f t="shared" si="11"/>
        <v>2889.2395182291693</v>
      </c>
      <c r="T30" s="106">
        <f t="shared" si="12"/>
        <v>-16188.4539461192</v>
      </c>
    </row>
    <row r="31" spans="1:20" x14ac:dyDescent="0.3">
      <c r="A31" s="37">
        <v>45938</v>
      </c>
      <c r="B31" s="46">
        <v>80.825000000000003</v>
      </c>
      <c r="C31" s="47">
        <f t="shared" si="0"/>
        <v>-146614.92022423673</v>
      </c>
      <c r="D31" s="47">
        <f t="shared" si="1"/>
        <v>-94587.499999999985</v>
      </c>
      <c r="E31" s="46">
        <v>99.609375</v>
      </c>
      <c r="F31" s="47">
        <f t="shared" si="2"/>
        <v>-99023.4375</v>
      </c>
      <c r="G31" s="48">
        <f t="shared" si="3"/>
        <v>-7599.0480143229142</v>
      </c>
      <c r="H31" s="46">
        <v>111.5287</v>
      </c>
      <c r="I31" s="47">
        <f t="shared" si="4"/>
        <v>-283830.44967308769</v>
      </c>
      <c r="J31" s="48">
        <f t="shared" si="5"/>
        <v>-97289.999999999985</v>
      </c>
      <c r="K31" s="46">
        <v>99.609375</v>
      </c>
      <c r="L31" s="47">
        <f t="shared" si="6"/>
        <v>-86328.125</v>
      </c>
      <c r="M31" s="48">
        <f t="shared" si="7"/>
        <v>-7385.7337456597161</v>
      </c>
      <c r="N31" s="46">
        <v>101.0859375</v>
      </c>
      <c r="O31" s="47">
        <f t="shared" si="8"/>
        <v>-51562.5</v>
      </c>
      <c r="P31" s="48">
        <f t="shared" si="9"/>
        <v>-263.62027994791424</v>
      </c>
      <c r="Q31" s="46">
        <v>100.6328125</v>
      </c>
      <c r="R31" s="47">
        <f t="shared" si="10"/>
        <v>-106640.625</v>
      </c>
      <c r="S31" s="48">
        <f t="shared" si="11"/>
        <v>3020.5685872395879</v>
      </c>
      <c r="T31" s="106">
        <f t="shared" si="12"/>
        <v>-2619.5204751941892</v>
      </c>
    </row>
    <row r="32" spans="1:20" x14ac:dyDescent="0.3">
      <c r="A32" s="37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4"/>
      <c r="O32" s="31"/>
      <c r="P32" s="32"/>
      <c r="Q32" s="4"/>
      <c r="R32" s="31"/>
      <c r="S32" s="32"/>
      <c r="T32" s="39"/>
    </row>
    <row r="33" spans="1:20" x14ac:dyDescent="0.3">
      <c r="A33" s="37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</row>
    <row r="34" spans="1:20" x14ac:dyDescent="0.3">
      <c r="A34" s="37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</row>
    <row r="35" spans="1:20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</row>
    <row r="36" spans="1:20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</row>
    <row r="37" spans="1:20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</row>
    <row r="38" spans="1:20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</row>
    <row r="39" spans="1:20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</row>
    <row r="40" spans="1:20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</row>
    <row r="41" spans="1:20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</row>
    <row r="42" spans="1:20" x14ac:dyDescent="0.3">
      <c r="B42" s="60"/>
      <c r="C42" s="60"/>
      <c r="D42" s="60"/>
      <c r="E42" s="60"/>
      <c r="F42" s="60"/>
      <c r="H42" s="58"/>
      <c r="I42" s="58"/>
      <c r="K42" s="60"/>
      <c r="L42" s="60"/>
      <c r="N42" s="58"/>
      <c r="O42" s="58"/>
      <c r="R42" s="58"/>
      <c r="S42" s="58"/>
      <c r="T42" s="58"/>
    </row>
    <row r="43" spans="1:20" ht="15" thickBot="1" x14ac:dyDescent="0.35">
      <c r="B43" s="54">
        <f ca="1">TODAY()-22</f>
        <v>45916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R43" s="58"/>
      <c r="S43" s="58"/>
      <c r="T43" s="58"/>
    </row>
    <row r="44" spans="1:20" ht="15" thickBot="1" x14ac:dyDescent="0.35">
      <c r="B44" s="27" t="s">
        <v>0</v>
      </c>
      <c r="C44" s="1"/>
      <c r="D44" s="45" t="s">
        <v>1</v>
      </c>
      <c r="E44" s="2"/>
      <c r="F44" s="28" t="s">
        <v>1</v>
      </c>
      <c r="G44" s="1"/>
      <c r="H44" s="92" t="s">
        <v>0</v>
      </c>
      <c r="J44" s="74" t="s">
        <v>0</v>
      </c>
      <c r="L44" s="75" t="s">
        <v>0</v>
      </c>
      <c r="R44" s="58"/>
      <c r="S44" s="58"/>
      <c r="T44" s="58"/>
    </row>
    <row r="45" spans="1:20" x14ac:dyDescent="0.3">
      <c r="B45" s="94" cm="1">
        <f t="array" aca="1" ref="B45:C61" ca="1">_xll.BDH($B$4, "PX_LAST, ", B43, "")</f>
        <v>45916</v>
      </c>
      <c r="C45" s="1">
        <f ca="1"/>
        <v>81.13</v>
      </c>
      <c r="D45" s="94" cm="1">
        <f t="array" aca="1" ref="D45:E61" ca="1">_xll.BDH($C$4, "PX_LAST, ", B43, "")</f>
        <v>45916</v>
      </c>
      <c r="E45" s="47">
        <f ca="1"/>
        <v>100.17578125</v>
      </c>
      <c r="F45" s="94" cm="1">
        <f t="array" aca="1" ref="F45:G61" ca="1">_xll.BDH($D$4, "PX_LAST, ", B43, "")</f>
        <v>45916</v>
      </c>
      <c r="G45" s="1">
        <f ca="1"/>
        <v>112.26</v>
      </c>
      <c r="H45" s="53" cm="1">
        <f t="array" aca="1" ref="H45:I61" ca="1">_xll.BDH($E$4, "PX_LAST, ", B43, "")</f>
        <v>45916</v>
      </c>
      <c r="I45" s="55">
        <f ca="1"/>
        <v>100.17578125</v>
      </c>
      <c r="J45" s="53" cm="1">
        <f t="array" aca="1" ref="J45:K61" ca="1">_xll.BDH($F$4, "PX_LAST, ", B43, "")</f>
        <v>45916</v>
      </c>
      <c r="K45" s="55">
        <f ca="1"/>
        <v>101.7890625</v>
      </c>
      <c r="L45" s="53" cm="1">
        <f t="array" aca="1" ref="L45:M61" ca="1">_xll.BDH($G$4, "PX_LAST, ", B43, "")</f>
        <v>45916</v>
      </c>
      <c r="M45" s="55">
        <f ca="1"/>
        <v>101.6171875</v>
      </c>
      <c r="R45" s="58"/>
      <c r="S45" s="58"/>
      <c r="T45" s="58"/>
    </row>
    <row r="46" spans="1:20" x14ac:dyDescent="0.3">
      <c r="B46" s="95">
        <f ca="1"/>
        <v>45917</v>
      </c>
      <c r="C46" s="60">
        <f ca="1"/>
        <v>81.05</v>
      </c>
      <c r="D46" s="95">
        <f ca="1"/>
        <v>45917</v>
      </c>
      <c r="E46" s="60">
        <f ca="1"/>
        <v>99.86328125</v>
      </c>
      <c r="F46" s="95">
        <f ca="1"/>
        <v>45917</v>
      </c>
      <c r="G46" s="55">
        <f ca="1"/>
        <v>112.06</v>
      </c>
      <c r="H46" s="78">
        <f ca="1"/>
        <v>45917</v>
      </c>
      <c r="I46" s="55">
        <f ca="1"/>
        <v>99.86328125</v>
      </c>
      <c r="J46" s="78">
        <f ca="1"/>
        <v>45917</v>
      </c>
      <c r="K46" s="60">
        <f ca="1"/>
        <v>101.296875</v>
      </c>
      <c r="L46" s="78">
        <f ca="1"/>
        <v>45917</v>
      </c>
      <c r="M46" s="55">
        <f ca="1"/>
        <v>100.9296875</v>
      </c>
    </row>
    <row r="47" spans="1:20" x14ac:dyDescent="0.3">
      <c r="B47" s="95">
        <f ca="1"/>
        <v>45918</v>
      </c>
      <c r="C47" s="60">
        <f ca="1"/>
        <v>81.23</v>
      </c>
      <c r="D47" s="95">
        <f ca="1"/>
        <v>45918</v>
      </c>
      <c r="E47" s="60">
        <f ca="1"/>
        <v>99.82421875</v>
      </c>
      <c r="F47" s="95">
        <f ca="1"/>
        <v>45918</v>
      </c>
      <c r="G47" s="55">
        <f ca="1"/>
        <v>111.83</v>
      </c>
      <c r="H47" s="78">
        <f ca="1"/>
        <v>45918</v>
      </c>
      <c r="I47" s="55">
        <f ca="1"/>
        <v>99.82421875</v>
      </c>
      <c r="J47" s="78">
        <f ca="1"/>
        <v>45918</v>
      </c>
      <c r="K47" s="60">
        <f ca="1"/>
        <v>101.15625</v>
      </c>
      <c r="L47" s="78">
        <f ca="1"/>
        <v>45918</v>
      </c>
      <c r="M47" s="55">
        <f ca="1"/>
        <v>100.390625</v>
      </c>
    </row>
    <row r="48" spans="1:20" x14ac:dyDescent="0.3">
      <c r="B48" s="95">
        <f ca="1"/>
        <v>45919</v>
      </c>
      <c r="C48" s="60">
        <f ca="1"/>
        <v>81.260000000000005</v>
      </c>
      <c r="D48" s="95">
        <f ca="1"/>
        <v>45919</v>
      </c>
      <c r="E48" s="60">
        <f ca="1"/>
        <v>99.7578125</v>
      </c>
      <c r="F48" s="95">
        <f ca="1"/>
        <v>45919</v>
      </c>
      <c r="G48" s="55">
        <f ca="1"/>
        <v>111.74</v>
      </c>
      <c r="H48" s="78">
        <f ca="1"/>
        <v>45919</v>
      </c>
      <c r="I48" s="55">
        <f ca="1"/>
        <v>99.7578125</v>
      </c>
      <c r="J48" s="78">
        <f ca="1"/>
        <v>45919</v>
      </c>
      <c r="K48" s="60">
        <f ca="1"/>
        <v>100.9765625</v>
      </c>
      <c r="L48" s="78">
        <f ca="1"/>
        <v>45919</v>
      </c>
      <c r="M48" s="55">
        <f ca="1"/>
        <v>100.078125</v>
      </c>
    </row>
    <row r="49" spans="2:13" x14ac:dyDescent="0.3">
      <c r="B49" s="95">
        <f ca="1"/>
        <v>45922</v>
      </c>
      <c r="C49" s="60">
        <f ca="1"/>
        <v>81.319999999999993</v>
      </c>
      <c r="D49" s="95">
        <f ca="1"/>
        <v>45922</v>
      </c>
      <c r="E49" s="60">
        <f ca="1"/>
        <v>99.65234375</v>
      </c>
      <c r="F49" s="95">
        <f ca="1"/>
        <v>45922</v>
      </c>
      <c r="G49" s="55">
        <f ca="1"/>
        <v>111.49</v>
      </c>
      <c r="H49" s="78">
        <f ca="1"/>
        <v>45922</v>
      </c>
      <c r="I49" s="55">
        <f ca="1"/>
        <v>99.65234375</v>
      </c>
      <c r="J49" s="78">
        <f ca="1"/>
        <v>45922</v>
      </c>
      <c r="K49" s="60">
        <f ca="1"/>
        <v>100.8203125</v>
      </c>
      <c r="L49" s="78">
        <f ca="1"/>
        <v>45922</v>
      </c>
      <c r="M49" s="55">
        <f ca="1"/>
        <v>99.78125</v>
      </c>
    </row>
    <row r="50" spans="2:13" x14ac:dyDescent="0.3">
      <c r="B50" s="95">
        <f ca="1"/>
        <v>45923</v>
      </c>
      <c r="C50" s="60">
        <f ca="1"/>
        <v>81.260000000000005</v>
      </c>
      <c r="D50" s="95">
        <f ca="1"/>
        <v>45923</v>
      </c>
      <c r="E50" s="60">
        <f ca="1"/>
        <v>99.80078125</v>
      </c>
      <c r="F50" s="95">
        <f ca="1"/>
        <v>45923</v>
      </c>
      <c r="G50" s="55">
        <f ca="1"/>
        <v>111.71</v>
      </c>
      <c r="H50" s="78">
        <f ca="1"/>
        <v>45923</v>
      </c>
      <c r="I50" s="55">
        <f ca="1"/>
        <v>99.80078125</v>
      </c>
      <c r="J50" s="78">
        <f ca="1"/>
        <v>45923</v>
      </c>
      <c r="K50" s="60">
        <f ca="1"/>
        <v>101.1484375</v>
      </c>
      <c r="L50" s="78">
        <f ca="1"/>
        <v>45923</v>
      </c>
      <c r="M50" s="55">
        <f ca="1"/>
        <v>100.4765625</v>
      </c>
    </row>
    <row r="51" spans="2:13" x14ac:dyDescent="0.3">
      <c r="B51" s="95">
        <f ca="1"/>
        <v>45924</v>
      </c>
      <c r="C51" s="60">
        <f ca="1"/>
        <v>81.150000000000006</v>
      </c>
      <c r="D51" s="95">
        <f ca="1"/>
        <v>45924</v>
      </c>
      <c r="E51" s="60">
        <f ca="1"/>
        <v>99.58203125</v>
      </c>
      <c r="F51" s="95">
        <f ca="1"/>
        <v>45924</v>
      </c>
      <c r="G51" s="55">
        <f ca="1"/>
        <v>111.26</v>
      </c>
      <c r="H51" s="78">
        <f ca="1"/>
        <v>45924</v>
      </c>
      <c r="I51" s="55">
        <f ca="1"/>
        <v>99.58203125</v>
      </c>
      <c r="J51" s="78">
        <f ca="1"/>
        <v>45924</v>
      </c>
      <c r="K51" s="60">
        <f ca="1"/>
        <v>100.8203125</v>
      </c>
      <c r="L51" s="78">
        <f ca="1"/>
        <v>45924</v>
      </c>
      <c r="M51" s="55">
        <f ca="1"/>
        <v>99.9765625</v>
      </c>
    </row>
    <row r="52" spans="2:13" x14ac:dyDescent="0.3">
      <c r="B52" s="95">
        <f ca="1"/>
        <v>45925</v>
      </c>
      <c r="C52" s="60">
        <f ca="1"/>
        <v>80.92</v>
      </c>
      <c r="D52" s="95">
        <f ca="1"/>
        <v>45925</v>
      </c>
      <c r="E52" s="60">
        <f ca="1"/>
        <v>99.40234375</v>
      </c>
      <c r="F52" s="95">
        <f ca="1"/>
        <v>45925</v>
      </c>
      <c r="G52" s="55">
        <f ca="1"/>
        <v>111.06</v>
      </c>
      <c r="H52" s="78">
        <f ca="1"/>
        <v>45925</v>
      </c>
      <c r="I52" s="55">
        <f ca="1"/>
        <v>99.40234375</v>
      </c>
      <c r="J52" s="78">
        <f ca="1"/>
        <v>45925</v>
      </c>
      <c r="K52" s="60">
        <f ca="1"/>
        <v>100.6328125</v>
      </c>
      <c r="L52" s="78">
        <f ca="1"/>
        <v>45925</v>
      </c>
      <c r="M52" s="55">
        <f ca="1"/>
        <v>100.0234375</v>
      </c>
    </row>
    <row r="53" spans="2:13" x14ac:dyDescent="0.3">
      <c r="B53" s="95">
        <f ca="1"/>
        <v>45926</v>
      </c>
      <c r="C53" s="60">
        <f ca="1"/>
        <v>81.08</v>
      </c>
      <c r="D53" s="95">
        <f ca="1"/>
        <v>45926</v>
      </c>
      <c r="E53" s="60">
        <f ca="1"/>
        <v>99.37890625</v>
      </c>
      <c r="F53" s="95">
        <f ca="1"/>
        <v>45926</v>
      </c>
      <c r="G53" s="55">
        <f ca="1"/>
        <v>111.21</v>
      </c>
      <c r="H53" s="78">
        <f ca="1"/>
        <v>45926</v>
      </c>
      <c r="I53" s="55">
        <f ca="1"/>
        <v>99.37890625</v>
      </c>
      <c r="J53" s="78">
        <f ca="1"/>
        <v>45926</v>
      </c>
      <c r="K53" s="60">
        <f ca="1"/>
        <v>100.5859375</v>
      </c>
      <c r="L53" s="78">
        <f ca="1"/>
        <v>45926</v>
      </c>
      <c r="M53" s="55">
        <f ca="1"/>
        <v>100</v>
      </c>
    </row>
    <row r="54" spans="2:13" x14ac:dyDescent="0.3">
      <c r="B54" s="95">
        <f ca="1"/>
        <v>45929</v>
      </c>
      <c r="C54" s="55">
        <f ca="1"/>
        <v>81.22</v>
      </c>
      <c r="D54" s="95">
        <f ca="1"/>
        <v>45929</v>
      </c>
      <c r="E54" s="55">
        <f ca="1"/>
        <v>99.5078125</v>
      </c>
      <c r="F54" s="95">
        <f ca="1"/>
        <v>45929</v>
      </c>
      <c r="G54" s="55">
        <f ca="1"/>
        <v>111.58</v>
      </c>
      <c r="H54" s="78">
        <f ca="1"/>
        <v>45929</v>
      </c>
      <c r="I54" s="55">
        <f ca="1"/>
        <v>99.5078125</v>
      </c>
      <c r="J54" s="78">
        <f ca="1"/>
        <v>45929</v>
      </c>
      <c r="K54" s="55">
        <f ca="1"/>
        <v>100.8828125</v>
      </c>
      <c r="L54" s="78">
        <f ca="1"/>
        <v>45929</v>
      </c>
      <c r="M54" s="55">
        <f ca="1"/>
        <v>100.71875</v>
      </c>
    </row>
    <row r="55" spans="2:13" x14ac:dyDescent="0.3">
      <c r="B55" s="95">
        <f ca="1"/>
        <v>45930</v>
      </c>
      <c r="C55" s="55">
        <f ca="1"/>
        <v>81.19</v>
      </c>
      <c r="D55" s="95">
        <f ca="1"/>
        <v>45930</v>
      </c>
      <c r="E55" s="55">
        <f ca="1"/>
        <v>99.48046875</v>
      </c>
      <c r="F55" s="95">
        <f ca="1"/>
        <v>45930</v>
      </c>
      <c r="G55" s="55">
        <f ca="1"/>
        <v>111.47</v>
      </c>
      <c r="H55" s="78">
        <f ca="1"/>
        <v>45930</v>
      </c>
      <c r="I55" s="55">
        <f ca="1"/>
        <v>99.48046875</v>
      </c>
      <c r="J55" s="78">
        <f ca="1"/>
        <v>45930</v>
      </c>
      <c r="K55" s="55">
        <f ca="1"/>
        <v>100.7890625</v>
      </c>
      <c r="L55" s="78">
        <f ca="1"/>
        <v>45930</v>
      </c>
      <c r="M55" s="55">
        <f ca="1"/>
        <v>100.28125</v>
      </c>
    </row>
    <row r="56" spans="2:13" x14ac:dyDescent="0.3">
      <c r="B56" s="95">
        <f ca="1"/>
        <v>45931</v>
      </c>
      <c r="C56" s="55">
        <f ca="1"/>
        <v>80.959999999999994</v>
      </c>
      <c r="D56" s="95">
        <f ca="1"/>
        <v>45931</v>
      </c>
      <c r="E56" s="55">
        <f ca="1"/>
        <v>99.78515625</v>
      </c>
      <c r="F56" s="95">
        <f ca="1"/>
        <v>45931</v>
      </c>
      <c r="G56" s="55">
        <f ca="1"/>
        <v>111.51</v>
      </c>
      <c r="H56" s="78">
        <f ca="1"/>
        <v>45931</v>
      </c>
      <c r="I56" s="55">
        <f ca="1"/>
        <v>99.78515625</v>
      </c>
      <c r="J56" s="78">
        <f ca="1"/>
        <v>45931</v>
      </c>
      <c r="K56" s="55">
        <f ca="1"/>
        <v>101.2109375</v>
      </c>
      <c r="L56" s="78">
        <f ca="1"/>
        <v>45931</v>
      </c>
      <c r="M56" s="55">
        <f ca="1"/>
        <v>100.6328125</v>
      </c>
    </row>
    <row r="57" spans="2:13" x14ac:dyDescent="0.3">
      <c r="B57" s="95">
        <f ca="1"/>
        <v>45932</v>
      </c>
      <c r="C57" s="55">
        <f ca="1"/>
        <v>80.930000000000007</v>
      </c>
      <c r="D57" s="95">
        <f ca="1"/>
        <v>45932</v>
      </c>
      <c r="E57" s="55">
        <f ca="1"/>
        <v>99.79296875</v>
      </c>
      <c r="F57" s="95">
        <f ca="1"/>
        <v>45932</v>
      </c>
      <c r="G57" s="55">
        <f ca="1"/>
        <v>111.69</v>
      </c>
      <c r="H57" s="78">
        <f ca="1"/>
        <v>45932</v>
      </c>
      <c r="I57" s="55">
        <f ca="1"/>
        <v>99.79296875</v>
      </c>
      <c r="J57" s="78">
        <f ca="1"/>
        <v>45932</v>
      </c>
      <c r="K57" s="55">
        <f ca="1"/>
        <v>101.3359375</v>
      </c>
      <c r="L57" s="78">
        <f ca="1"/>
        <v>45932</v>
      </c>
      <c r="M57" s="55">
        <f ca="1"/>
        <v>100.96875</v>
      </c>
    </row>
    <row r="58" spans="2:13" x14ac:dyDescent="0.3">
      <c r="B58" s="95">
        <f ca="1"/>
        <v>45933</v>
      </c>
      <c r="C58" s="55">
        <f ca="1"/>
        <v>80.84</v>
      </c>
      <c r="D58" s="95">
        <f ca="1"/>
        <v>45933</v>
      </c>
      <c r="E58" s="55">
        <f ca="1"/>
        <v>99.58984375</v>
      </c>
      <c r="F58" s="95">
        <f ca="1"/>
        <v>45933</v>
      </c>
      <c r="G58" s="55">
        <f ca="1"/>
        <v>111.55</v>
      </c>
      <c r="H58" s="78">
        <f ca="1"/>
        <v>45933</v>
      </c>
      <c r="I58" s="55">
        <f ca="1"/>
        <v>99.58984375</v>
      </c>
      <c r="J58" s="78">
        <f ca="1"/>
        <v>45933</v>
      </c>
      <c r="K58" s="55">
        <f ca="1"/>
        <v>101.0390625</v>
      </c>
      <c r="L58" s="78">
        <f ca="1"/>
        <v>45933</v>
      </c>
      <c r="M58" s="55">
        <f ca="1"/>
        <v>100.59375</v>
      </c>
    </row>
    <row r="59" spans="2:13" x14ac:dyDescent="0.3">
      <c r="B59" s="95">
        <f ca="1"/>
        <v>45936</v>
      </c>
      <c r="C59" s="55">
        <f ca="1"/>
        <v>80.86</v>
      </c>
      <c r="D59" s="95">
        <f ca="1"/>
        <v>45936</v>
      </c>
      <c r="E59" s="55">
        <f ca="1"/>
        <v>99.5078125</v>
      </c>
      <c r="F59" s="95">
        <f ca="1"/>
        <v>45936</v>
      </c>
      <c r="G59" s="55">
        <f ca="1"/>
        <v>111.19</v>
      </c>
      <c r="H59" s="78">
        <f ca="1"/>
        <v>45936</v>
      </c>
      <c r="I59" s="55">
        <f ca="1"/>
        <v>99.5078125</v>
      </c>
      <c r="J59" s="78">
        <f ca="1"/>
        <v>45936</v>
      </c>
      <c r="K59" s="55">
        <f ca="1"/>
        <v>100.765625</v>
      </c>
      <c r="L59" s="78">
        <f ca="1"/>
        <v>45936</v>
      </c>
      <c r="M59" s="55">
        <f ca="1"/>
        <v>100.015625</v>
      </c>
    </row>
    <row r="60" spans="2:13" x14ac:dyDescent="0.3">
      <c r="B60" s="95">
        <f ca="1"/>
        <v>45937</v>
      </c>
      <c r="C60" s="55">
        <f ca="1"/>
        <v>80.77</v>
      </c>
      <c r="D60" s="95">
        <f ca="1"/>
        <v>45937</v>
      </c>
      <c r="E60" s="55">
        <f ca="1"/>
        <v>99.65625</v>
      </c>
      <c r="F60" s="95">
        <f ca="1"/>
        <v>45937</v>
      </c>
      <c r="G60" s="55">
        <f ca="1"/>
        <v>111.4</v>
      </c>
      <c r="H60" s="78">
        <f ca="1"/>
        <v>45937</v>
      </c>
      <c r="I60" s="55">
        <f ca="1"/>
        <v>99.65625</v>
      </c>
      <c r="J60" s="78">
        <f ca="1"/>
        <v>45937</v>
      </c>
      <c r="K60" s="55">
        <f ca="1"/>
        <v>101.0078125</v>
      </c>
      <c r="L60" s="78">
        <f ca="1"/>
        <v>45937</v>
      </c>
      <c r="M60" s="55">
        <f ca="1"/>
        <v>100.40625</v>
      </c>
    </row>
    <row r="61" spans="2:13" x14ac:dyDescent="0.3">
      <c r="B61" s="95">
        <f ca="1"/>
        <v>45938</v>
      </c>
      <c r="C61" s="55">
        <f ca="1"/>
        <v>80.825000000000003</v>
      </c>
      <c r="D61" s="95">
        <f ca="1"/>
        <v>45938</v>
      </c>
      <c r="E61" s="55">
        <f ca="1"/>
        <v>99.609375</v>
      </c>
      <c r="F61" s="95">
        <f ca="1"/>
        <v>45938</v>
      </c>
      <c r="G61" s="55">
        <f ca="1"/>
        <v>111.5287</v>
      </c>
      <c r="H61" s="78">
        <f ca="1"/>
        <v>45938</v>
      </c>
      <c r="I61" s="55">
        <f ca="1"/>
        <v>99.609375</v>
      </c>
      <c r="J61" s="78">
        <f ca="1"/>
        <v>45938</v>
      </c>
      <c r="K61" s="55">
        <f ca="1"/>
        <v>101.0703125</v>
      </c>
      <c r="L61" s="78">
        <f ca="1"/>
        <v>45938</v>
      </c>
      <c r="M61" s="55">
        <f ca="1"/>
        <v>100.7265625</v>
      </c>
    </row>
    <row r="62" spans="2:13" x14ac:dyDescent="0.3">
      <c r="H62" s="78"/>
      <c r="J62" s="78"/>
      <c r="L62" s="78"/>
    </row>
    <row r="63" spans="2:13" x14ac:dyDescent="0.3">
      <c r="H63" s="78"/>
      <c r="J63" s="78"/>
    </row>
    <row r="64" spans="2:13" x14ac:dyDescent="0.3">
      <c r="H64" s="78"/>
      <c r="J64" s="78"/>
    </row>
    <row r="65" spans="8:10" x14ac:dyDescent="0.3">
      <c r="H65" s="78"/>
      <c r="J65" s="78"/>
    </row>
    <row r="66" spans="8:10" x14ac:dyDescent="0.3">
      <c r="H66" s="78"/>
      <c r="J66" s="78"/>
    </row>
    <row r="67" spans="8:10" x14ac:dyDescent="0.3">
      <c r="H67" s="78"/>
      <c r="J67" s="78"/>
    </row>
    <row r="68" spans="8:10" x14ac:dyDescent="0.3">
      <c r="H68" s="78"/>
      <c r="J68" s="78"/>
    </row>
    <row r="69" spans="8:10" x14ac:dyDescent="0.3">
      <c r="H69" s="78"/>
      <c r="J69" s="78"/>
    </row>
    <row r="70" spans="8:10" x14ac:dyDescent="0.3">
      <c r="H70" s="78"/>
    </row>
    <row r="71" spans="8:10" x14ac:dyDescent="0.3">
      <c r="H71" s="78"/>
    </row>
    <row r="72" spans="8:10" x14ac:dyDescent="0.3">
      <c r="H72" s="78"/>
    </row>
    <row r="73" spans="8:10" x14ac:dyDescent="0.3">
      <c r="H73" s="78"/>
    </row>
  </sheetData>
  <mergeCells count="6">
    <mergeCell ref="Q12:S12"/>
    <mergeCell ref="B12:D12"/>
    <mergeCell ref="E12:G12"/>
    <mergeCell ref="H12:J12"/>
    <mergeCell ref="K12:M12"/>
    <mergeCell ref="N12:P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U73"/>
  <sheetViews>
    <sheetView zoomScale="80" zoomScaleNormal="80" workbookViewId="0">
      <selection activeCell="R27" sqref="R27"/>
    </sheetView>
  </sheetViews>
  <sheetFormatPr defaultRowHeight="14.4" x14ac:dyDescent="0.3"/>
  <cols>
    <col min="1" max="1" width="15.44140625" style="55" bestFit="1" customWidth="1"/>
    <col min="2" max="7" width="12.44140625" style="55" customWidth="1"/>
    <col min="8" max="16" width="10.77734375" style="55" customWidth="1"/>
    <col min="17" max="18" width="11.5546875" style="55" bestFit="1" customWidth="1"/>
    <col min="19" max="20" width="13.33203125" style="55" bestFit="1" customWidth="1"/>
    <col min="22" max="16384" width="8.88671875" style="55"/>
  </cols>
  <sheetData>
    <row r="1" spans="1:20" ht="15" thickBot="1" x14ac:dyDescent="0.35">
      <c r="A1" s="1"/>
      <c r="B1" s="1"/>
      <c r="C1" s="1"/>
      <c r="D1" s="1"/>
      <c r="E1" s="1"/>
      <c r="F1" s="1"/>
      <c r="G1" s="1"/>
      <c r="I1" s="54">
        <f ca="1">TODAY()-10</f>
        <v>45928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5" thickBot="1" x14ac:dyDescent="0.35">
      <c r="A2" s="30"/>
      <c r="B2" s="41" t="s">
        <v>0</v>
      </c>
      <c r="C2" s="45" t="s">
        <v>1</v>
      </c>
      <c r="D2" s="74" t="s">
        <v>1</v>
      </c>
      <c r="E2" s="92" t="s">
        <v>1</v>
      </c>
      <c r="F2" s="74" t="s">
        <v>1</v>
      </c>
      <c r="G2" s="75" t="s">
        <v>0</v>
      </c>
      <c r="I2" s="27" t="s">
        <v>0</v>
      </c>
      <c r="J2" s="1"/>
      <c r="K2" s="45" t="s">
        <v>1</v>
      </c>
      <c r="L2" s="2"/>
      <c r="M2" s="28" t="s">
        <v>1</v>
      </c>
      <c r="N2" s="1"/>
      <c r="O2" s="92" t="s">
        <v>0</v>
      </c>
      <c r="Q2" s="74" t="s">
        <v>0</v>
      </c>
      <c r="S2" s="75" t="s">
        <v>0</v>
      </c>
    </row>
    <row r="3" spans="1:20" x14ac:dyDescent="0.3">
      <c r="A3" s="15" t="s">
        <v>33</v>
      </c>
      <c r="B3" s="66" t="s">
        <v>68</v>
      </c>
      <c r="C3" s="76" t="s">
        <v>67</v>
      </c>
      <c r="D3" s="76" t="s">
        <v>69</v>
      </c>
      <c r="E3" s="76" t="s">
        <v>70</v>
      </c>
      <c r="F3" s="76" t="s">
        <v>75</v>
      </c>
      <c r="G3" s="67" t="s">
        <v>77</v>
      </c>
      <c r="I3" s="94" cm="1">
        <f t="array" aca="1" ref="I3:J10" ca="1">_xll.BDH($B$4, "PX_LAST, ", $I$1, "")</f>
        <v>45929</v>
      </c>
      <c r="J3" s="1">
        <f ca="1"/>
        <v>111.58</v>
      </c>
      <c r="K3" s="94" cm="1">
        <f t="array" aca="1" ref="K3:L10" ca="1">_xll.BDH($C$4, "PX_LAST, ", $I$1, "")</f>
        <v>45929</v>
      </c>
      <c r="L3" s="47">
        <f ca="1"/>
        <v>99.50390625</v>
      </c>
      <c r="M3" s="94" cm="1">
        <f t="array" aca="1" ref="M3:N10" ca="1">_xll.BDH($D$4, "PX_LAST, ", $I$1, "")</f>
        <v>45929</v>
      </c>
      <c r="N3" s="1">
        <f ca="1"/>
        <v>100.8828125</v>
      </c>
      <c r="O3" s="94" cm="1">
        <f t="array" aca="1" ref="O3:P10" ca="1">_xll.BDH($E$4, "PX_LAST, ", $I$1, "")</f>
        <v>45929</v>
      </c>
      <c r="P3" s="55">
        <f ca="1"/>
        <v>100.71875</v>
      </c>
      <c r="Q3" s="94" cm="1">
        <f t="array" aca="1" ref="Q3:R10" ca="1">_xll.BDH($F$4, "PX_LAST, ", $I$1, "")</f>
        <v>45929</v>
      </c>
      <c r="R3" s="55">
        <f ca="1"/>
        <v>84.11</v>
      </c>
      <c r="S3" s="94" cm="1">
        <f t="array" aca="1" ref="S3:T10" ca="1">_xll.BDH($G$4, "PX_LAST, ", $I$1, "")</f>
        <v>45929</v>
      </c>
      <c r="T3" s="55">
        <f ca="1"/>
        <v>99.7265625</v>
      </c>
    </row>
    <row r="4" spans="1:20" ht="32.25" customHeight="1" x14ac:dyDescent="0.3">
      <c r="A4" s="15" t="s">
        <v>34</v>
      </c>
      <c r="B4" s="68" t="s">
        <v>71</v>
      </c>
      <c r="C4" s="42" t="s">
        <v>79</v>
      </c>
      <c r="D4" s="42" t="s">
        <v>73</v>
      </c>
      <c r="E4" s="42" t="s">
        <v>72</v>
      </c>
      <c r="F4" s="42" t="s">
        <v>76</v>
      </c>
      <c r="G4" s="43" t="s">
        <v>78</v>
      </c>
      <c r="I4" s="95">
        <f ca="1"/>
        <v>45930</v>
      </c>
      <c r="J4" s="1">
        <f ca="1"/>
        <v>111.47</v>
      </c>
      <c r="K4" s="96">
        <f ca="1"/>
        <v>45930</v>
      </c>
      <c r="L4" s="1">
        <f ca="1"/>
        <v>99.47265625</v>
      </c>
      <c r="M4" s="96">
        <f ca="1"/>
        <v>45930</v>
      </c>
      <c r="N4" s="1">
        <f ca="1"/>
        <v>100.7890625</v>
      </c>
      <c r="O4" s="95">
        <f ca="1"/>
        <v>45930</v>
      </c>
      <c r="P4" s="55">
        <f ca="1"/>
        <v>100.28125</v>
      </c>
      <c r="Q4" s="95">
        <f ca="1"/>
        <v>45930</v>
      </c>
      <c r="R4" s="55">
        <f ca="1"/>
        <v>84.11</v>
      </c>
      <c r="S4" s="96">
        <f ca="1"/>
        <v>45930</v>
      </c>
      <c r="T4" s="55">
        <f ca="1"/>
        <v>99.6640625</v>
      </c>
    </row>
    <row r="5" spans="1:20" x14ac:dyDescent="0.3">
      <c r="A5" s="15" t="s">
        <v>8</v>
      </c>
      <c r="B5" s="69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95">
        <f ca="1"/>
        <v>45931</v>
      </c>
      <c r="J5" s="1">
        <f ca="1"/>
        <v>111.51</v>
      </c>
      <c r="K5" s="96">
        <f ca="1"/>
        <v>45931</v>
      </c>
      <c r="L5" s="1">
        <f ca="1"/>
        <v>99.78515625</v>
      </c>
      <c r="M5" s="96">
        <f ca="1"/>
        <v>45931</v>
      </c>
      <c r="N5" s="1">
        <f ca="1"/>
        <v>101.2109375</v>
      </c>
      <c r="O5" s="95">
        <f ca="1"/>
        <v>45931</v>
      </c>
      <c r="P5" s="55">
        <f ca="1"/>
        <v>100.6328125</v>
      </c>
      <c r="Q5" s="95">
        <f ca="1"/>
        <v>45931</v>
      </c>
      <c r="R5" s="55">
        <f ca="1"/>
        <v>84.07</v>
      </c>
      <c r="S5" s="96">
        <f ca="1"/>
        <v>45931</v>
      </c>
      <c r="T5" s="55">
        <f ca="1"/>
        <v>100.0390625</v>
      </c>
    </row>
    <row r="6" spans="1:20" x14ac:dyDescent="0.3">
      <c r="A6" s="15" t="s">
        <v>10</v>
      </c>
      <c r="B6" s="71">
        <v>0</v>
      </c>
      <c r="C6" s="10">
        <f>(3+5/8)*0.01</f>
        <v>3.6249999999999998E-2</v>
      </c>
      <c r="D6" s="77">
        <v>4.2500000000000003E-2</v>
      </c>
      <c r="E6" s="77">
        <v>4.7500000000000001E-2</v>
      </c>
      <c r="F6" s="77">
        <v>0</v>
      </c>
      <c r="G6" s="10">
        <f>(3+5/8)*0.01</f>
        <v>3.6249999999999998E-2</v>
      </c>
      <c r="I6" s="95">
        <f ca="1"/>
        <v>45932</v>
      </c>
      <c r="J6" s="1">
        <f ca="1"/>
        <v>111.69</v>
      </c>
      <c r="K6" s="96">
        <f ca="1"/>
        <v>45932</v>
      </c>
      <c r="L6" s="1">
        <f ca="1"/>
        <v>99.79296875</v>
      </c>
      <c r="M6" s="96">
        <f ca="1"/>
        <v>45932</v>
      </c>
      <c r="N6" s="1">
        <f ca="1"/>
        <v>101.3359375</v>
      </c>
      <c r="O6" s="95">
        <f ca="1"/>
        <v>45932</v>
      </c>
      <c r="P6" s="55">
        <f ca="1"/>
        <v>100.96875</v>
      </c>
      <c r="Q6" s="95">
        <f ca="1"/>
        <v>45932</v>
      </c>
      <c r="R6" s="55">
        <f ca="1"/>
        <v>84.16</v>
      </c>
      <c r="S6" s="96">
        <f ca="1"/>
        <v>45932</v>
      </c>
      <c r="T6" s="55">
        <f ca="1"/>
        <v>100.0859375</v>
      </c>
    </row>
    <row r="7" spans="1:20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77">
        <v>4.2299999999999997E-2</v>
      </c>
      <c r="F7" s="77">
        <v>4.2299999999999997E-2</v>
      </c>
      <c r="G7" s="10">
        <v>4.2299999999999997E-2</v>
      </c>
      <c r="I7" s="96">
        <f ca="1"/>
        <v>45933</v>
      </c>
      <c r="J7" s="1">
        <f ca="1"/>
        <v>111.55</v>
      </c>
      <c r="K7" s="96">
        <f ca="1"/>
        <v>45933</v>
      </c>
      <c r="L7" s="1">
        <f ca="1"/>
        <v>99.58984375</v>
      </c>
      <c r="M7" s="96">
        <f ca="1"/>
        <v>45933</v>
      </c>
      <c r="N7" s="1">
        <f ca="1"/>
        <v>101.0390625</v>
      </c>
      <c r="O7" s="96">
        <f ca="1"/>
        <v>45933</v>
      </c>
      <c r="P7" s="1">
        <f ca="1"/>
        <v>100.59375</v>
      </c>
      <c r="Q7" s="96">
        <f ca="1"/>
        <v>45933</v>
      </c>
      <c r="R7" s="1">
        <f ca="1"/>
        <v>84.06</v>
      </c>
      <c r="S7" s="96">
        <f ca="1"/>
        <v>45933</v>
      </c>
      <c r="T7" s="1">
        <f ca="1"/>
        <v>99.8203125</v>
      </c>
    </row>
    <row r="8" spans="1:20" x14ac:dyDescent="0.3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6">
        <f ca="1"/>
        <v>45936</v>
      </c>
      <c r="J8" s="1">
        <f ca="1"/>
        <v>111.19</v>
      </c>
      <c r="K8" s="96">
        <f ca="1"/>
        <v>45936</v>
      </c>
      <c r="L8" s="1">
        <f ca="1"/>
        <v>99.50390625</v>
      </c>
      <c r="M8" s="96">
        <f ca="1"/>
        <v>45936</v>
      </c>
      <c r="N8" s="1">
        <f ca="1"/>
        <v>100.765625</v>
      </c>
      <c r="O8" s="96">
        <f ca="1"/>
        <v>45936</v>
      </c>
      <c r="P8" s="1">
        <f ca="1"/>
        <v>100.015625</v>
      </c>
      <c r="Q8" s="96">
        <f ca="1"/>
        <v>45936</v>
      </c>
      <c r="R8" s="1">
        <f ca="1"/>
        <v>83.89</v>
      </c>
      <c r="S8" s="96">
        <f ca="1"/>
        <v>45936</v>
      </c>
      <c r="T8" s="1">
        <f ca="1"/>
        <v>99.6484375</v>
      </c>
    </row>
    <row r="9" spans="1:20" x14ac:dyDescent="0.3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96">
        <f ca="1"/>
        <v>45937</v>
      </c>
      <c r="J9" s="1">
        <f ca="1"/>
        <v>111.4</v>
      </c>
      <c r="K9" s="96">
        <f ca="1"/>
        <v>45937</v>
      </c>
      <c r="L9" s="1">
        <f ca="1"/>
        <v>99.65234375</v>
      </c>
      <c r="M9" s="96">
        <f ca="1"/>
        <v>45937</v>
      </c>
      <c r="N9" s="1">
        <f ca="1"/>
        <v>101.0078125</v>
      </c>
      <c r="O9" s="96">
        <f ca="1"/>
        <v>45937</v>
      </c>
      <c r="P9" s="1">
        <f ca="1"/>
        <v>100.40625</v>
      </c>
      <c r="Q9" s="96">
        <f ca="1"/>
        <v>45937</v>
      </c>
      <c r="R9" s="1">
        <f ca="1"/>
        <v>84</v>
      </c>
      <c r="S9" s="96">
        <f ca="1"/>
        <v>45937</v>
      </c>
      <c r="T9" s="1">
        <f ca="1"/>
        <v>99.8671875</v>
      </c>
    </row>
    <row r="10" spans="1:20" ht="15" thickBot="1" x14ac:dyDescent="0.35">
      <c r="A10" s="16" t="s">
        <v>29</v>
      </c>
      <c r="B10" s="11" cm="1">
        <f t="array" ref="B10">_xll.BDP(B4,"px_last")</f>
        <v>111.46810000000001</v>
      </c>
      <c r="C10" s="21" cm="1">
        <f t="array" ref="C10">_xll.BDP(C4,"px_last")</f>
        <v>99.625</v>
      </c>
      <c r="D10" s="21" cm="1">
        <f t="array" ref="D10">_xll.BDP(D4,"px_last")</f>
        <v>101.078125</v>
      </c>
      <c r="E10" s="21" cm="1">
        <f t="array" ref="E10">_xll.BDP(E4,"px_last")</f>
        <v>100.734375</v>
      </c>
      <c r="F10" s="21" cm="1">
        <f t="array" ref="F10">_xll.BDP(F4,"px_last")</f>
        <v>84.034999999999997</v>
      </c>
      <c r="G10" s="22" cm="1">
        <f t="array" ref="G10">_xll.BDP(G4,"px_last")</f>
        <v>99.875</v>
      </c>
      <c r="H10" s="1"/>
      <c r="I10" s="96">
        <f ca="1"/>
        <v>45938</v>
      </c>
      <c r="J10" s="1">
        <f ca="1"/>
        <v>111.41500000000001</v>
      </c>
      <c r="K10" s="96">
        <f ca="1"/>
        <v>45938</v>
      </c>
      <c r="L10" s="1">
        <f ca="1"/>
        <v>99.57421875</v>
      </c>
      <c r="M10" s="96">
        <f ca="1"/>
        <v>45938</v>
      </c>
      <c r="N10" s="1">
        <f ca="1"/>
        <v>100.9921875</v>
      </c>
      <c r="O10" s="96">
        <f ca="1"/>
        <v>45938</v>
      </c>
      <c r="P10" s="1">
        <f ca="1"/>
        <v>100.515625</v>
      </c>
      <c r="Q10" s="96">
        <f ca="1"/>
        <v>45938</v>
      </c>
      <c r="R10" s="1">
        <f ca="1"/>
        <v>84.004999999999995</v>
      </c>
      <c r="S10" s="96">
        <f ca="1"/>
        <v>45938</v>
      </c>
      <c r="T10" s="1">
        <f ca="1"/>
        <v>99.8046875</v>
      </c>
    </row>
    <row r="11" spans="1:20" ht="15" thickBot="1" x14ac:dyDescent="0.35">
      <c r="C11" s="1"/>
      <c r="D11" s="1"/>
      <c r="E11" s="1"/>
      <c r="F11" s="1"/>
      <c r="G11" s="1"/>
      <c r="H11" s="1"/>
      <c r="I11" s="96"/>
      <c r="J11" s="1"/>
      <c r="K11" s="96"/>
      <c r="L11" s="1"/>
      <c r="M11" s="96"/>
      <c r="N11" s="1"/>
      <c r="O11" s="96"/>
      <c r="P11" s="1"/>
      <c r="Q11" s="96"/>
      <c r="R11" s="1"/>
      <c r="S11" s="96"/>
      <c r="T11" s="1"/>
    </row>
    <row r="12" spans="1:20" ht="15" thickBot="1" x14ac:dyDescent="0.35">
      <c r="A12" s="40" t="s">
        <v>23</v>
      </c>
      <c r="B12" s="80" t="s">
        <v>0</v>
      </c>
      <c r="C12" s="81"/>
      <c r="D12" s="81"/>
      <c r="E12" s="86" t="s">
        <v>1</v>
      </c>
      <c r="F12" s="87"/>
      <c r="G12" s="88"/>
      <c r="H12" s="83" t="s">
        <v>1</v>
      </c>
      <c r="I12" s="97"/>
      <c r="J12" s="85"/>
      <c r="K12" s="99" t="s">
        <v>1</v>
      </c>
      <c r="L12" s="93"/>
      <c r="M12" s="102"/>
      <c r="N12" s="83" t="s">
        <v>1</v>
      </c>
      <c r="O12" s="97"/>
      <c r="P12" s="85"/>
      <c r="Q12" s="101" t="s">
        <v>0</v>
      </c>
      <c r="R12" s="90"/>
      <c r="S12" s="104"/>
      <c r="T12" s="40" t="s">
        <v>16</v>
      </c>
    </row>
    <row r="13" spans="1:20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98" t="s">
        <v>21</v>
      </c>
      <c r="J13" s="22" t="s">
        <v>20</v>
      </c>
      <c r="K13" s="100" t="s">
        <v>17</v>
      </c>
      <c r="L13" s="21" t="s">
        <v>21</v>
      </c>
      <c r="M13" s="103" t="s">
        <v>20</v>
      </c>
      <c r="N13" s="11" t="s">
        <v>17</v>
      </c>
      <c r="O13" s="98" t="s">
        <v>21</v>
      </c>
      <c r="P13" s="22" t="s">
        <v>20</v>
      </c>
      <c r="Q13" s="100" t="s">
        <v>17</v>
      </c>
      <c r="R13" s="21" t="s">
        <v>21</v>
      </c>
      <c r="S13" s="103" t="s">
        <v>20</v>
      </c>
      <c r="T13" s="16"/>
    </row>
    <row r="14" spans="1:20" x14ac:dyDescent="0.3">
      <c r="A14" s="37">
        <v>45925</v>
      </c>
      <c r="B14" s="46">
        <v>110.955</v>
      </c>
      <c r="C14" s="47"/>
      <c r="D14" s="47"/>
      <c r="E14" s="46">
        <f>99+12/32+3/8*1/32</f>
        <v>99.38671875</v>
      </c>
      <c r="F14" s="47"/>
      <c r="G14" s="48"/>
      <c r="H14" s="46">
        <f>100+18/32+3/4*1/32</f>
        <v>100.5859375</v>
      </c>
      <c r="I14" s="47"/>
      <c r="J14" s="48"/>
      <c r="K14" s="46">
        <f>99+24/32</f>
        <v>99.75</v>
      </c>
      <c r="L14" s="47"/>
      <c r="M14" s="48"/>
      <c r="N14" s="46">
        <v>83.814999999999998</v>
      </c>
      <c r="O14" s="47"/>
      <c r="P14" s="48"/>
      <c r="Q14" s="46">
        <f>99+18/32+3/4*1/32</f>
        <v>99.5859375</v>
      </c>
      <c r="R14" s="47"/>
      <c r="S14" s="48"/>
      <c r="T14" s="15"/>
    </row>
    <row r="15" spans="1:20" x14ac:dyDescent="0.3">
      <c r="A15" s="37">
        <v>45926</v>
      </c>
      <c r="B15" s="46">
        <v>111.21</v>
      </c>
      <c r="C15" s="47">
        <f>(B15/$B$14-1)*$B$5</f>
        <v>82161.687170472404</v>
      </c>
      <c r="D15" s="47">
        <f>-1*(A15-$A$14)/360*$B$7*$B$5</f>
        <v>-4200.625</v>
      </c>
      <c r="E15" s="46">
        <v>99.36328125</v>
      </c>
      <c r="F15" s="47">
        <f>(E15-$E$14)/100*$C$5</f>
        <v>-3925.78125</v>
      </c>
      <c r="G15" s="48">
        <f>(A15-$A$14)/360*$C$6*$C$5-(A15-$A$14)/360*$C$7*$C$5*$E$14/100</f>
        <v>-269.4229139539932</v>
      </c>
      <c r="H15" s="46">
        <v>100.5859375</v>
      </c>
      <c r="I15" s="47">
        <f>(H15-$H$14)/100*$D$5</f>
        <v>0</v>
      </c>
      <c r="J15" s="48">
        <f>(A15-$A$14)/360*$D$6*$D$5-(A15-$A$14)/360*$D$7*$D$5*$H$14/100</f>
        <v>-0.99690755208325754</v>
      </c>
      <c r="K15" s="46">
        <v>100</v>
      </c>
      <c r="L15" s="47">
        <f>(K15-$K$14)/100*$E$5</f>
        <v>26250</v>
      </c>
      <c r="M15" s="48">
        <f>(A15-$A$14)/360*$E$6*$E$5-(A15-$A$14)/360*$E$7*$E$5*$K$14/100</f>
        <v>154.75104166666665</v>
      </c>
      <c r="N15" s="46">
        <v>83.93</v>
      </c>
      <c r="O15" s="47">
        <f>(N15/$N$14-1)*$F$5</f>
        <v>68603.471932238142</v>
      </c>
      <c r="P15" s="48">
        <f>-1*(A15-$A$14)/360*$F$7*$F$5</f>
        <v>-5875</v>
      </c>
      <c r="Q15" s="46">
        <v>99.4921875</v>
      </c>
      <c r="R15" s="47">
        <f>(Q15-$Q$14)/100*$G$5</f>
        <v>-47578.125</v>
      </c>
      <c r="S15" s="48">
        <f>(A15-$A$14)/360*$G$6*$G$5-(A15-$A$14)/360*$G$7*$G$5*$Q$14/100</f>
        <v>-828.19087999131898</v>
      </c>
      <c r="T15" s="106">
        <f>C15+D15-F15-G15-I15-J15-L15-M15-O15-P15+R15+S15</f>
        <v>-55382.275611917656</v>
      </c>
    </row>
    <row r="16" spans="1:20" x14ac:dyDescent="0.3">
      <c r="A16" s="37">
        <v>45929</v>
      </c>
      <c r="B16" s="46">
        <v>111.58</v>
      </c>
      <c r="C16" s="47">
        <f t="shared" ref="C16:C23" si="0">(B16/$B$14-1)*$B$5</f>
        <v>201376.68424135796</v>
      </c>
      <c r="D16" s="47">
        <f t="shared" ref="D16:D23" si="1">-1*(A16-$A$14)/360*$B$7*$B$5</f>
        <v>-16802.5</v>
      </c>
      <c r="E16" s="46">
        <v>99.50390625</v>
      </c>
      <c r="F16" s="47">
        <f t="shared" ref="F16:F23" si="2">(E16-$E$14)/100*$C$5</f>
        <v>19628.90625</v>
      </c>
      <c r="G16" s="48">
        <f t="shared" ref="G16:G23" si="3">(A16-$A$14)/360*$C$6*$C$5-(A16-$A$14)/360*$C$7*$C$5*$E$14/100</f>
        <v>-1077.6916558159728</v>
      </c>
      <c r="H16" s="46">
        <v>100.8828125</v>
      </c>
      <c r="I16" s="47">
        <f t="shared" ref="I16:I23" si="4">(H16-$H$14)/100*$D$5</f>
        <v>22265.625</v>
      </c>
      <c r="J16" s="48">
        <f t="shared" ref="J16:J23" si="5">(A16-$A$14)/360*$D$6*$D$5-(A16-$A$14)/360*$D$7*$D$5*$H$14/100</f>
        <v>-3.9876302083330302</v>
      </c>
      <c r="K16" s="46">
        <v>100.71875</v>
      </c>
      <c r="L16" s="47">
        <f t="shared" ref="L16:L23" si="6">(K16-$K$14)/100*$E$5</f>
        <v>101718.75</v>
      </c>
      <c r="M16" s="48">
        <f t="shared" ref="M16:M23" si="7">(A16-$A$14)/360*$E$6*$E$5-(A16-$A$14)/360*$E$7*$E$5*$K$14/100</f>
        <v>619.00416666666661</v>
      </c>
      <c r="N16" s="46">
        <v>84.11</v>
      </c>
      <c r="O16" s="47">
        <f t="shared" ref="O16:O23" si="8">(N16/$N$14-1)*$F$5</f>
        <v>175982.81930442105</v>
      </c>
      <c r="P16" s="48">
        <f t="shared" ref="P16:P23" si="9">-1*(A16-$A$14)/360*$F$7*$F$5</f>
        <v>-23500</v>
      </c>
      <c r="Q16" s="46">
        <v>99.7265625</v>
      </c>
      <c r="R16" s="47">
        <f t="shared" ref="R16:R23" si="10">(Q16-$Q$14)/100*$G$5</f>
        <v>71367.1875</v>
      </c>
      <c r="S16" s="48">
        <f t="shared" ref="S16:S23" si="11">(A16-$A$14)/360*$G$6*$G$5-(A16-$A$14)/360*$G$7*$G$5*$Q$14/100</f>
        <v>-3312.7635199652759</v>
      </c>
      <c r="T16" s="106">
        <f t="shared" ref="T16:T26" si="12">C16+D16-F16-G16-I16-J16-L16-M16-O16-P16+R16+S16</f>
        <v>-43004.817213670685</v>
      </c>
    </row>
    <row r="17" spans="1:20" x14ac:dyDescent="0.3">
      <c r="A17" s="37">
        <v>45930</v>
      </c>
      <c r="B17" s="46">
        <v>111.47</v>
      </c>
      <c r="C17" s="47">
        <f t="shared" si="0"/>
        <v>165934.38781487718</v>
      </c>
      <c r="D17" s="47">
        <f t="shared" si="1"/>
        <v>-21003.124999999996</v>
      </c>
      <c r="E17" s="46">
        <v>99.47265625</v>
      </c>
      <c r="F17" s="47">
        <f t="shared" si="2"/>
        <v>14394.53125</v>
      </c>
      <c r="G17" s="48">
        <f t="shared" si="3"/>
        <v>-1347.1145697699631</v>
      </c>
      <c r="H17" s="46">
        <v>100.7890625</v>
      </c>
      <c r="I17" s="47">
        <f t="shared" si="4"/>
        <v>15234.375</v>
      </c>
      <c r="J17" s="48">
        <f t="shared" si="5"/>
        <v>-4.9845377604160603</v>
      </c>
      <c r="K17" s="46">
        <v>100.28125</v>
      </c>
      <c r="L17" s="47">
        <f t="shared" si="6"/>
        <v>55781.250000000007</v>
      </c>
      <c r="M17" s="48">
        <f t="shared" si="7"/>
        <v>773.75520833333485</v>
      </c>
      <c r="N17" s="46">
        <v>84.11</v>
      </c>
      <c r="O17" s="47">
        <f t="shared" si="8"/>
        <v>175982.81930442105</v>
      </c>
      <c r="P17" s="48">
        <f t="shared" si="9"/>
        <v>-29374.999999999996</v>
      </c>
      <c r="Q17" s="46">
        <v>99.6640625</v>
      </c>
      <c r="R17" s="47">
        <f t="shared" si="10"/>
        <v>39648.4375</v>
      </c>
      <c r="S17" s="48">
        <f t="shared" si="11"/>
        <v>-4140.954399956594</v>
      </c>
      <c r="T17" s="106">
        <f t="shared" si="12"/>
        <v>-51000.88574030342</v>
      </c>
    </row>
    <row r="18" spans="1:20" x14ac:dyDescent="0.3">
      <c r="A18" s="37">
        <v>45931</v>
      </c>
      <c r="B18" s="46">
        <v>111.51</v>
      </c>
      <c r="C18" s="47">
        <f t="shared" si="0"/>
        <v>178822.49560632836</v>
      </c>
      <c r="D18" s="47">
        <f t="shared" si="1"/>
        <v>-25203.749999999996</v>
      </c>
      <c r="E18" s="46">
        <v>99.78515625</v>
      </c>
      <c r="F18" s="47">
        <f t="shared" si="2"/>
        <v>66738.28125</v>
      </c>
      <c r="G18" s="48">
        <f t="shared" si="3"/>
        <v>-1616.537483723956</v>
      </c>
      <c r="H18" s="46">
        <v>101.2109375</v>
      </c>
      <c r="I18" s="47">
        <f t="shared" si="4"/>
        <v>46875</v>
      </c>
      <c r="J18" s="48">
        <f t="shared" si="5"/>
        <v>-5.9814453124990905</v>
      </c>
      <c r="K18" s="46">
        <v>100.6328125</v>
      </c>
      <c r="L18" s="47">
        <f t="shared" si="6"/>
        <v>92695.312499999985</v>
      </c>
      <c r="M18" s="48">
        <f t="shared" si="7"/>
        <v>928.50625000000127</v>
      </c>
      <c r="N18" s="46">
        <v>84.07</v>
      </c>
      <c r="O18" s="47">
        <f t="shared" si="8"/>
        <v>152120.74211059522</v>
      </c>
      <c r="P18" s="48">
        <f t="shared" si="9"/>
        <v>-35249.999999999993</v>
      </c>
      <c r="Q18" s="46">
        <v>100.0390625</v>
      </c>
      <c r="R18" s="47">
        <f t="shared" si="10"/>
        <v>229960.93749999997</v>
      </c>
      <c r="S18" s="48">
        <f t="shared" si="11"/>
        <v>-4969.1452799479157</v>
      </c>
      <c r="T18" s="106">
        <f t="shared" si="12"/>
        <v>56125.214644821666</v>
      </c>
    </row>
    <row r="19" spans="1:20" x14ac:dyDescent="0.3">
      <c r="A19" s="37">
        <v>45932</v>
      </c>
      <c r="B19" s="46">
        <v>111.69</v>
      </c>
      <c r="C19" s="47">
        <f t="shared" si="0"/>
        <v>236818.98066783874</v>
      </c>
      <c r="D19" s="47">
        <f t="shared" si="1"/>
        <v>-29404.375</v>
      </c>
      <c r="E19" s="46">
        <v>99.79296875</v>
      </c>
      <c r="F19" s="47">
        <f t="shared" si="2"/>
        <v>68046.875</v>
      </c>
      <c r="G19" s="48">
        <f t="shared" si="3"/>
        <v>-1885.9603976779508</v>
      </c>
      <c r="H19" s="46">
        <v>101.3359375</v>
      </c>
      <c r="I19" s="47">
        <f t="shared" si="4"/>
        <v>56250</v>
      </c>
      <c r="J19" s="48">
        <f t="shared" si="5"/>
        <v>-6.9783528645830302</v>
      </c>
      <c r="K19" s="46">
        <v>100.96875</v>
      </c>
      <c r="L19" s="47">
        <f t="shared" si="6"/>
        <v>127968.75</v>
      </c>
      <c r="M19" s="48">
        <f t="shared" si="7"/>
        <v>1083.2572916666686</v>
      </c>
      <c r="N19" s="46">
        <v>84.16</v>
      </c>
      <c r="O19" s="47">
        <f t="shared" si="8"/>
        <v>205810.41579669225</v>
      </c>
      <c r="P19" s="48">
        <f t="shared" si="9"/>
        <v>-41125</v>
      </c>
      <c r="Q19" s="46">
        <v>100.0859375</v>
      </c>
      <c r="R19" s="47">
        <f t="shared" si="10"/>
        <v>253750</v>
      </c>
      <c r="S19" s="48">
        <f t="shared" si="11"/>
        <v>-5797.3361599392374</v>
      </c>
      <c r="T19" s="106">
        <f t="shared" si="12"/>
        <v>39225.910170083109</v>
      </c>
    </row>
    <row r="20" spans="1:20" x14ac:dyDescent="0.3">
      <c r="A20" s="37">
        <v>45933</v>
      </c>
      <c r="B20" s="46">
        <v>111.55</v>
      </c>
      <c r="C20" s="47">
        <f t="shared" si="0"/>
        <v>191710.60339777157</v>
      </c>
      <c r="D20" s="47">
        <f t="shared" si="1"/>
        <v>-33605</v>
      </c>
      <c r="E20" s="46">
        <v>99.58984375</v>
      </c>
      <c r="F20" s="47">
        <f t="shared" si="2"/>
        <v>34023.4375</v>
      </c>
      <c r="G20" s="48">
        <f t="shared" si="3"/>
        <v>-2155.3833116319456</v>
      </c>
      <c r="H20" s="46">
        <v>101.0390625</v>
      </c>
      <c r="I20" s="47">
        <f t="shared" si="4"/>
        <v>33984.375</v>
      </c>
      <c r="J20" s="48">
        <f t="shared" si="5"/>
        <v>-7.9752604166660603</v>
      </c>
      <c r="K20" s="46">
        <v>100.59375</v>
      </c>
      <c r="L20" s="47">
        <f t="shared" si="6"/>
        <v>88593.75</v>
      </c>
      <c r="M20" s="48">
        <f t="shared" si="7"/>
        <v>1238.0083333333332</v>
      </c>
      <c r="N20" s="46">
        <v>84.06</v>
      </c>
      <c r="O20" s="47">
        <f t="shared" si="8"/>
        <v>146155.22281214988</v>
      </c>
      <c r="P20" s="48">
        <f t="shared" si="9"/>
        <v>-47000</v>
      </c>
      <c r="Q20" s="46">
        <v>99.8203125</v>
      </c>
      <c r="R20" s="47">
        <f t="shared" si="10"/>
        <v>118945.3125</v>
      </c>
      <c r="S20" s="48">
        <f t="shared" si="11"/>
        <v>-6625.5270399305518</v>
      </c>
      <c r="T20" s="106">
        <f t="shared" si="12"/>
        <v>15593.953784406411</v>
      </c>
    </row>
    <row r="21" spans="1:20" x14ac:dyDescent="0.3">
      <c r="A21" s="37">
        <v>45936</v>
      </c>
      <c r="B21" s="46">
        <v>111.19</v>
      </c>
      <c r="C21" s="47">
        <f t="shared" si="0"/>
        <v>75717.633274750784</v>
      </c>
      <c r="D21" s="47">
        <f t="shared" si="1"/>
        <v>-46206.874999999993</v>
      </c>
      <c r="E21" s="46">
        <v>99.50390625</v>
      </c>
      <c r="F21" s="47">
        <f t="shared" si="2"/>
        <v>19628.90625</v>
      </c>
      <c r="G21" s="48">
        <f t="shared" si="3"/>
        <v>-2963.6520534939227</v>
      </c>
      <c r="H21" s="46">
        <v>100.765625</v>
      </c>
      <c r="I21" s="47">
        <f t="shared" si="4"/>
        <v>13476.5625</v>
      </c>
      <c r="J21" s="48">
        <f t="shared" si="5"/>
        <v>-10.96598307291606</v>
      </c>
      <c r="K21" s="46">
        <v>100.015625</v>
      </c>
      <c r="L21" s="47">
        <f t="shared" si="6"/>
        <v>27890.625000000004</v>
      </c>
      <c r="M21" s="48">
        <f t="shared" si="7"/>
        <v>1702.2614583333343</v>
      </c>
      <c r="N21" s="46">
        <v>83.89</v>
      </c>
      <c r="O21" s="47">
        <f t="shared" si="8"/>
        <v>44741.394738412324</v>
      </c>
      <c r="P21" s="48">
        <f t="shared" si="9"/>
        <v>-64624.999999999993</v>
      </c>
      <c r="Q21" s="46">
        <v>99.6484375</v>
      </c>
      <c r="R21" s="47">
        <f t="shared" si="10"/>
        <v>31718.75</v>
      </c>
      <c r="S21" s="48">
        <f t="shared" si="11"/>
        <v>-9110.0996799045024</v>
      </c>
      <c r="T21" s="106">
        <f t="shared" si="12"/>
        <v>12279.276684667464</v>
      </c>
    </row>
    <row r="22" spans="1:20" x14ac:dyDescent="0.3">
      <c r="A22" s="37">
        <v>45937</v>
      </c>
      <c r="B22" s="46">
        <v>111.4</v>
      </c>
      <c r="C22" s="47">
        <f t="shared" si="0"/>
        <v>143380.19917984758</v>
      </c>
      <c r="D22" s="47">
        <f t="shared" si="1"/>
        <v>-50407.499999999993</v>
      </c>
      <c r="E22" s="46">
        <v>99.65234375</v>
      </c>
      <c r="F22" s="47">
        <f t="shared" si="2"/>
        <v>44492.1875</v>
      </c>
      <c r="G22" s="48">
        <f t="shared" si="3"/>
        <v>-3233.0749674479121</v>
      </c>
      <c r="H22" s="46">
        <v>101.0078125</v>
      </c>
      <c r="I22" s="47">
        <f t="shared" si="4"/>
        <v>31640.625000000004</v>
      </c>
      <c r="J22" s="48">
        <f t="shared" si="5"/>
        <v>-11.962890624998181</v>
      </c>
      <c r="K22" s="46">
        <v>100.40625</v>
      </c>
      <c r="L22" s="47">
        <f t="shared" si="6"/>
        <v>68906.25</v>
      </c>
      <c r="M22" s="48">
        <f t="shared" si="7"/>
        <v>1857.0125000000025</v>
      </c>
      <c r="N22" s="46">
        <v>84</v>
      </c>
      <c r="O22" s="47">
        <f t="shared" si="8"/>
        <v>110362.10702142224</v>
      </c>
      <c r="P22" s="48">
        <f t="shared" si="9"/>
        <v>-70499.999999999985</v>
      </c>
      <c r="Q22" s="46">
        <v>99.8671875</v>
      </c>
      <c r="R22" s="47">
        <f t="shared" si="10"/>
        <v>142734.375</v>
      </c>
      <c r="S22" s="48">
        <f t="shared" si="11"/>
        <v>-9938.2905598958314</v>
      </c>
      <c r="T22" s="106">
        <f t="shared" si="12"/>
        <v>42255.63945660241</v>
      </c>
    </row>
    <row r="23" spans="1:20" x14ac:dyDescent="0.3">
      <c r="A23" s="37">
        <v>45938</v>
      </c>
      <c r="B23" s="46">
        <v>111.41500000000001</v>
      </c>
      <c r="C23" s="47">
        <f t="shared" si="0"/>
        <v>148213.23960164472</v>
      </c>
      <c r="D23" s="47">
        <f t="shared" si="1"/>
        <v>-54608.124999999993</v>
      </c>
      <c r="E23" s="46">
        <v>99.56640625</v>
      </c>
      <c r="F23" s="47">
        <f t="shared" si="2"/>
        <v>30097.65625</v>
      </c>
      <c r="G23" s="48">
        <f t="shared" si="3"/>
        <v>-3502.497881401905</v>
      </c>
      <c r="H23" s="46">
        <v>100.9921875</v>
      </c>
      <c r="I23" s="47">
        <f t="shared" si="4"/>
        <v>30468.75</v>
      </c>
      <c r="J23" s="48">
        <f t="shared" si="5"/>
        <v>-12.959798177082121</v>
      </c>
      <c r="K23" s="46">
        <v>100.515625</v>
      </c>
      <c r="L23" s="47">
        <f t="shared" si="6"/>
        <v>80390.625</v>
      </c>
      <c r="M23" s="48">
        <f t="shared" si="7"/>
        <v>2011.7635416666672</v>
      </c>
      <c r="N23" s="46">
        <v>84.004999999999995</v>
      </c>
      <c r="O23" s="47">
        <f t="shared" si="8"/>
        <v>113344.86667063937</v>
      </c>
      <c r="P23" s="48">
        <f t="shared" si="9"/>
        <v>-76374.999999999985</v>
      </c>
      <c r="Q23" s="46">
        <v>99.8046875</v>
      </c>
      <c r="R23" s="47">
        <f t="shared" si="10"/>
        <v>111015.62500000001</v>
      </c>
      <c r="S23" s="48">
        <f t="shared" si="11"/>
        <v>-10766.481439887139</v>
      </c>
      <c r="T23" s="106">
        <f t="shared" si="12"/>
        <v>17431.054379030538</v>
      </c>
    </row>
    <row r="24" spans="1:20" x14ac:dyDescent="0.3">
      <c r="A24" s="37">
        <v>45939</v>
      </c>
      <c r="B24" s="46"/>
      <c r="C24" s="47"/>
      <c r="D24" s="47"/>
      <c r="E24" s="46"/>
      <c r="F24" s="47"/>
      <c r="G24" s="48"/>
      <c r="H24" s="46"/>
      <c r="I24" s="47"/>
      <c r="J24" s="48"/>
      <c r="K24" s="46"/>
      <c r="L24" s="47"/>
      <c r="M24" s="48"/>
      <c r="N24" s="46"/>
      <c r="O24" s="47"/>
      <c r="P24" s="48"/>
      <c r="Q24" s="46"/>
      <c r="R24" s="47"/>
      <c r="S24" s="48"/>
      <c r="T24" s="106"/>
    </row>
    <row r="25" spans="1:20" x14ac:dyDescent="0.3">
      <c r="A25" s="37">
        <v>45940</v>
      </c>
      <c r="B25" s="46"/>
      <c r="C25" s="47"/>
      <c r="D25" s="47"/>
      <c r="E25" s="46"/>
      <c r="F25" s="47"/>
      <c r="G25" s="48"/>
      <c r="H25" s="46"/>
      <c r="I25" s="47"/>
      <c r="J25" s="48"/>
      <c r="K25" s="46"/>
      <c r="L25" s="47"/>
      <c r="M25" s="48"/>
      <c r="N25" s="46"/>
      <c r="O25" s="47"/>
      <c r="P25" s="48"/>
      <c r="Q25" s="46"/>
      <c r="R25" s="47"/>
      <c r="S25" s="48"/>
      <c r="T25" s="106"/>
    </row>
    <row r="26" spans="1:20" x14ac:dyDescent="0.3">
      <c r="A26" s="37">
        <v>45941</v>
      </c>
      <c r="B26" s="46"/>
      <c r="C26" s="47"/>
      <c r="D26" s="47"/>
      <c r="E26" s="46"/>
      <c r="F26" s="47"/>
      <c r="G26" s="48"/>
      <c r="H26" s="46"/>
      <c r="I26" s="47"/>
      <c r="J26" s="48"/>
      <c r="K26" s="46"/>
      <c r="L26" s="47"/>
      <c r="M26" s="48"/>
      <c r="N26" s="46"/>
      <c r="O26" s="47"/>
      <c r="P26" s="48"/>
      <c r="Q26" s="46"/>
      <c r="R26" s="47"/>
      <c r="S26" s="48"/>
      <c r="T26" s="106"/>
    </row>
    <row r="27" spans="1:20" x14ac:dyDescent="0.3">
      <c r="B27" s="57"/>
      <c r="C27" s="47"/>
      <c r="D27" s="47"/>
      <c r="E27" s="46"/>
      <c r="F27" s="47"/>
      <c r="G27" s="48"/>
      <c r="H27" s="46"/>
      <c r="I27" s="47"/>
      <c r="J27" s="48"/>
      <c r="K27" s="46"/>
      <c r="L27" s="47"/>
      <c r="M27" s="48"/>
      <c r="N27" s="46"/>
      <c r="O27" s="47"/>
      <c r="P27" s="48"/>
      <c r="Q27" s="46"/>
      <c r="R27" s="47"/>
      <c r="S27" s="48"/>
      <c r="T27" s="106"/>
    </row>
    <row r="28" spans="1:20" x14ac:dyDescent="0.3">
      <c r="B28" s="46"/>
      <c r="C28" s="47"/>
      <c r="D28" s="47"/>
      <c r="E28" s="46"/>
      <c r="F28" s="47"/>
      <c r="G28" s="48"/>
      <c r="H28" s="46"/>
      <c r="I28" s="47"/>
      <c r="J28" s="48"/>
      <c r="K28" s="46"/>
      <c r="L28" s="47"/>
      <c r="M28" s="48"/>
      <c r="N28" s="46"/>
      <c r="O28" s="47"/>
      <c r="P28" s="48"/>
      <c r="Q28" s="46"/>
      <c r="R28" s="47"/>
      <c r="S28" s="48"/>
      <c r="T28" s="106"/>
    </row>
    <row r="29" spans="1:20" x14ac:dyDescent="0.3">
      <c r="B29" s="46"/>
      <c r="C29" s="47"/>
      <c r="D29" s="47"/>
      <c r="E29" s="46"/>
      <c r="F29" s="47"/>
      <c r="G29" s="48"/>
      <c r="H29" s="46"/>
      <c r="I29" s="47"/>
      <c r="J29" s="48"/>
      <c r="K29" s="46"/>
      <c r="L29" s="47"/>
      <c r="M29" s="48"/>
      <c r="N29" s="46"/>
      <c r="O29" s="47"/>
      <c r="P29" s="48"/>
      <c r="Q29" s="46"/>
      <c r="R29" s="47"/>
      <c r="S29" s="48"/>
      <c r="T29" s="106"/>
    </row>
    <row r="30" spans="1:20" x14ac:dyDescent="0.3">
      <c r="B30" s="46"/>
      <c r="C30" s="47"/>
      <c r="D30" s="47"/>
      <c r="E30" s="46"/>
      <c r="F30" s="47"/>
      <c r="G30" s="48"/>
      <c r="H30" s="46"/>
      <c r="I30" s="47"/>
      <c r="J30" s="48"/>
      <c r="K30" s="46"/>
      <c r="L30" s="47"/>
      <c r="M30" s="48"/>
      <c r="N30" s="46"/>
      <c r="O30" s="47"/>
      <c r="P30" s="48"/>
      <c r="Q30" s="46"/>
      <c r="R30" s="47"/>
      <c r="S30" s="48"/>
      <c r="T30" s="106"/>
    </row>
    <row r="31" spans="1:20" x14ac:dyDescent="0.3">
      <c r="B31" s="46"/>
      <c r="C31" s="47"/>
      <c r="D31" s="47"/>
      <c r="E31" s="46"/>
      <c r="F31" s="47"/>
      <c r="G31" s="48"/>
      <c r="H31" s="46"/>
      <c r="I31" s="47"/>
      <c r="J31" s="48"/>
      <c r="K31" s="46"/>
      <c r="L31" s="47"/>
      <c r="M31" s="48"/>
      <c r="N31" s="46"/>
      <c r="O31" s="47"/>
      <c r="P31" s="48"/>
      <c r="Q31" s="46"/>
      <c r="R31" s="47"/>
      <c r="S31" s="48"/>
      <c r="T31" s="106"/>
    </row>
    <row r="32" spans="1:20" x14ac:dyDescent="0.3">
      <c r="A32" s="37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4"/>
      <c r="O32" s="31"/>
      <c r="P32" s="32"/>
      <c r="Q32" s="4"/>
      <c r="R32" s="31"/>
      <c r="S32" s="32"/>
      <c r="T32" s="39"/>
    </row>
    <row r="33" spans="1:20" x14ac:dyDescent="0.3">
      <c r="A33" s="37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</row>
    <row r="34" spans="1:20" x14ac:dyDescent="0.3">
      <c r="A34" s="37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</row>
    <row r="35" spans="1:20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</row>
    <row r="36" spans="1:20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</row>
    <row r="37" spans="1:20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</row>
    <row r="38" spans="1:20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</row>
    <row r="39" spans="1:20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</row>
    <row r="40" spans="1:20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</row>
    <row r="41" spans="1:20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</row>
    <row r="42" spans="1:20" x14ac:dyDescent="0.3">
      <c r="B42" s="60"/>
      <c r="C42" s="60"/>
      <c r="D42" s="60"/>
      <c r="E42" s="60"/>
      <c r="F42" s="60"/>
      <c r="H42" s="58"/>
      <c r="I42" s="58"/>
      <c r="K42" s="60"/>
      <c r="L42" s="60"/>
      <c r="N42" s="58"/>
      <c r="O42" s="58"/>
      <c r="R42" s="58"/>
      <c r="S42" s="58"/>
      <c r="T42" s="58"/>
    </row>
    <row r="43" spans="1:20" ht="15" thickBot="1" x14ac:dyDescent="0.35">
      <c r="B43" s="54">
        <f ca="1">TODAY()-12</f>
        <v>45926</v>
      </c>
      <c r="C43" s="1"/>
      <c r="D43" s="1"/>
      <c r="E43" s="1"/>
      <c r="F43" s="1"/>
      <c r="G43" s="1"/>
      <c r="H43" s="1"/>
      <c r="I43" s="1"/>
      <c r="J43" s="1"/>
      <c r="K43" s="1"/>
      <c r="L43" s="1"/>
      <c r="R43" s="58"/>
      <c r="S43" s="58"/>
      <c r="T43" s="58"/>
    </row>
    <row r="44" spans="1:20" ht="15" thickBot="1" x14ac:dyDescent="0.35">
      <c r="B44" s="27" t="s">
        <v>0</v>
      </c>
      <c r="C44" s="1"/>
      <c r="D44" s="45" t="s">
        <v>1</v>
      </c>
      <c r="E44" s="2"/>
      <c r="F44" s="28" t="s">
        <v>1</v>
      </c>
      <c r="G44" s="1"/>
      <c r="H44" s="92" t="s">
        <v>0</v>
      </c>
      <c r="J44" s="74" t="s">
        <v>0</v>
      </c>
      <c r="L44" s="75" t="s">
        <v>0</v>
      </c>
      <c r="R44" s="58"/>
      <c r="S44" s="58"/>
      <c r="T44" s="58"/>
    </row>
    <row r="45" spans="1:20" x14ac:dyDescent="0.3">
      <c r="B45" s="94" cm="1">
        <f t="array" aca="1" ref="B45:C53" ca="1">_xll.BDH($B$4, "PX_LAST, ", B43, "")</f>
        <v>45926</v>
      </c>
      <c r="C45" s="1">
        <f ca="1"/>
        <v>111.21</v>
      </c>
      <c r="D45" s="94" cm="1">
        <f t="array" aca="1" ref="D45:E53" ca="1">_xll.BDH($C$4, "PX_LAST, ", B43, "")</f>
        <v>45926</v>
      </c>
      <c r="E45" s="47">
        <f ca="1"/>
        <v>99.36328125</v>
      </c>
      <c r="F45" s="94" cm="1">
        <f t="array" aca="1" ref="F45:G53" ca="1">_xll.BDH($D$4, "PX_LAST, ", B43, "")</f>
        <v>45926</v>
      </c>
      <c r="G45" s="1">
        <f ca="1"/>
        <v>100.5859375</v>
      </c>
      <c r="H45" s="53" cm="1">
        <f t="array" aca="1" ref="H45:I53" ca="1">_xll.BDH($E$4, "PX_LAST, ", B43, "")</f>
        <v>45926</v>
      </c>
      <c r="I45" s="55">
        <f ca="1"/>
        <v>100</v>
      </c>
      <c r="J45" s="53" cm="1">
        <f t="array" aca="1" ref="J45:K53" ca="1">_xll.BDH($F$4, "PX_LAST, ", B43, "")</f>
        <v>45926</v>
      </c>
      <c r="K45" s="55">
        <f ca="1"/>
        <v>83.93</v>
      </c>
      <c r="L45" s="53" cm="1">
        <f t="array" aca="1" ref="L45:M53" ca="1">_xll.BDH($G$4, "PX_LAST, ", B43, "")</f>
        <v>45926</v>
      </c>
      <c r="M45" s="55">
        <f ca="1"/>
        <v>99.4921875</v>
      </c>
      <c r="R45" s="58"/>
      <c r="S45" s="58"/>
      <c r="T45" s="58"/>
    </row>
    <row r="46" spans="1:20" x14ac:dyDescent="0.3">
      <c r="B46" s="95">
        <f ca="1"/>
        <v>45929</v>
      </c>
      <c r="C46" s="60">
        <f ca="1"/>
        <v>111.58</v>
      </c>
      <c r="D46" s="95">
        <f ca="1"/>
        <v>45929</v>
      </c>
      <c r="E46" s="60">
        <f ca="1"/>
        <v>99.50390625</v>
      </c>
      <c r="F46" s="95">
        <f ca="1"/>
        <v>45929</v>
      </c>
      <c r="G46" s="55">
        <f ca="1"/>
        <v>100.8828125</v>
      </c>
      <c r="H46" s="78">
        <f ca="1"/>
        <v>45929</v>
      </c>
      <c r="I46" s="55">
        <f ca="1"/>
        <v>100.71875</v>
      </c>
      <c r="J46" s="78">
        <f ca="1"/>
        <v>45929</v>
      </c>
      <c r="K46" s="60">
        <f ca="1"/>
        <v>84.11</v>
      </c>
      <c r="L46" s="78">
        <f ca="1"/>
        <v>45929</v>
      </c>
      <c r="M46" s="55">
        <f ca="1"/>
        <v>99.7265625</v>
      </c>
    </row>
    <row r="47" spans="1:20" x14ac:dyDescent="0.3">
      <c r="B47" s="95">
        <f ca="1"/>
        <v>45930</v>
      </c>
      <c r="C47" s="60">
        <f ca="1"/>
        <v>111.47</v>
      </c>
      <c r="D47" s="95">
        <f ca="1"/>
        <v>45930</v>
      </c>
      <c r="E47" s="60">
        <f ca="1"/>
        <v>99.47265625</v>
      </c>
      <c r="F47" s="95">
        <f ca="1"/>
        <v>45930</v>
      </c>
      <c r="G47" s="55">
        <f ca="1"/>
        <v>100.7890625</v>
      </c>
      <c r="H47" s="78">
        <f ca="1"/>
        <v>45930</v>
      </c>
      <c r="I47" s="55">
        <f ca="1"/>
        <v>100.28125</v>
      </c>
      <c r="J47" s="78">
        <f ca="1"/>
        <v>45930</v>
      </c>
      <c r="K47" s="60">
        <f ca="1"/>
        <v>84.11</v>
      </c>
      <c r="L47" s="78">
        <f ca="1"/>
        <v>45930</v>
      </c>
      <c r="M47" s="55">
        <f ca="1"/>
        <v>99.6640625</v>
      </c>
    </row>
    <row r="48" spans="1:20" x14ac:dyDescent="0.3">
      <c r="B48" s="95">
        <f ca="1"/>
        <v>45931</v>
      </c>
      <c r="C48" s="60">
        <f ca="1"/>
        <v>111.51</v>
      </c>
      <c r="D48" s="95">
        <f ca="1"/>
        <v>45931</v>
      </c>
      <c r="E48" s="60">
        <f ca="1"/>
        <v>99.78515625</v>
      </c>
      <c r="F48" s="95">
        <f ca="1"/>
        <v>45931</v>
      </c>
      <c r="G48" s="55">
        <f ca="1"/>
        <v>101.2109375</v>
      </c>
      <c r="H48" s="78">
        <f ca="1"/>
        <v>45931</v>
      </c>
      <c r="I48" s="55">
        <f ca="1"/>
        <v>100.6328125</v>
      </c>
      <c r="J48" s="78">
        <f ca="1"/>
        <v>45931</v>
      </c>
      <c r="K48" s="60">
        <f ca="1"/>
        <v>84.07</v>
      </c>
      <c r="L48" s="78">
        <f ca="1"/>
        <v>45931</v>
      </c>
      <c r="M48" s="55">
        <f ca="1"/>
        <v>100.0390625</v>
      </c>
    </row>
    <row r="49" spans="2:13" x14ac:dyDescent="0.3">
      <c r="B49" s="95">
        <f ca="1"/>
        <v>45932</v>
      </c>
      <c r="C49" s="60">
        <f ca="1"/>
        <v>111.69</v>
      </c>
      <c r="D49" s="95">
        <f ca="1"/>
        <v>45932</v>
      </c>
      <c r="E49" s="60">
        <f ca="1"/>
        <v>99.79296875</v>
      </c>
      <c r="F49" s="95">
        <f ca="1"/>
        <v>45932</v>
      </c>
      <c r="G49" s="55">
        <f ca="1"/>
        <v>101.3359375</v>
      </c>
      <c r="H49" s="78">
        <f ca="1"/>
        <v>45932</v>
      </c>
      <c r="I49" s="55">
        <f ca="1"/>
        <v>100.96875</v>
      </c>
      <c r="J49" s="78">
        <f ca="1"/>
        <v>45932</v>
      </c>
      <c r="K49" s="60">
        <f ca="1"/>
        <v>84.16</v>
      </c>
      <c r="L49" s="78">
        <f ca="1"/>
        <v>45932</v>
      </c>
      <c r="M49" s="55">
        <f ca="1"/>
        <v>100.0859375</v>
      </c>
    </row>
    <row r="50" spans="2:13" x14ac:dyDescent="0.3">
      <c r="B50" s="95">
        <f ca="1"/>
        <v>45933</v>
      </c>
      <c r="C50" s="60">
        <f ca="1"/>
        <v>111.55</v>
      </c>
      <c r="D50" s="95">
        <f ca="1"/>
        <v>45933</v>
      </c>
      <c r="E50" s="60">
        <f ca="1"/>
        <v>99.58984375</v>
      </c>
      <c r="F50" s="95">
        <f ca="1"/>
        <v>45933</v>
      </c>
      <c r="G50" s="55">
        <f ca="1"/>
        <v>101.0390625</v>
      </c>
      <c r="H50" s="78">
        <f ca="1"/>
        <v>45933</v>
      </c>
      <c r="I50" s="55">
        <f ca="1"/>
        <v>100.59375</v>
      </c>
      <c r="J50" s="78">
        <f ca="1"/>
        <v>45933</v>
      </c>
      <c r="K50" s="60">
        <f ca="1"/>
        <v>84.06</v>
      </c>
      <c r="L50" s="78">
        <f ca="1"/>
        <v>45933</v>
      </c>
      <c r="M50" s="55">
        <f ca="1"/>
        <v>99.8203125</v>
      </c>
    </row>
    <row r="51" spans="2:13" x14ac:dyDescent="0.3">
      <c r="B51" s="95">
        <f ca="1"/>
        <v>45936</v>
      </c>
      <c r="C51" s="60">
        <f ca="1"/>
        <v>111.19</v>
      </c>
      <c r="D51" s="95">
        <f ca="1"/>
        <v>45936</v>
      </c>
      <c r="E51" s="60">
        <f ca="1"/>
        <v>99.50390625</v>
      </c>
      <c r="F51" s="95">
        <f ca="1"/>
        <v>45936</v>
      </c>
      <c r="G51" s="55">
        <f ca="1"/>
        <v>100.765625</v>
      </c>
      <c r="H51" s="78">
        <f ca="1"/>
        <v>45936</v>
      </c>
      <c r="I51" s="55">
        <f ca="1"/>
        <v>100.015625</v>
      </c>
      <c r="J51" s="78">
        <f ca="1"/>
        <v>45936</v>
      </c>
      <c r="K51" s="60">
        <f ca="1"/>
        <v>83.89</v>
      </c>
      <c r="L51" s="78">
        <f ca="1"/>
        <v>45936</v>
      </c>
      <c r="M51" s="55">
        <f ca="1"/>
        <v>99.6484375</v>
      </c>
    </row>
    <row r="52" spans="2:13" x14ac:dyDescent="0.3">
      <c r="B52" s="95">
        <f ca="1"/>
        <v>45937</v>
      </c>
      <c r="C52" s="60">
        <f ca="1"/>
        <v>111.4</v>
      </c>
      <c r="D52" s="95">
        <f ca="1"/>
        <v>45937</v>
      </c>
      <c r="E52" s="60">
        <f ca="1"/>
        <v>99.65234375</v>
      </c>
      <c r="F52" s="95">
        <f ca="1"/>
        <v>45937</v>
      </c>
      <c r="G52" s="55">
        <f ca="1"/>
        <v>101.0078125</v>
      </c>
      <c r="H52" s="78">
        <f ca="1"/>
        <v>45937</v>
      </c>
      <c r="I52" s="55">
        <f ca="1"/>
        <v>100.40625</v>
      </c>
      <c r="J52" s="78">
        <f ca="1"/>
        <v>45937</v>
      </c>
      <c r="K52" s="60">
        <f ca="1"/>
        <v>84</v>
      </c>
      <c r="L52" s="78">
        <f ca="1"/>
        <v>45937</v>
      </c>
      <c r="M52" s="55">
        <f ca="1"/>
        <v>99.8671875</v>
      </c>
    </row>
    <row r="53" spans="2:13" x14ac:dyDescent="0.3">
      <c r="B53" s="95">
        <f ca="1"/>
        <v>45938</v>
      </c>
      <c r="C53" s="60">
        <f ca="1"/>
        <v>111.41500000000001</v>
      </c>
      <c r="D53" s="95">
        <f ca="1"/>
        <v>45938</v>
      </c>
      <c r="E53" s="60">
        <f ca="1"/>
        <v>99.56640625</v>
      </c>
      <c r="F53" s="95">
        <f ca="1"/>
        <v>45938</v>
      </c>
      <c r="G53" s="55">
        <f ca="1"/>
        <v>100.9921875</v>
      </c>
      <c r="H53" s="78">
        <f ca="1"/>
        <v>45938</v>
      </c>
      <c r="I53" s="55">
        <f ca="1"/>
        <v>100.515625</v>
      </c>
      <c r="J53" s="78">
        <f ca="1"/>
        <v>45938</v>
      </c>
      <c r="K53" s="60">
        <f ca="1"/>
        <v>84.004999999999995</v>
      </c>
      <c r="L53" s="78">
        <f ca="1"/>
        <v>45938</v>
      </c>
      <c r="M53" s="55">
        <f ca="1"/>
        <v>99.8046875</v>
      </c>
    </row>
    <row r="54" spans="2:13" x14ac:dyDescent="0.3">
      <c r="B54" s="95"/>
      <c r="D54" s="95"/>
      <c r="F54" s="95"/>
      <c r="H54" s="78"/>
      <c r="J54" s="78"/>
      <c r="L54" s="78"/>
    </row>
    <row r="55" spans="2:13" x14ac:dyDescent="0.3">
      <c r="B55" s="95"/>
      <c r="D55" s="95"/>
      <c r="F55" s="95"/>
      <c r="H55" s="78"/>
      <c r="J55" s="78"/>
      <c r="L55" s="78"/>
    </row>
    <row r="56" spans="2:13" x14ac:dyDescent="0.3">
      <c r="B56" s="95"/>
      <c r="D56" s="95"/>
      <c r="F56" s="95"/>
      <c r="H56" s="78"/>
      <c r="J56" s="78"/>
      <c r="L56" s="78"/>
    </row>
    <row r="57" spans="2:13" x14ac:dyDescent="0.3">
      <c r="B57" s="95"/>
      <c r="D57" s="95"/>
      <c r="F57" s="95"/>
      <c r="H57" s="78"/>
      <c r="J57" s="78"/>
      <c r="L57" s="78"/>
    </row>
    <row r="58" spans="2:13" x14ac:dyDescent="0.3">
      <c r="B58" s="95"/>
      <c r="D58" s="95"/>
      <c r="F58" s="95"/>
      <c r="H58" s="78"/>
      <c r="J58" s="78"/>
      <c r="L58" s="78"/>
    </row>
    <row r="59" spans="2:13" x14ac:dyDescent="0.3">
      <c r="B59" s="95"/>
      <c r="D59" s="95"/>
      <c r="F59" s="95"/>
      <c r="H59" s="78"/>
      <c r="J59" s="78"/>
      <c r="L59" s="78"/>
    </row>
    <row r="60" spans="2:13" x14ac:dyDescent="0.3">
      <c r="B60" s="95"/>
      <c r="D60" s="95"/>
      <c r="F60" s="95"/>
      <c r="H60" s="78"/>
      <c r="J60" s="78"/>
      <c r="L60" s="78"/>
    </row>
    <row r="61" spans="2:13" x14ac:dyDescent="0.3">
      <c r="B61" s="95"/>
      <c r="D61" s="95"/>
      <c r="F61" s="95"/>
      <c r="H61" s="78"/>
      <c r="J61" s="78"/>
      <c r="L61" s="78"/>
    </row>
    <row r="62" spans="2:13" x14ac:dyDescent="0.3">
      <c r="H62" s="78"/>
      <c r="J62" s="78"/>
      <c r="L62" s="78"/>
    </row>
    <row r="63" spans="2:13" x14ac:dyDescent="0.3">
      <c r="H63" s="78"/>
      <c r="J63" s="78"/>
    </row>
    <row r="64" spans="2:13" x14ac:dyDescent="0.3">
      <c r="H64" s="78"/>
      <c r="J64" s="78"/>
    </row>
    <row r="65" spans="8:10" x14ac:dyDescent="0.3">
      <c r="H65" s="78"/>
      <c r="J65" s="78"/>
    </row>
    <row r="66" spans="8:10" x14ac:dyDescent="0.3">
      <c r="H66" s="78"/>
      <c r="J66" s="78"/>
    </row>
    <row r="67" spans="8:10" x14ac:dyDescent="0.3">
      <c r="H67" s="78"/>
      <c r="J67" s="78"/>
    </row>
    <row r="68" spans="8:10" x14ac:dyDescent="0.3">
      <c r="H68" s="78"/>
      <c r="J68" s="78"/>
    </row>
    <row r="69" spans="8:10" x14ac:dyDescent="0.3">
      <c r="H69" s="78"/>
      <c r="J69" s="78"/>
    </row>
    <row r="70" spans="8:10" x14ac:dyDescent="0.3">
      <c r="H70" s="78"/>
    </row>
    <row r="71" spans="8:10" x14ac:dyDescent="0.3">
      <c r="H71" s="78"/>
    </row>
    <row r="72" spans="8:10" x14ac:dyDescent="0.3">
      <c r="H72" s="78"/>
    </row>
    <row r="73" spans="8:10" x14ac:dyDescent="0.3">
      <c r="H73" s="78"/>
    </row>
  </sheetData>
  <mergeCells count="6">
    <mergeCell ref="B12:D12"/>
    <mergeCell ref="E12:G12"/>
    <mergeCell ref="H12:J12"/>
    <mergeCell ref="K12:M12"/>
    <mergeCell ref="N12:P12"/>
    <mergeCell ref="Q12:S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US ETF Compression</vt:lpstr>
      <vt:lpstr>US IG Cash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2025-10-08T18:05:50Z</dcterms:modified>
</cp:coreProperties>
</file>