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8FDB3F98-FF16-45FF-BE55-4A8219EC2BAE}" xr6:coauthVersionLast="47" xr6:coauthVersionMax="47" xr10:uidLastSave="{00000000-0000-0000-0000-000000000000}"/>
  <bookViews>
    <workbookView xWindow="-108" yWindow="-108" windowWidth="23256" windowHeight="12456" tabRatio="842" firstSheet="1" activeTab="6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  <sheet name="KSA RV" sheetId="8" r:id="rId5"/>
    <sheet name="EU Banks CDS RV" sheetId="9" r:id="rId6"/>
    <sheet name="EU ETF Compression" sheetId="10" r:id="rId7"/>
    <sheet name="US ETF Compression" sheetId="12" r:id="rId8"/>
    <sheet name="US IG Cash Curve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 a="1"/>
  <c r="B10" i="5"/>
  <c r="B10" i="3" a="1"/>
  <c r="B10" i="3"/>
  <c r="C10" i="2" a="1"/>
  <c r="C10" i="2"/>
  <c r="D10" i="14" a="1"/>
  <c r="D10" i="14"/>
  <c r="F10" i="12" a="1"/>
  <c r="F10" i="12"/>
  <c r="E10" i="10" a="1"/>
  <c r="E10" i="10"/>
  <c r="C10" i="9" a="1"/>
  <c r="C10" i="9"/>
  <c r="B10" i="10" a="1"/>
  <c r="B10" i="10"/>
  <c r="B10" i="14" a="1"/>
  <c r="B10" i="14"/>
  <c r="D10" i="12" a="1"/>
  <c r="D10" i="12"/>
  <c r="B10" i="1" a="1"/>
  <c r="B10" i="1"/>
  <c r="C10" i="5" a="1"/>
  <c r="C10" i="5"/>
  <c r="G10" i="14" a="1"/>
  <c r="G10" i="14"/>
  <c r="F10" i="14" a="1"/>
  <c r="F10" i="14"/>
  <c r="D10" i="10" a="1"/>
  <c r="D10" i="10"/>
  <c r="B10" i="8" a="1"/>
  <c r="B10" i="8"/>
  <c r="D10" i="8" a="1"/>
  <c r="D10" i="8"/>
  <c r="E10" i="14" a="1"/>
  <c r="E10" i="14"/>
  <c r="G10" i="12" a="1"/>
  <c r="G10" i="12"/>
  <c r="C10" i="8" a="1"/>
  <c r="C10" i="8"/>
  <c r="D10" i="2" a="1"/>
  <c r="D10" i="2"/>
  <c r="B10" i="9" a="1"/>
  <c r="B10" i="9"/>
  <c r="B10" i="2" a="1"/>
  <c r="B10" i="2"/>
  <c r="C10" i="1" a="1"/>
  <c r="C10" i="1"/>
  <c r="C10" i="10" a="1"/>
  <c r="C10" i="10"/>
  <c r="E10" i="12" a="1"/>
  <c r="E10" i="12"/>
  <c r="C10" i="12" a="1"/>
  <c r="C10" i="12"/>
  <c r="E10" i="8" a="1"/>
  <c r="E10" i="8"/>
  <c r="C10" i="3" a="1"/>
  <c r="C10" i="3"/>
  <c r="C10" i="14" a="1"/>
  <c r="C10" i="14"/>
  <c r="B10" i="12" a="1"/>
  <c r="B10" i="12"/>
  <c r="I1" i="14"/>
  <c r="C24" i="14"/>
  <c r="D24" i="14"/>
  <c r="F24" i="14"/>
  <c r="G24" i="14"/>
  <c r="I24" i="14"/>
  <c r="J24" i="14"/>
  <c r="L24" i="14"/>
  <c r="M24" i="14"/>
  <c r="O24" i="14"/>
  <c r="P24" i="14"/>
  <c r="R24" i="14"/>
  <c r="S24" i="14"/>
  <c r="C32" i="12"/>
  <c r="D32" i="12"/>
  <c r="F32" i="12"/>
  <c r="G32" i="12"/>
  <c r="I32" i="12"/>
  <c r="J32" i="12"/>
  <c r="L32" i="12"/>
  <c r="M32" i="12"/>
  <c r="O32" i="12"/>
  <c r="P32" i="12"/>
  <c r="R32" i="12"/>
  <c r="T32" i="12" s="1"/>
  <c r="S32" i="12"/>
  <c r="C16" i="10"/>
  <c r="D16" i="10"/>
  <c r="F16" i="10"/>
  <c r="G16" i="10"/>
  <c r="I16" i="10"/>
  <c r="J16" i="10"/>
  <c r="L16" i="10"/>
  <c r="M16" i="10"/>
  <c r="C18" i="9"/>
  <c r="D18" i="9"/>
  <c r="F18" i="9"/>
  <c r="G18" i="9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C25" i="2"/>
  <c r="D25" i="2"/>
  <c r="F25" i="2"/>
  <c r="G25" i="2"/>
  <c r="I25" i="2"/>
  <c r="J25" i="2"/>
  <c r="C41" i="1"/>
  <c r="D41" i="1" s="1"/>
  <c r="E41" i="1"/>
  <c r="G41" i="1"/>
  <c r="H41" i="1"/>
  <c r="K3" i="14" a="1"/>
  <c r="M3" i="14" a="1"/>
  <c r="O3" i="14" a="1"/>
  <c r="Q3" i="14" a="1"/>
  <c r="I3" i="14" a="1"/>
  <c r="S3" i="14" a="1"/>
  <c r="M3" i="14" l="1"/>
  <c r="K3" i="14"/>
  <c r="O3" i="14"/>
  <c r="S3" i="14"/>
  <c r="I3" i="14"/>
  <c r="Q3" i="14"/>
  <c r="T24" i="14"/>
  <c r="N16" i="10"/>
  <c r="H18" i="9"/>
  <c r="N20" i="8"/>
  <c r="H21" i="5"/>
  <c r="H24" i="3"/>
  <c r="K25" i="2"/>
  <c r="I41" i="1"/>
  <c r="T19" i="14"/>
  <c r="T20" i="14"/>
  <c r="T21" i="14"/>
  <c r="T22" i="14"/>
  <c r="T18" i="14"/>
  <c r="W9" i="14"/>
  <c r="X4" i="14"/>
  <c r="W4" i="14"/>
  <c r="T27" i="12"/>
  <c r="T28" i="12"/>
  <c r="T29" i="12"/>
  <c r="T30" i="12"/>
  <c r="T26" i="12"/>
  <c r="R8" i="12"/>
  <c r="K9" i="12"/>
  <c r="J9" i="12"/>
  <c r="M15" i="10" l="1"/>
  <c r="L15" i="10"/>
  <c r="J15" i="10"/>
  <c r="I15" i="10"/>
  <c r="G15" i="10"/>
  <c r="F15" i="10"/>
  <c r="D15" i="10"/>
  <c r="C15" i="10"/>
  <c r="E1" i="9"/>
  <c r="C17" i="9"/>
  <c r="D17" i="9"/>
  <c r="F17" i="9"/>
  <c r="G17" i="9"/>
  <c r="C19" i="8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I24" i="2"/>
  <c r="K24" i="2" s="1"/>
  <c r="J24" i="2"/>
  <c r="F24" i="2"/>
  <c r="G24" i="2"/>
  <c r="C24" i="2"/>
  <c r="D24" i="2"/>
  <c r="G40" i="1"/>
  <c r="H40" i="1"/>
  <c r="C40" i="1"/>
  <c r="D40" i="1" s="1"/>
  <c r="E40" i="1"/>
  <c r="T16" i="14"/>
  <c r="T17" i="14"/>
  <c r="T15" i="14"/>
  <c r="S16" i="14"/>
  <c r="S17" i="14"/>
  <c r="S18" i="14"/>
  <c r="S19" i="14"/>
  <c r="S20" i="14"/>
  <c r="S21" i="14"/>
  <c r="S22" i="14"/>
  <c r="S23" i="14"/>
  <c r="S15" i="14"/>
  <c r="R16" i="14"/>
  <c r="R17" i="14"/>
  <c r="R18" i="14"/>
  <c r="R19" i="14"/>
  <c r="R20" i="14"/>
  <c r="R21" i="14"/>
  <c r="R22" i="14"/>
  <c r="R23" i="14"/>
  <c r="R15" i="14"/>
  <c r="P16" i="14"/>
  <c r="P17" i="14"/>
  <c r="P18" i="14"/>
  <c r="P19" i="14"/>
  <c r="P20" i="14"/>
  <c r="P21" i="14"/>
  <c r="P22" i="14"/>
  <c r="P23" i="14"/>
  <c r="P15" i="14"/>
  <c r="O16" i="14"/>
  <c r="O17" i="14"/>
  <c r="O18" i="14"/>
  <c r="O19" i="14"/>
  <c r="O20" i="14"/>
  <c r="O21" i="14"/>
  <c r="O22" i="14"/>
  <c r="O23" i="14"/>
  <c r="O15" i="14"/>
  <c r="M16" i="14"/>
  <c r="M17" i="14"/>
  <c r="M18" i="14"/>
  <c r="M19" i="14"/>
  <c r="M20" i="14"/>
  <c r="M21" i="14"/>
  <c r="M22" i="14"/>
  <c r="M23" i="14"/>
  <c r="M15" i="14"/>
  <c r="L16" i="14"/>
  <c r="L17" i="14"/>
  <c r="L18" i="14"/>
  <c r="L19" i="14"/>
  <c r="L20" i="14"/>
  <c r="L21" i="14"/>
  <c r="L22" i="14"/>
  <c r="L23" i="14"/>
  <c r="L15" i="14"/>
  <c r="J16" i="14"/>
  <c r="J17" i="14"/>
  <c r="J18" i="14"/>
  <c r="J19" i="14"/>
  <c r="J20" i="14"/>
  <c r="J21" i="14"/>
  <c r="J22" i="14"/>
  <c r="J23" i="14"/>
  <c r="J15" i="14"/>
  <c r="I16" i="14"/>
  <c r="I17" i="14"/>
  <c r="I18" i="14"/>
  <c r="I19" i="14"/>
  <c r="I20" i="14"/>
  <c r="I21" i="14"/>
  <c r="I22" i="14"/>
  <c r="I23" i="14"/>
  <c r="I15" i="14"/>
  <c r="G16" i="14"/>
  <c r="G17" i="14"/>
  <c r="G18" i="14"/>
  <c r="G19" i="14"/>
  <c r="G20" i="14"/>
  <c r="G21" i="14"/>
  <c r="G22" i="14"/>
  <c r="G23" i="14"/>
  <c r="G15" i="14"/>
  <c r="F16" i="14"/>
  <c r="F17" i="14"/>
  <c r="F18" i="14"/>
  <c r="F19" i="14"/>
  <c r="F20" i="14"/>
  <c r="F21" i="14"/>
  <c r="F22" i="14"/>
  <c r="F23" i="14"/>
  <c r="F15" i="14"/>
  <c r="D16" i="14"/>
  <c r="D17" i="14"/>
  <c r="D18" i="14"/>
  <c r="D19" i="14"/>
  <c r="D20" i="14"/>
  <c r="D21" i="14"/>
  <c r="D22" i="14"/>
  <c r="D23" i="14"/>
  <c r="D15" i="14"/>
  <c r="C16" i="14"/>
  <c r="C17" i="14"/>
  <c r="C18" i="14"/>
  <c r="C19" i="14"/>
  <c r="C20" i="14"/>
  <c r="C21" i="14"/>
  <c r="C22" i="14"/>
  <c r="C23" i="14"/>
  <c r="C15" i="14"/>
  <c r="B43" i="14"/>
  <c r="C6" i="14"/>
  <c r="G6" i="14"/>
  <c r="L45" i="14" a="1"/>
  <c r="D45" i="14" a="1"/>
  <c r="F45" i="14" a="1"/>
  <c r="J45" i="14" a="1"/>
  <c r="H45" i="14" a="1"/>
  <c r="B45" i="14" a="1"/>
  <c r="E3" i="9" a="1"/>
  <c r="G3" i="9" a="1"/>
  <c r="B45" i="14" l="1"/>
  <c r="H45" i="14"/>
  <c r="J45" i="14"/>
  <c r="F45" i="14"/>
  <c r="D45" i="14"/>
  <c r="L45" i="14"/>
  <c r="E3" i="9"/>
  <c r="G3" i="9"/>
  <c r="T23" i="14"/>
  <c r="N15" i="10"/>
  <c r="H23" i="3"/>
  <c r="I40" i="1"/>
  <c r="H17" i="9"/>
  <c r="N19" i="8"/>
  <c r="H20" i="5"/>
  <c r="Q14" i="14"/>
  <c r="K14" i="14"/>
  <c r="H14" i="14"/>
  <c r="E14" i="14"/>
  <c r="G5" i="14"/>
  <c r="F5" i="14"/>
  <c r="E5" i="14"/>
  <c r="D5" i="14"/>
  <c r="C5" i="14"/>
  <c r="B5" i="14"/>
  <c r="T16" i="12"/>
  <c r="T17" i="12"/>
  <c r="T18" i="12"/>
  <c r="T19" i="12"/>
  <c r="T20" i="12"/>
  <c r="T21" i="12"/>
  <c r="T22" i="12"/>
  <c r="T23" i="12"/>
  <c r="T24" i="12"/>
  <c r="T25" i="12"/>
  <c r="T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15" i="12"/>
  <c r="E6" i="12"/>
  <c r="C6" i="12"/>
  <c r="S16" i="12" l="1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T31" i="12" s="1"/>
  <c r="C15" i="12"/>
  <c r="B43" i="12"/>
  <c r="I1" i="12"/>
  <c r="Q14" i="12"/>
  <c r="N14" i="12"/>
  <c r="K14" i="12"/>
  <c r="E14" i="12"/>
  <c r="G5" i="12"/>
  <c r="F5" i="12"/>
  <c r="E5" i="12"/>
  <c r="D5" i="12"/>
  <c r="C5" i="12"/>
  <c r="Q3" i="12" a="1"/>
  <c r="F45" i="12" a="1"/>
  <c r="B45" i="12" a="1"/>
  <c r="L45" i="12" a="1"/>
  <c r="D45" i="12" a="1"/>
  <c r="H45" i="12" a="1"/>
  <c r="J45" i="12" a="1"/>
  <c r="S3" i="12" a="1"/>
  <c r="K3" i="12" a="1"/>
  <c r="I3" i="12" a="1"/>
  <c r="M3" i="12" a="1"/>
  <c r="O3" i="12" a="1"/>
  <c r="Q3" i="12" l="1"/>
  <c r="H45" i="12"/>
  <c r="D45" i="12"/>
  <c r="L45" i="12"/>
  <c r="B45" i="12"/>
  <c r="F45" i="12"/>
  <c r="J45" i="12"/>
  <c r="S3" i="12"/>
  <c r="O3" i="12"/>
  <c r="M3" i="12"/>
  <c r="I3" i="12"/>
  <c r="K3" i="12"/>
  <c r="B5" i="12"/>
  <c r="E5" i="10" l="1"/>
  <c r="D5" i="10"/>
  <c r="C5" i="10"/>
  <c r="B5" i="10"/>
  <c r="G1" i="10"/>
  <c r="M3" i="10" a="1"/>
  <c r="K3" i="10" a="1"/>
  <c r="I3" i="10" a="1"/>
  <c r="G3" i="10" a="1"/>
  <c r="K3" i="10" l="1"/>
  <c r="M3" i="10"/>
  <c r="G3" i="10"/>
  <c r="I3" i="10"/>
  <c r="G16" i="9"/>
  <c r="F16" i="9"/>
  <c r="H16" i="9" s="1"/>
  <c r="C16" i="9"/>
  <c r="D16" i="9"/>
  <c r="L18" i="8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J23" i="2"/>
  <c r="G23" i="2"/>
  <c r="I23" i="2"/>
  <c r="F23" i="2"/>
  <c r="D23" i="2"/>
  <c r="C23" i="2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J22" i="2"/>
  <c r="G22" i="2"/>
  <c r="D22" i="2"/>
  <c r="I22" i="2"/>
  <c r="F22" i="2"/>
  <c r="C22" i="2"/>
  <c r="H38" i="1"/>
  <c r="E38" i="1"/>
  <c r="G38" i="1"/>
  <c r="C5" i="9"/>
  <c r="G15" i="9"/>
  <c r="F15" i="9"/>
  <c r="B5" i="9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J21" i="2"/>
  <c r="G21" i="2"/>
  <c r="D21" i="2"/>
  <c r="I21" i="2"/>
  <c r="F21" i="2"/>
  <c r="C21" i="2"/>
  <c r="H37" i="1"/>
  <c r="G37" i="1"/>
  <c r="E37" i="1"/>
  <c r="N18" i="8" l="1"/>
  <c r="H19" i="5"/>
  <c r="H22" i="3"/>
  <c r="K23" i="2"/>
  <c r="N17" i="8"/>
  <c r="H18" i="5"/>
  <c r="H21" i="3"/>
  <c r="K22" i="2"/>
  <c r="N16" i="8"/>
  <c r="H17" i="5"/>
  <c r="H20" i="3"/>
  <c r="K21" i="2"/>
  <c r="C15" i="9"/>
  <c r="D15" i="9"/>
  <c r="H15" i="9" l="1"/>
  <c r="M15" i="8"/>
  <c r="L15" i="8"/>
  <c r="J15" i="8"/>
  <c r="I15" i="8"/>
  <c r="G15" i="8"/>
  <c r="F15" i="8"/>
  <c r="D15" i="8"/>
  <c r="C15" i="8"/>
  <c r="H15" i="5"/>
  <c r="F16" i="5"/>
  <c r="G16" i="5"/>
  <c r="D16" i="5"/>
  <c r="D15" i="5"/>
  <c r="C16" i="5"/>
  <c r="F19" i="3"/>
  <c r="G19" i="3"/>
  <c r="D19" i="3"/>
  <c r="C19" i="3"/>
  <c r="J20" i="2"/>
  <c r="G20" i="2"/>
  <c r="D20" i="2"/>
  <c r="I20" i="2"/>
  <c r="F20" i="2"/>
  <c r="C20" i="2"/>
  <c r="H36" i="1"/>
  <c r="E36" i="1"/>
  <c r="G36" i="1"/>
  <c r="E5" i="8"/>
  <c r="D5" i="8"/>
  <c r="C5" i="8"/>
  <c r="N15" i="8" l="1"/>
  <c r="H16" i="5"/>
  <c r="H19" i="3"/>
  <c r="K20" i="2"/>
  <c r="B5" i="8"/>
  <c r="G1" i="8"/>
  <c r="I3" i="8" a="1"/>
  <c r="M3" i="8" a="1"/>
  <c r="G3" i="8" a="1"/>
  <c r="K3" i="8" a="1"/>
  <c r="I3" i="8" l="1"/>
  <c r="M3" i="8"/>
  <c r="K3" i="8"/>
  <c r="G3" i="8"/>
  <c r="G15" i="5"/>
  <c r="F15" i="5"/>
  <c r="C15" i="5"/>
  <c r="F18" i="3"/>
  <c r="G18" i="3"/>
  <c r="C18" i="3"/>
  <c r="D18" i="3"/>
  <c r="J19" i="2"/>
  <c r="G19" i="2"/>
  <c r="D19" i="2"/>
  <c r="I19" i="2"/>
  <c r="F19" i="2"/>
  <c r="C19" i="2"/>
  <c r="H35" i="1"/>
  <c r="E35" i="1"/>
  <c r="G35" i="1"/>
  <c r="C5" i="5"/>
  <c r="B5" i="5"/>
  <c r="E1" i="5"/>
  <c r="E3" i="5" a="1"/>
  <c r="G3" i="5" a="1"/>
  <c r="E3" i="5" l="1"/>
  <c r="G3" i="5"/>
  <c r="H18" i="3"/>
  <c r="K19" i="2"/>
  <c r="F17" i="3"/>
  <c r="G17" i="3"/>
  <c r="C17" i="3"/>
  <c r="H17" i="3" s="1"/>
  <c r="D17" i="3"/>
  <c r="C18" i="2"/>
  <c r="I18" i="2"/>
  <c r="J18" i="2"/>
  <c r="F18" i="2"/>
  <c r="G18" i="2"/>
  <c r="D18" i="2"/>
  <c r="H34" i="1"/>
  <c r="E34" i="1"/>
  <c r="G34" i="1"/>
  <c r="D16" i="3"/>
  <c r="K18" i="2" l="1"/>
  <c r="H15" i="3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H32" i="1"/>
  <c r="H33" i="1"/>
  <c r="E31" i="1"/>
  <c r="E32" i="1"/>
  <c r="E33" i="1"/>
  <c r="G33" i="1"/>
  <c r="G32" i="1"/>
  <c r="L1" i="1"/>
  <c r="G3" i="3" a="1"/>
  <c r="N3" i="1" a="1"/>
  <c r="L3" i="1" a="1"/>
  <c r="F3" i="2" a="1"/>
  <c r="H3" i="2" a="1"/>
  <c r="E3" i="3" a="1"/>
  <c r="J3" i="2" a="1"/>
  <c r="N3" i="1" l="1"/>
  <c r="G3" i="3"/>
  <c r="H3" i="2"/>
  <c r="F3" i="2"/>
  <c r="L3" i="1"/>
  <c r="J3" i="2"/>
  <c r="E3" i="3"/>
  <c r="K17" i="2"/>
  <c r="C15" i="3"/>
  <c r="D15" i="3" l="1"/>
  <c r="F15" i="3"/>
  <c r="I15" i="2" l="1"/>
  <c r="G15" i="2"/>
  <c r="D15" i="2"/>
  <c r="C15" i="2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F15" i="2"/>
  <c r="C37" i="1" l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<sst xmlns="http://schemas.openxmlformats.org/spreadsheetml/2006/main" count="418" uniqueCount="84">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</sst>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Data...1847937375</v>
        <stp/>
        <stp>BDH|10351313584699386816</stp>
        <tr r="E3" s="5"/>
      </tp>
      <tp t="s">
        <v>#N/A Requesting Data...2873182477</v>
        <stp/>
        <stp>BDH|11868297327508497130</stp>
        <tr r="Q3" s="12"/>
        <tr r="M3" s="14"/>
      </tp>
      <tp t="s">
        <v>#N/A Requesting Data...2733278809</v>
        <stp/>
        <stp>BDP|11883986536691201393</stp>
        <tr r="C10" s="10"/>
      </tp>
      <tp t="s">
        <v>#N/A Requesting Data...2174648330</v>
        <stp/>
        <stp>BDP|18062887627254797806</stp>
        <tr r="C10" s="12"/>
        <tr r="E10" s="12"/>
      </tp>
      <tp t="s">
        <v>#N/A Requesting Data...2761731489</v>
        <stp/>
        <stp>BDP|16545953933052450030</stp>
        <tr r="B10" s="5"/>
      </tp>
      <tp t="s">
        <v>#N/A Requesting Data...2012345241</v>
        <stp/>
        <stp>BDH|16964208687670066093</stp>
        <tr r="M3" s="8"/>
      </tp>
      <tp t="s">
        <v>#N/A Requesting Data...1361195808</v>
        <stp/>
        <stp>BDP|14650062796027575721</stp>
        <tr r="G10" s="12"/>
        <tr r="E10" s="14"/>
      </tp>
      <tp t="s">
        <v>#N/A Requesting Data...2537823173</v>
        <stp/>
        <stp>BDH|15898023348904525848</stp>
        <tr r="B45" s="14"/>
      </tp>
      <tp t="s">
        <v>#N/A Requesting Data...1636287218</v>
        <stp/>
        <stp>BDH|14554289658327214950</stp>
        <tr r="E3" s="3"/>
      </tp>
      <tp t="s">
        <v>#N/A Requesting Data...1373879938</v>
        <stp/>
        <stp>BDH|14418508895895598068</stp>
        <tr r="M3" s="12"/>
        <tr r="I3" s="14"/>
      </tp>
      <tp t="s">
        <v>#N/A Requesting Data...1754736950</v>
        <stp/>
        <stp>BDH|12461074316780829179</stp>
        <tr r="I3" s="12"/>
      </tp>
      <tp t="s">
        <v>#N/A Requesting Data...3814434748</v>
        <stp/>
        <stp>BDP|12076286461161277423</stp>
        <tr r="C10" s="5"/>
      </tp>
      <tp t="s">
        <v>#N/A Requesting Data...1602547893</v>
        <stp/>
        <stp>BDH|11939629486549063565</stp>
        <tr r="S3" s="14"/>
      </tp>
      <tp t="s">
        <v>#N/A Requesting Data...3320127744</v>
        <stp/>
        <stp>BDP|18219294914923540841</stp>
        <tr r="C10" s="9"/>
      </tp>
      <tp t="s">
        <v>#N/A Requesting Data...2580533586</v>
        <stp/>
        <stp>BDH|14652635060546728265</stp>
        <tr r="H45" s="12"/>
        <tr r="D45" s="12"/>
      </tp>
      <tp t="s">
        <v>#N/A Requesting Data...2191617091</v>
        <stp/>
        <stp>BDH|13667166925681071115</stp>
        <tr r="J45" s="14"/>
      </tp>
      <tp t="s">
        <v>#N/A Requesting Data...1489418114</v>
        <stp/>
        <stp>BDP|13030111079165378191</stp>
        <tr r="F10" s="14"/>
      </tp>
      <tp t="s">
        <v>#N/A Requesting Data...3200078337</v>
        <stp/>
        <stp>BDP|17674809694487604003</stp>
        <tr r="B10" s="10"/>
      </tp>
      <tp t="s">
        <v>#N/A Requesting Data...3383435713</v>
        <stp/>
        <stp>BDH|14683331255940957394</stp>
        <tr r="G3" s="5"/>
      </tp>
      <tp t="s">
        <v>#N/A Requesting Data...1607742685</v>
        <stp/>
        <stp>BDH|12366418778878237806</stp>
        <tr r="L45" s="12"/>
      </tp>
      <tp t="s">
        <v>#N/A Requesting Data...2741811906</v>
        <stp/>
        <stp>BDP|11473368239062878490</stp>
        <tr r="F10" s="12"/>
        <tr r="D10" s="14"/>
      </tp>
      <tp t="s">
        <v>#N/A Requesting Data...1396063338</v>
        <stp/>
        <stp>BDP|14572736216992007722</stp>
        <tr r="B10" s="2"/>
      </tp>
      <tp t="s">
        <v>#N/A Requesting Data...2477622374</v>
        <stp/>
        <stp>BDH|12097978624338460624</stp>
        <tr r="Q3" s="14"/>
      </tp>
      <tp t="s">
        <v>#N/A Requesting Data...4247561694</v>
        <stp/>
        <stp>BDP|13060443244535072213</stp>
        <tr r="B10" s="1"/>
      </tp>
      <tp t="s">
        <v>#N/A Requesting Data...2807977895</v>
        <stp/>
        <stp>BDH|16635641902843555704</stp>
        <tr r="O3" s="12"/>
        <tr r="K3" s="12"/>
      </tp>
      <tp t="s">
        <v>#N/A Requesting Data...4040707317</v>
        <stp/>
        <stp>BDH|13384596211472988165</stp>
        <tr r="J3" s="2"/>
      </tp>
      <tp t="s">
        <v>#N/A Requesting Data...2660002545</v>
        <stp/>
        <stp>BDH|11325884833647718981</stp>
        <tr r="H45" s="14"/>
      </tp>
      <tp t="s">
        <v>#N/A Requesting Data...2986182096</v>
        <stp/>
        <stp>BDP|17166731865344641740</stp>
        <tr r="C10" s="1"/>
      </tp>
      <tp t="s">
        <v>#N/A Requesting Data...3199862872</v>
        <stp/>
        <stp>BDH|12396439488739152202</stp>
        <tr r="B45" s="12"/>
      </tp>
    </main>
    <main first="bofaddin.rtdserver">
      <tp t="s">
        <v>#N/A Requesting Data...3707737518</v>
        <stp/>
        <stp>BDH|1028538880712934288</stp>
        <tr r="S3" s="12"/>
        <tr r="O3" s="14"/>
      </tp>
      <tp t="s">
        <v>#N/A Requesting Data...3544414469</v>
        <stp/>
        <stp>BDH|5169224297170435259</stp>
        <tr r="G3" s="8"/>
      </tp>
      <tp t="s">
        <v>#N/A Requesting Data...1428287938</v>
        <stp/>
        <stp>BDH|6052060976555878966</stp>
        <tr r="I3" s="8"/>
      </tp>
      <tp t="s">
        <v>#N/A Requesting Data...1530721111</v>
        <stp/>
        <stp>BDH|9756339051981360120</stp>
        <tr r="K3" s="10"/>
      </tp>
      <tp t="s">
        <v>#N/A Requesting Data...4115400083</v>
        <stp/>
        <stp>BDH|3945821647056979165</stp>
        <tr r="E3" s="9"/>
      </tp>
      <tp t="s">
        <v>#N/A Requesting Data...3701476785</v>
        <stp/>
        <stp>BDP|9706553668206945454</stp>
        <tr r="D10" s="8"/>
      </tp>
      <tp t="s">
        <v>#N/A Requesting Data...3272234334</v>
        <stp/>
        <stp>BDH|9289027572525667322</stp>
        <tr r="K3" s="14"/>
      </tp>
      <tp t="s">
        <v>#N/A Requesting Data...3434525565</v>
        <stp/>
        <stp>BDH|5499482882290106023</stp>
        <tr r="K3" s="8"/>
      </tp>
      <tp t="s">
        <v>#N/A Requesting Data...2684115442</v>
        <stp/>
        <stp>BDP|4329662592027264695</stp>
        <tr r="B10" s="12"/>
      </tp>
      <tp t="s">
        <v>#N/A Requesting Data...3932446081</v>
        <stp/>
        <stp>BDH|6427274484614669205</stp>
        <tr r="M3" s="10"/>
      </tp>
      <tp t="s">
        <v>#N/A Requesting Data...2028556995</v>
        <stp/>
        <stp>BDH|7054570275427739937</stp>
        <tr r="N3" s="1"/>
      </tp>
      <tp t="s">
        <v>#N/A Requesting Data...1677645076</v>
        <stp/>
        <stp>BDH|5710079974310159915</stp>
        <tr r="L3" s="1"/>
      </tp>
      <tp t="s">
        <v>#N/A Requesting Data...4251950793</v>
        <stp/>
        <stp>BDP|6614610459362681385</stp>
        <tr r="E10" s="10"/>
      </tp>
      <tp t="s">
        <v>#N/A Requesting Data...3745549176</v>
        <stp/>
        <stp>BDH|2184028517626785080</stp>
        <tr r="H3" s="2"/>
      </tp>
      <tp t="s">
        <v>#N/A Requesting Data...3446738893</v>
        <stp/>
        <stp>BDH|4800396880739900349</stp>
        <tr r="D45" s="14"/>
      </tp>
      <tp t="s">
        <v>#N/A Requesting Data...3428321963</v>
        <stp/>
        <stp>BDP|3122389811593012513</stp>
        <tr r="C10" s="14"/>
      </tp>
      <tp t="s">
        <v>#N/A Requesting Data...3037665717</v>
        <stp/>
        <stp>BDH|3407640349110063662</stp>
        <tr r="L45" s="14"/>
      </tp>
      <tp t="s">
        <v>#N/A Requesting Data...3470421876</v>
        <stp/>
        <stp>BDH|4695581477882603444</stp>
        <tr r="F45" s="12"/>
      </tp>
      <tp t="s">
        <v>#N/A Requesting Data...1563346941</v>
        <stp/>
        <stp>BDP|1931107217112743305</stp>
        <tr r="D10" s="2"/>
      </tp>
      <tp t="s">
        <v>#N/A Requesting Data...3046537228</v>
        <stp/>
        <stp>BDP|8919074471278682748</stp>
        <tr r="C10" s="3"/>
      </tp>
      <tp t="s">
        <v>#N/A Requesting Data...1609686767</v>
        <stp/>
        <stp>BDP|6499873574608943180</stp>
        <tr r="B10" s="8"/>
      </tp>
      <tp t="s">
        <v>#N/A Requesting Data...1870523442</v>
        <stp/>
        <stp>BDP|9073119891745028595</stp>
        <tr r="E10" s="8"/>
      </tp>
      <tp t="s">
        <v>#N/A Requesting Data...3197343988</v>
        <stp/>
        <stp>BDP|7280882837258491593</stp>
        <tr r="D10" s="10"/>
      </tp>
      <tp t="s">
        <v>#N/A Requesting Data...4294579133</v>
        <stp/>
        <stp>BDH|1761758312845266334</stp>
        <tr r="F3" s="2"/>
      </tp>
      <tp t="s">
        <v>#N/A Requesting Data...2429755752</v>
        <stp/>
        <stp>BDH|8429645527114728918</stp>
        <tr r="G3" s="3"/>
      </tp>
      <tp t="s">
        <v>#N/A Requesting Data...2666080233</v>
        <stp/>
        <stp>BDH|1858332030387721460</stp>
        <tr r="J45" s="12"/>
      </tp>
      <tp t="s">
        <v>#N/A Requesting Data...4244319015</v>
        <stp/>
        <stp>BDP|4720520890802409863</stp>
        <tr r="B10" s="3"/>
      </tp>
      <tp t="s">
        <v>#N/A Requesting Data...2310617751</v>
        <stp/>
        <stp>BDP|2192385730727379645</stp>
        <tr r="C10" s="8"/>
      </tp>
      <tp t="s">
        <v>#N/A Requesting Data...2910036084</v>
        <stp/>
        <stp>BDH|7361281866961478167</stp>
        <tr r="F45" s="14"/>
      </tp>
      <tp t="s">
        <v>#N/A Requesting Data...1712092128</v>
        <stp/>
        <stp>BDH|1606979205929211226</stp>
        <tr r="G3" s="10"/>
      </tp>
      <tp t="s">
        <v>#N/A Requesting Data...1878200503</v>
        <stp/>
        <stp>BDP|519161733290183679</stp>
        <tr r="B10" s="9"/>
      </tp>
      <tp t="s">
        <v>#N/A Requesting Data...3991348838</v>
        <stp/>
        <stp>BDP|332801733094788947</stp>
        <tr r="D10" s="12"/>
        <tr r="B10" s="14"/>
      </tp>
      <tp t="s">
        <v>#N/A Requesting Data...3376839737</v>
        <stp/>
        <stp>BDP|416056535068485843</stp>
        <tr r="C10" s="2"/>
      </tp>
      <tp t="s">
        <v>#N/A Requesting Data...3752202748</v>
        <stp/>
        <stp>BDP|967432059673127000</stp>
        <tr r="G10" s="14"/>
      </tp>
      <tp t="s">
        <v>#N/A Requesting Data...1679717912</v>
        <stp/>
        <stp>BDH|755531004008709014</stp>
        <tr r="I3" s="10"/>
      </tp>
      <tp t="s">
        <v>#N/A Requesting Data...1776645764</v>
        <stp/>
        <stp>BDH|991921203191783085</stp>
        <tr r="G3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Basis'!$A$13:$A$313</c:f>
              <c:numCache>
                <c:formatCode>d\-mmm\-yy</c:formatCode>
                <c:ptCount val="287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45941</c:v>
                </c:pt>
                <c:pt idx="17">
                  <c:v>45942</c:v>
                </c:pt>
                <c:pt idx="18">
                  <c:v>45943</c:v>
                </c:pt>
                <c:pt idx="19">
                  <c:v>45944</c:v>
                </c:pt>
              </c:numCache>
            </c:numRef>
          </c:cat>
          <c:val>
            <c:numRef>
              <c:f>'ACAFP Basis'!$I$13:$I$313</c:f>
              <c:numCache>
                <c:formatCode>General</c:formatCode>
                <c:ptCount val="287"/>
                <c:pt idx="2" formatCode="_(&quot;$&quot;* #,##0.00_);_(&quot;$&quot;* \(#,##0.00\);_(&quot;$&quot;* &quot;-&quot;??_);_(@_)">
                  <c:v>20572.519958333647</c:v>
                </c:pt>
                <c:pt idx="3" formatCode="_(&quot;$&quot;* #,##0.00_);_(&quot;$&quot;* \(#,##0.00\);_(&quot;$&quot;* &quot;-&quot;??_);_(@_)">
                  <c:v>18236.58391666643</c:v>
                </c:pt>
                <c:pt idx="4" formatCode="_(&quot;$&quot;* #,##0.00_);_(&quot;$&quot;* \(#,##0.00\);_(&quot;$&quot;* &quot;-&quot;??_);_(@_)">
                  <c:v>45757.170791666686</c:v>
                </c:pt>
                <c:pt idx="5" formatCode="_(&quot;$&quot;* #,##0.00_);_(&quot;$&quot;* \(#,##0.00\);_(&quot;$&quot;* &quot;-&quot;??_);_(@_)">
                  <c:v>63393.419749999666</c:v>
                </c:pt>
                <c:pt idx="6" formatCode="_(&quot;$&quot;* #,##0.00_);_(&quot;$&quot;* \(#,##0.00\);_(&quot;$&quot;* &quot;-&quot;??_);_(@_)">
                  <c:v>61094.388208332988</c:v>
                </c:pt>
                <c:pt idx="7" formatCode="_(&quot;$&quot;* #,##0.00_);_(&quot;$&quot;* \(#,##0.00\);_(&quot;$&quot;* &quot;-&quot;??_);_(@_)">
                  <c:v>90173.865666666854</c:v>
                </c:pt>
                <c:pt idx="8" formatCode="_(&quot;$&quot;* #,##0.00_);_(&quot;$&quot;* \(#,##0.00\);_(&quot;$&quot;* &quot;-&quot;??_);_(@_)">
                  <c:v>74992.472625000097</c:v>
                </c:pt>
                <c:pt idx="9" formatCode="_(&quot;$&quot;* #,##0.00_);_(&quot;$&quot;* \(#,##0.00\);_(&quot;$&quot;* &quot;-&quot;??_);_(@_)">
                  <c:v>81807.740500000044</c:v>
                </c:pt>
                <c:pt idx="10" formatCode="_(&quot;$&quot;* #,##0.00_);_(&quot;$&quot;* \(#,##0.00\);_(&quot;$&quot;* &quot;-&quot;??_);_(@_)">
                  <c:v>59055.41124999959</c:v>
                </c:pt>
                <c:pt idx="11" formatCode="_(&quot;$&quot;* #,##0.00_);_(&quot;$&quot;* \(#,##0.00\);_(&quot;$&quot;* &quot;-&quot;??_);_(@_)">
                  <c:v>42354.969124999763</c:v>
                </c:pt>
                <c:pt idx="12" formatCode="_(&quot;$&quot;* #,##0.00_);_(&quot;$&quot;* \(#,##0.00\);_(&quot;$&quot;* &quot;-&quot;??_);_(@_)">
                  <c:v>38059.901083333454</c:v>
                </c:pt>
                <c:pt idx="13" formatCode="_(&quot;$&quot;* #,##0.00_);_(&quot;$&quot;* \(#,##0.00\);_(&quot;$&quot;* &quot;-&quot;??_);_(@_)">
                  <c:v>56211.406041666407</c:v>
                </c:pt>
                <c:pt idx="14" formatCode="_(&quot;$&quot;* #,##0.00_);_(&quot;$&quot;* \(#,##0.00\);_(&quot;$&quot;* &quot;-&quot;??_);_(@_)">
                  <c:v>63561.766500000376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45941</c:v>
                </c:pt>
              </c:numCache>
            </c:numRef>
          </c:cat>
          <c:val>
            <c:numRef>
              <c:f>'EU Defence vs Oil'!$K$15:$K$31</c:f>
              <c:numCache>
                <c:formatCode>_("$"* #,##0.00_);_("$"* \(#,##0.00\);_("$"* "-"??_);_(@_)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-42329.913333333294</c:v>
                </c:pt>
                <c:pt idx="4">
                  <c:v>-44763.016888888953</c:v>
                </c:pt>
                <c:pt idx="5">
                  <c:v>-23422.824444444454</c:v>
                </c:pt>
                <c:pt idx="6">
                  <c:v>-37585.432000000001</c:v>
                </c:pt>
                <c:pt idx="7">
                  <c:v>-34552.754666666689</c:v>
                </c:pt>
                <c:pt idx="8">
                  <c:v>-30957.394222222225</c:v>
                </c:pt>
                <c:pt idx="9">
                  <c:v>-38622.837777777735</c:v>
                </c:pt>
                <c:pt idx="10">
                  <c:v>-7581.4373333333551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  <c:pt idx="8">
                  <c:v>45937</c:v>
                </c:pt>
                <c:pt idx="9">
                  <c:v>45938</c:v>
                </c:pt>
                <c:pt idx="10">
                  <c:v>45939</c:v>
                </c:pt>
                <c:pt idx="11">
                  <c:v>45940</c:v>
                </c:pt>
                <c:pt idx="12">
                  <c:v>45941</c:v>
                </c:pt>
              </c:numCache>
            </c:numRef>
          </c:cat>
          <c:val>
            <c:numRef>
              <c:f>'EU Insurance CDS RV'!$H$15:$H$31</c:f>
              <c:numCache>
                <c:formatCode>_("$"* #,##0.00_);_("$"* \(#,##0.00\);_("$"* "-"??_);_(@_)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576.64088888886272</c:v>
                </c:pt>
                <c:pt idx="3">
                  <c:v>1236.6906666666409</c:v>
                </c:pt>
                <c:pt idx="4">
                  <c:v>1845.6524444444512</c:v>
                </c:pt>
                <c:pt idx="5">
                  <c:v>2891.3462222222843</c:v>
                </c:pt>
                <c:pt idx="6">
                  <c:v>3172.7475555555029</c:v>
                </c:pt>
                <c:pt idx="7">
                  <c:v>1308.5853333333362</c:v>
                </c:pt>
                <c:pt idx="8">
                  <c:v>3989.1351111111799</c:v>
                </c:pt>
                <c:pt idx="9">
                  <c:v>-4310.187111111155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45941</c:v>
                </c:pt>
              </c:numCache>
            </c:numRef>
          </c:cat>
          <c:val>
            <c:numRef>
              <c:f>Barclays!$H$15:$H$31</c:f>
              <c:numCache>
                <c:formatCode>_("$"* #,##0.00_);_("$"* \(#,##0.00\);_("$"* "-"??_);_(@_)</c:formatCode>
                <c:ptCount val="17"/>
                <c:pt idx="0">
                  <c:v>-43334.599305554519</c:v>
                </c:pt>
                <c:pt idx="1">
                  <c:v>-34469.198611110463</c:v>
                </c:pt>
                <c:pt idx="2">
                  <c:v>-58363.797916666808</c:v>
                </c:pt>
                <c:pt idx="3">
                  <c:v>-39307.595833332867</c:v>
                </c:pt>
                <c:pt idx="4">
                  <c:v>-40162.195138888332</c:v>
                </c:pt>
                <c:pt idx="5">
                  <c:v>-71636.794444445055</c:v>
                </c:pt>
                <c:pt idx="6">
                  <c:v>-50631.393749999603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'KSA RV'!$N$12:$N$14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'KSA RV'!$A$14:$A$29</c:f>
              <c:numCache>
                <c:formatCode>d\-mmm\-yy</c:formatCode>
                <c:ptCount val="16"/>
                <c:pt idx="0">
                  <c:v>45931</c:v>
                </c:pt>
                <c:pt idx="1">
                  <c:v>45932</c:v>
                </c:pt>
                <c:pt idx="2">
                  <c:v>45933</c:v>
                </c:pt>
                <c:pt idx="3">
                  <c:v>45936</c:v>
                </c:pt>
                <c:pt idx="4">
                  <c:v>45937</c:v>
                </c:pt>
                <c:pt idx="5">
                  <c:v>45938</c:v>
                </c:pt>
                <c:pt idx="6">
                  <c:v>45939</c:v>
                </c:pt>
                <c:pt idx="7">
                  <c:v>45940</c:v>
                </c:pt>
                <c:pt idx="8">
                  <c:v>45941</c:v>
                </c:pt>
              </c:numCache>
            </c:numRef>
          </c:cat>
          <c:val>
            <c:numRef>
              <c:f>'KSA RV'!$N$15:$N$31</c:f>
              <c:numCache>
                <c:formatCode>_("$"* #,##0.00_);_("$"* \(#,##0.00\);_("$"* "-"??_);_(@_)</c:formatCode>
                <c:ptCount val="17"/>
                <c:pt idx="0">
                  <c:v>-32686.938363333298</c:v>
                </c:pt>
                <c:pt idx="1">
                  <c:v>-19297.376726667459</c:v>
                </c:pt>
                <c:pt idx="2">
                  <c:v>-16258.991816669015</c:v>
                </c:pt>
                <c:pt idx="3">
                  <c:v>-18135.380180000517</c:v>
                </c:pt>
                <c:pt idx="4">
                  <c:v>740.55645666621695</c:v>
                </c:pt>
                <c:pt idx="5">
                  <c:v>-4144.7569066673595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D-48EB-8DCC-1B4115C35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Banks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Banks CDS RV'!$A$14:$A$29</c:f>
              <c:numCache>
                <c:formatCode>d\-mmm\-yy</c:formatCode>
                <c:ptCount val="16"/>
                <c:pt idx="0">
                  <c:v>45933</c:v>
                </c:pt>
                <c:pt idx="1">
                  <c:v>45936</c:v>
                </c:pt>
                <c:pt idx="2">
                  <c:v>45937</c:v>
                </c:pt>
                <c:pt idx="3">
                  <c:v>45938</c:v>
                </c:pt>
                <c:pt idx="4">
                  <c:v>45939</c:v>
                </c:pt>
                <c:pt idx="5">
                  <c:v>45940</c:v>
                </c:pt>
                <c:pt idx="6">
                  <c:v>45941</c:v>
                </c:pt>
              </c:numCache>
            </c:numRef>
          </c:cat>
          <c:val>
            <c:numRef>
              <c:f>'EU Banks CDS RV'!$H$15:$H$31</c:f>
              <c:numCache>
                <c:formatCode>_("$"* #,##0.00_);_("$"* \(#,##0.00\);_("$"* "-"??_);_(@_)</c:formatCode>
                <c:ptCount val="17"/>
                <c:pt idx="0">
                  <c:v>-1124.1733333332741</c:v>
                </c:pt>
                <c:pt idx="1">
                  <c:v>2470.7778888889206</c:v>
                </c:pt>
                <c:pt idx="2">
                  <c:v>-1164.4448888888392</c:v>
                </c:pt>
                <c:pt idx="3">
                  <c:v>5419.9733333333279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0-41EF-B27E-38BF0965A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ETF Compression'!$N$12:$N$14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ETF Compression'!$A$14:$A$29</c:f>
              <c:numCache>
                <c:formatCode>d\-mmm\-yy</c:formatCode>
                <c:ptCount val="16"/>
                <c:pt idx="0">
                  <c:v>45937</c:v>
                </c:pt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45941</c:v>
                </c:pt>
              </c:numCache>
            </c:numRef>
          </c:cat>
          <c:val>
            <c:numRef>
              <c:f>'EU ETF Compression'!$N$15:$N$31</c:f>
              <c:numCache>
                <c:formatCode>_("$"* #,##0.00_);_("$"* \(#,##0.00\);_("$"* "-"??_);_(@_)</c:formatCode>
                <c:ptCount val="17"/>
                <c:pt idx="0">
                  <c:v>-71160.386397814393</c:v>
                </c:pt>
                <c:pt idx="1">
                  <c:v>-127437.8560977312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9-4546-B1F8-63545A09C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ETF Compression'!$T$12:$T$14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ETF Compression'!$A$14:$A$29</c:f>
              <c:numCache>
                <c:formatCode>d\-mmm\-yy</c:formatCode>
                <c:ptCount val="16"/>
                <c:pt idx="0">
                  <c:v>45915</c:v>
                </c:pt>
                <c:pt idx="1">
                  <c:v>45916</c:v>
                </c:pt>
                <c:pt idx="2">
                  <c:v>45917</c:v>
                </c:pt>
                <c:pt idx="3">
                  <c:v>45918</c:v>
                </c:pt>
                <c:pt idx="4">
                  <c:v>45919</c:v>
                </c:pt>
                <c:pt idx="5">
                  <c:v>45922</c:v>
                </c:pt>
                <c:pt idx="6">
                  <c:v>45923</c:v>
                </c:pt>
                <c:pt idx="7">
                  <c:v>45924</c:v>
                </c:pt>
                <c:pt idx="8">
                  <c:v>45925</c:v>
                </c:pt>
                <c:pt idx="9">
                  <c:v>45926</c:v>
                </c:pt>
                <c:pt idx="10">
                  <c:v>45929</c:v>
                </c:pt>
                <c:pt idx="11">
                  <c:v>45930</c:v>
                </c:pt>
                <c:pt idx="12">
                  <c:v>45931</c:v>
                </c:pt>
                <c:pt idx="13">
                  <c:v>45932</c:v>
                </c:pt>
                <c:pt idx="14">
                  <c:v>45933</c:v>
                </c:pt>
                <c:pt idx="15">
                  <c:v>45936</c:v>
                </c:pt>
              </c:numCache>
            </c:numRef>
          </c:cat>
          <c:val>
            <c:numRef>
              <c:f>'US ETF Compression'!$T$15:$T$31</c:f>
              <c:numCache>
                <c:formatCode>_("$"* #,##0_);_("$"* \(#,##0\);_("$"* "-"??_);_(@_)</c:formatCode>
                <c:ptCount val="17"/>
                <c:pt idx="0">
                  <c:v>31217.214616930833</c:v>
                </c:pt>
                <c:pt idx="1">
                  <c:v>-40274.442201504164</c:v>
                </c:pt>
                <c:pt idx="2">
                  <c:v>45075.639234011898</c:v>
                </c:pt>
                <c:pt idx="3">
                  <c:v>42451.761896485979</c:v>
                </c:pt>
                <c:pt idx="4">
                  <c:v>108871.49256401924</c:v>
                </c:pt>
                <c:pt idx="5">
                  <c:v>106697.93186877367</c:v>
                </c:pt>
                <c:pt idx="6">
                  <c:v>131978.59209042153</c:v>
                </c:pt>
                <c:pt idx="7">
                  <c:v>92444.507231884942</c:v>
                </c:pt>
                <c:pt idx="8">
                  <c:v>108259.48657025544</c:v>
                </c:pt>
                <c:pt idx="9">
                  <c:v>145392.45495853462</c:v>
                </c:pt>
                <c:pt idx="10">
                  <c:v>115643.94561680552</c:v>
                </c:pt>
                <c:pt idx="11">
                  <c:v>99114.446437403763</c:v>
                </c:pt>
                <c:pt idx="12">
                  <c:v>73234.049773876992</c:v>
                </c:pt>
                <c:pt idx="13">
                  <c:v>22942.234283888927</c:v>
                </c:pt>
                <c:pt idx="14">
                  <c:v>68433.5164725629</c:v>
                </c:pt>
                <c:pt idx="15">
                  <c:v>18088.264775209918</c:v>
                </c:pt>
                <c:pt idx="16">
                  <c:v>41148.901177205451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2-4419-A0DA-A27446B1B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 IG Cash Curve'!$T$12:$T$14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'US IG Cash Curve'!$A$14:$A$21</c:f>
              <c:numCache>
                <c:formatCode>d\-mmm\-yy</c:formatCode>
                <c:ptCount val="8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  <c:pt idx="4">
                  <c:v>45931</c:v>
                </c:pt>
                <c:pt idx="5">
                  <c:v>45932</c:v>
                </c:pt>
                <c:pt idx="6">
                  <c:v>45933</c:v>
                </c:pt>
                <c:pt idx="7">
                  <c:v>45936</c:v>
                </c:pt>
              </c:numCache>
            </c:numRef>
          </c:cat>
          <c:val>
            <c:numRef>
              <c:f>'US IG Cash Curve'!$T$15:$T$31</c:f>
              <c:numCache>
                <c:formatCode>_("$"* #,##0_);_("$"* \(#,##0\);_("$"* "-"??_);_(@_)</c:formatCode>
                <c:ptCount val="17"/>
                <c:pt idx="0">
                  <c:v>-55382.275611917656</c:v>
                </c:pt>
                <c:pt idx="1">
                  <c:v>-43004.817213670685</c:v>
                </c:pt>
                <c:pt idx="2">
                  <c:v>-51000.88574030342</c:v>
                </c:pt>
                <c:pt idx="3">
                  <c:v>-6247.6096224775101</c:v>
                </c:pt>
                <c:pt idx="4">
                  <c:v>-23146.914097216068</c:v>
                </c:pt>
                <c:pt idx="5">
                  <c:v>-46778.870482892766</c:v>
                </c:pt>
                <c:pt idx="6">
                  <c:v>-50093.547582631712</c:v>
                </c:pt>
                <c:pt idx="7">
                  <c:v>-20117.184810696766</c:v>
                </c:pt>
                <c:pt idx="8">
                  <c:v>-34393.672446354423</c:v>
                </c:pt>
                <c:pt idx="9">
                  <c:v>-36610.300623187359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E-457A-8C85-67FD5B679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0</xdr:row>
      <xdr:rowOff>0</xdr:rowOff>
    </xdr:from>
    <xdr:to>
      <xdr:col>27</xdr:col>
      <xdr:colOff>100014</xdr:colOff>
      <xdr:row>20</xdr:row>
      <xdr:rowOff>62706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3C198-CB3C-49EB-9C05-1EDDE076B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149445-5CB1-45F4-A0EC-FB75467E43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486453</xdr:colOff>
      <xdr:row>13</xdr:row>
      <xdr:rowOff>151492</xdr:rowOff>
    </xdr:from>
    <xdr:to>
      <xdr:col>27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1C4BB9-043A-4F9D-A89B-8C3655702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60682F-C604-4268-A9CB-FB46889B8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486453</xdr:colOff>
      <xdr:row>13</xdr:row>
      <xdr:rowOff>151492</xdr:rowOff>
    </xdr:from>
    <xdr:to>
      <xdr:col>33</xdr:col>
      <xdr:colOff>210003</xdr:colOff>
      <xdr:row>35</xdr:row>
      <xdr:rowOff>128472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3DB794-5FE6-4AEB-A433-77F98641B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zoomScale="80" zoomScaleNormal="80" workbookViewId="0">
      <selection activeCell="F44" sqref="F44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2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8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L1" s="53">
        <f ca="1">TODAY()-5</f>
        <v>45934</v>
      </c>
    </row>
    <row r="2" spans="1:15" ht="15" thickBot="1" x14ac:dyDescent="0.35">
      <c r="A2" s="14"/>
      <c r="B2" s="27" t="s">
        <v>0</v>
      </c>
      <c r="C2" s="28" t="s">
        <v>1</v>
      </c>
      <c r="D2" s="3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3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45936</v>
      </c>
      <c r="M3" s="3">
        <f ca="1"/>
        <v>106.31399999999999</v>
      </c>
      <c r="N3" s="53" cm="1">
        <f t="array" aca="1" ref="N3:O6" ca="1">_xll.BDH($C$4, "PX_LAST, ", $L$1, "")</f>
        <v>45936</v>
      </c>
      <c r="O3" s="3">
        <f ca="1"/>
        <v>100.465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3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45937</v>
      </c>
      <c r="M4" s="3">
        <f ca="1"/>
        <v>106.738</v>
      </c>
      <c r="N4" s="53">
        <f ca="1"/>
        <v>45937</v>
      </c>
      <c r="O4" s="3">
        <f ca="1"/>
        <v>100.452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31"/>
      <c r="E5" s="1"/>
      <c r="F5" s="16" t="s">
        <v>11</v>
      </c>
      <c r="G5" s="1"/>
      <c r="H5" s="1">
        <v>103.506</v>
      </c>
      <c r="I5" s="1"/>
      <c r="J5" s="5"/>
      <c r="L5" s="53">
        <f ca="1"/>
        <v>45938</v>
      </c>
      <c r="M5" s="3">
        <f ca="1"/>
        <v>104.556</v>
      </c>
      <c r="N5" s="53">
        <f ca="1"/>
        <v>45938</v>
      </c>
      <c r="O5" s="3">
        <f ca="1"/>
        <v>100.593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3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45939</v>
      </c>
      <c r="M6" s="3">
        <f ca="1"/>
        <v>104.021</v>
      </c>
      <c r="N6" s="53">
        <f ca="1"/>
        <v>45939</v>
      </c>
      <c r="O6" s="3">
        <f ca="1"/>
        <v>100.42400000000001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31"/>
      <c r="E7" s="1"/>
      <c r="I7" s="3"/>
      <c r="L7" s="53"/>
      <c r="N7" s="53"/>
    </row>
    <row r="8" spans="1:15" x14ac:dyDescent="0.3">
      <c r="A8" s="15" t="s">
        <v>14</v>
      </c>
      <c r="B8" s="15">
        <v>4.46</v>
      </c>
      <c r="C8" s="5"/>
      <c r="D8" s="3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104.0206</v>
      </c>
      <c r="C10" s="13" cm="1">
        <f t="array" ref="C10">_xll.BDP(C4,"PX_LAST")</f>
        <v>100.42400000000001</v>
      </c>
      <c r="D10" s="3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100" t="s">
        <v>0</v>
      </c>
      <c r="C12" s="101"/>
      <c r="D12" s="101"/>
      <c r="E12" s="102"/>
      <c r="F12" s="103" t="s">
        <v>1</v>
      </c>
      <c r="G12" s="104"/>
      <c r="H12" s="105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50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84">
        <f>(D15+E15)*$B$9-G15-H15</f>
        <v>20572.519958333647</v>
      </c>
      <c r="J15" s="1"/>
      <c r="L15" s="53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9" si="2">(F16-$F$14)/100*$C$5</f>
        <v>73500.000000000291</v>
      </c>
      <c r="H16" s="32">
        <f t="shared" ref="H16:H34" si="3">$C$6*(A16-$A$14)/360*$C$5-$C$7*(A16-$A$14)/360*$C$5*$F$14/100</f>
        <v>1102.5520833333339</v>
      </c>
      <c r="I16" s="84">
        <f t="shared" ref="I16:I33" si="4">(D16+E16)*$B$9-G16-H16</f>
        <v>18236.58391666643</v>
      </c>
      <c r="J16" s="1"/>
      <c r="L16" s="53"/>
    </row>
    <row r="17" spans="1:12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84">
        <f t="shared" si="4"/>
        <v>45757.170791666686</v>
      </c>
      <c r="J17" s="1"/>
      <c r="L17" s="53"/>
    </row>
    <row r="18" spans="1:12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84">
        <f t="shared" si="4"/>
        <v>63393.419749999666</v>
      </c>
      <c r="J18" s="1"/>
      <c r="L18" s="53"/>
    </row>
    <row r="19" spans="1:12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84">
        <f t="shared" si="4"/>
        <v>61094.388208332988</v>
      </c>
      <c r="J19" s="1"/>
      <c r="L19" s="53"/>
    </row>
    <row r="20" spans="1:12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84">
        <f t="shared" si="4"/>
        <v>90173.865666666854</v>
      </c>
      <c r="J20" s="1"/>
      <c r="L20" s="53"/>
    </row>
    <row r="21" spans="1:12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84">
        <f t="shared" si="4"/>
        <v>74992.472625000097</v>
      </c>
      <c r="J21" s="1"/>
      <c r="L21" s="53"/>
    </row>
    <row r="22" spans="1:12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84">
        <f t="shared" si="4"/>
        <v>81807.740500000044</v>
      </c>
      <c r="J22" s="1"/>
    </row>
    <row r="23" spans="1:12" hidden="1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84">
        <f t="shared" si="4"/>
        <v>60914.435958333328</v>
      </c>
      <c r="J23" s="1"/>
    </row>
    <row r="24" spans="1:12" hidden="1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84">
        <f t="shared" si="4"/>
        <v>74009.595416666678</v>
      </c>
      <c r="J24" s="1"/>
    </row>
    <row r="25" spans="1:12" hidden="1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84">
        <f t="shared" si="4"/>
        <v>33945.590374999971</v>
      </c>
      <c r="J25" s="1"/>
    </row>
    <row r="26" spans="1:12" hidden="1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84">
        <f t="shared" si="4"/>
        <v>26106.814333333008</v>
      </c>
      <c r="J26" s="1"/>
    </row>
    <row r="27" spans="1:12" hidden="1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84"/>
      <c r="J27" s="1"/>
    </row>
    <row r="28" spans="1:12" hidden="1" x14ac:dyDescent="0.3">
      <c r="A28" s="37">
        <v>45922</v>
      </c>
      <c r="B28" s="4">
        <v>103.506</v>
      </c>
      <c r="C28" s="1">
        <f t="shared" ref="C28:C39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84">
        <f t="shared" si="4"/>
        <v>32354.597708333502</v>
      </c>
      <c r="J28" s="1"/>
    </row>
    <row r="29" spans="1:12" hidden="1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84">
        <f t="shared" si="4"/>
        <v>32365.614166666328</v>
      </c>
      <c r="J29" s="1"/>
    </row>
    <row r="30" spans="1:12" hidden="1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84">
        <f t="shared" si="4"/>
        <v>34935.891624999553</v>
      </c>
      <c r="J30" s="1"/>
    </row>
    <row r="31" spans="1:12" hidden="1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9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84">
        <f t="shared" si="4"/>
        <v>32388.287583332876</v>
      </c>
      <c r="J31" s="1"/>
    </row>
    <row r="32" spans="1:12" hidden="1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84">
        <f t="shared" si="4"/>
        <v>11025.391541666799</v>
      </c>
      <c r="J32" s="1"/>
    </row>
    <row r="33" spans="1:10" hidden="1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84">
        <f t="shared" si="4"/>
        <v>34122.251916666726</v>
      </c>
      <c r="J33" s="1"/>
    </row>
    <row r="34" spans="1:10" hidden="1" x14ac:dyDescent="0.3">
      <c r="A34" s="37">
        <v>45930</v>
      </c>
      <c r="B34" s="4">
        <v>105.137</v>
      </c>
      <c r="C34" s="1">
        <f t="shared" si="5"/>
        <v>93.596000000000004</v>
      </c>
      <c r="D34" s="31">
        <f t="shared" si="6"/>
        <v>143879.59999999995</v>
      </c>
      <c r="E34" s="32">
        <f t="shared" si="7"/>
        <v>18750</v>
      </c>
      <c r="F34" s="4">
        <v>100.81</v>
      </c>
      <c r="G34" s="1">
        <f t="shared" si="2"/>
        <v>145125.00000000017</v>
      </c>
      <c r="H34" s="32">
        <f t="shared" si="3"/>
        <v>14884.453125000007</v>
      </c>
      <c r="I34" s="84">
        <f t="shared" ref="I34:I39" si="8">(D34+E34)*$B$9-G34-H34</f>
        <v>30267.178874999743</v>
      </c>
      <c r="J34" s="1"/>
    </row>
    <row r="35" spans="1:10" hidden="1" x14ac:dyDescent="0.3">
      <c r="A35" s="37">
        <v>45931</v>
      </c>
      <c r="B35" s="4">
        <v>104.288</v>
      </c>
      <c r="C35" s="1">
        <f t="shared" si="5"/>
        <v>92.747</v>
      </c>
      <c r="D35" s="31">
        <f t="shared" ref="D35:D40" si="9">-1*(C35-$C$14)*10^-4*$B$8*$B$5</f>
        <v>153345.95000000001</v>
      </c>
      <c r="E35" s="32">
        <f t="shared" si="7"/>
        <v>19444.444444444445</v>
      </c>
      <c r="F35" s="4">
        <v>100.845</v>
      </c>
      <c r="G35" s="1">
        <f t="shared" si="2"/>
        <v>147749.99999999991</v>
      </c>
      <c r="H35" s="32">
        <f t="shared" ref="H35" si="10">$C$6*(A35-$A$14)/360*$C$5-$C$7*(A35-$A$14)/360*$C$5*$F$14/100</f>
        <v>15435.729166666664</v>
      </c>
      <c r="I35" s="84">
        <f t="shared" si="8"/>
        <v>38979.032333333416</v>
      </c>
      <c r="J35" s="1"/>
    </row>
    <row r="36" spans="1:10" hidden="1" x14ac:dyDescent="0.3">
      <c r="A36" s="37">
        <v>45932</v>
      </c>
      <c r="B36" s="4">
        <v>102.09</v>
      </c>
      <c r="C36" s="1">
        <f t="shared" si="5"/>
        <v>90.549000000000007</v>
      </c>
      <c r="D36" s="31">
        <f t="shared" si="9"/>
        <v>177853.64999999994</v>
      </c>
      <c r="E36" s="32">
        <f t="shared" si="7"/>
        <v>20138.888888888887</v>
      </c>
      <c r="F36" s="4">
        <v>101.143</v>
      </c>
      <c r="G36" s="1">
        <f t="shared" si="2"/>
        <v>170100.00000000003</v>
      </c>
      <c r="H36" s="32">
        <f t="shared" ref="H36:H41" si="11">$C$6*(A36-$A$14)/360*$C$5-$C$7*(A36-$A$14)/360*$C$5*$F$14/100</f>
        <v>15987.005208333343</v>
      </c>
      <c r="I36" s="84">
        <f t="shared" si="8"/>
        <v>45564.265291666525</v>
      </c>
      <c r="J36" s="1"/>
    </row>
    <row r="37" spans="1:10" x14ac:dyDescent="0.3">
      <c r="A37" s="37">
        <v>45933</v>
      </c>
      <c r="B37" s="4">
        <v>101.806</v>
      </c>
      <c r="C37" s="1">
        <f t="shared" si="5"/>
        <v>90.265000000000001</v>
      </c>
      <c r="D37" s="31">
        <f t="shared" si="9"/>
        <v>181020.25</v>
      </c>
      <c r="E37" s="32">
        <f t="shared" si="7"/>
        <v>20833.333333333332</v>
      </c>
      <c r="F37" s="4">
        <v>101.01600000000001</v>
      </c>
      <c r="G37" s="1">
        <f t="shared" si="2"/>
        <v>160575.00000000041</v>
      </c>
      <c r="H37" s="32">
        <f t="shared" si="11"/>
        <v>16538.281250000007</v>
      </c>
      <c r="I37" s="84">
        <f t="shared" si="8"/>
        <v>59055.41124999959</v>
      </c>
      <c r="J37" s="1"/>
    </row>
    <row r="38" spans="1:10" x14ac:dyDescent="0.3">
      <c r="A38" s="37">
        <v>45936</v>
      </c>
      <c r="B38" s="4">
        <v>106.31399999999999</v>
      </c>
      <c r="C38" s="1">
        <f t="shared" si="5"/>
        <v>94.772999999999996</v>
      </c>
      <c r="D38" s="31">
        <f t="shared" si="9"/>
        <v>130756.05000000005</v>
      </c>
      <c r="E38" s="32">
        <f t="shared" si="7"/>
        <v>22916.666666666668</v>
      </c>
      <c r="F38" s="4">
        <v>100.465</v>
      </c>
      <c r="G38" s="1">
        <f t="shared" si="2"/>
        <v>119250.00000000026</v>
      </c>
      <c r="H38" s="32">
        <f t="shared" si="11"/>
        <v>18192.109375000007</v>
      </c>
      <c r="I38" s="84">
        <f t="shared" si="8"/>
        <v>42354.969124999763</v>
      </c>
      <c r="J38" s="1"/>
    </row>
    <row r="39" spans="1:10" x14ac:dyDescent="0.3">
      <c r="A39" s="37">
        <v>45937</v>
      </c>
      <c r="B39" s="4">
        <v>106.738</v>
      </c>
      <c r="C39" s="1">
        <f t="shared" si="5"/>
        <v>95.197000000000003</v>
      </c>
      <c r="D39" s="31">
        <f t="shared" si="9"/>
        <v>126028.45</v>
      </c>
      <c r="E39" s="32">
        <f t="shared" si="7"/>
        <v>23611.111111111113</v>
      </c>
      <c r="F39" s="4">
        <v>100.452</v>
      </c>
      <c r="G39" s="1">
        <f t="shared" si="2"/>
        <v>118274.99999999987</v>
      </c>
      <c r="H39" s="32">
        <f t="shared" si="11"/>
        <v>18743.385416666664</v>
      </c>
      <c r="I39" s="84">
        <f t="shared" si="8"/>
        <v>38059.901083333454</v>
      </c>
      <c r="J39" s="1"/>
    </row>
    <row r="40" spans="1:10" x14ac:dyDescent="0.3">
      <c r="A40" s="37">
        <v>45938</v>
      </c>
      <c r="B40" s="4">
        <v>104.556</v>
      </c>
      <c r="C40" s="1">
        <f t="shared" ref="C40" si="12">B40-$G$6</f>
        <v>93.015000000000001</v>
      </c>
      <c r="D40" s="31">
        <f t="shared" si="9"/>
        <v>150357.75</v>
      </c>
      <c r="E40" s="32">
        <f t="shared" ref="E40" si="13">$B$6*(A40-$A$14)/360*$B$5</f>
        <v>24305.555555555558</v>
      </c>
      <c r="F40" s="4">
        <v>100.593</v>
      </c>
      <c r="G40" s="1">
        <f t="shared" ref="G40" si="14">(F40-$F$14)/100*$C$5</f>
        <v>128850.00000000026</v>
      </c>
      <c r="H40" s="32">
        <f t="shared" si="11"/>
        <v>19294.661458333336</v>
      </c>
      <c r="I40" s="84">
        <f t="shared" ref="I40" si="15">(D40+E40)*$B$9-G40-H40</f>
        <v>56211.406041666407</v>
      </c>
      <c r="J40" s="1"/>
    </row>
    <row r="41" spans="1:10" x14ac:dyDescent="0.3">
      <c r="A41" s="37">
        <v>45939</v>
      </c>
      <c r="B41" s="4">
        <v>104.553</v>
      </c>
      <c r="C41" s="1">
        <f t="shared" ref="C41" si="16">B41-$G$6</f>
        <v>93.012</v>
      </c>
      <c r="D41" s="31">
        <f t="shared" ref="D41" si="17">-1*(C41-$C$14)*10^-4*$B$8*$B$5</f>
        <v>150391.20000000001</v>
      </c>
      <c r="E41" s="32">
        <f t="shared" ref="E41" si="18">$B$6*(A41-$A$14)/360*$B$5</f>
        <v>25000</v>
      </c>
      <c r="F41" s="4">
        <v>100.499</v>
      </c>
      <c r="G41" s="1">
        <f t="shared" ref="G41" si="19">(F41-$F$14)/100*$C$5</f>
        <v>121799.99999999964</v>
      </c>
      <c r="H41" s="32">
        <f t="shared" si="11"/>
        <v>19845.937499999989</v>
      </c>
      <c r="I41" s="84">
        <f t="shared" ref="I41" si="20">(D41+E41)*$B$9-G41-H41</f>
        <v>63561.766500000376</v>
      </c>
      <c r="J41" s="1"/>
    </row>
    <row r="42" spans="1:10" x14ac:dyDescent="0.3">
      <c r="A42" s="37">
        <v>45940</v>
      </c>
      <c r="B42" s="4"/>
      <c r="C42" s="1"/>
      <c r="D42" s="31"/>
      <c r="E42" s="5"/>
      <c r="F42" s="4"/>
      <c r="G42" s="1"/>
      <c r="H42" s="5"/>
      <c r="I42" s="84"/>
      <c r="J42" s="1"/>
    </row>
    <row r="43" spans="1:10" x14ac:dyDescent="0.3">
      <c r="A43" s="37">
        <v>45941</v>
      </c>
      <c r="B43" s="4"/>
      <c r="C43" s="1"/>
      <c r="D43" s="31"/>
      <c r="E43" s="5"/>
      <c r="F43" s="4"/>
      <c r="G43" s="1"/>
      <c r="H43" s="5"/>
      <c r="I43" s="84"/>
      <c r="J43" s="1"/>
    </row>
    <row r="44" spans="1:10" x14ac:dyDescent="0.3">
      <c r="A44" s="37">
        <v>45942</v>
      </c>
      <c r="B44" s="4"/>
      <c r="C44" s="1"/>
      <c r="D44" s="31"/>
      <c r="E44" s="5"/>
      <c r="F44" s="4"/>
      <c r="G44" s="1"/>
      <c r="H44" s="5"/>
      <c r="I44" s="84"/>
      <c r="J44" s="1"/>
    </row>
    <row r="45" spans="1:10" x14ac:dyDescent="0.3">
      <c r="A45" s="37">
        <v>45943</v>
      </c>
      <c r="B45" s="34"/>
      <c r="E45" s="35"/>
      <c r="F45" s="34"/>
      <c r="H45" s="35"/>
      <c r="I45" s="86"/>
    </row>
    <row r="46" spans="1:10" ht="15" thickBot="1" x14ac:dyDescent="0.35">
      <c r="A46" s="37">
        <v>45944</v>
      </c>
      <c r="B46" s="36"/>
      <c r="C46" s="12"/>
      <c r="D46" s="72"/>
      <c r="E46" s="13"/>
      <c r="F46" s="36"/>
      <c r="G46" s="12"/>
      <c r="H46" s="13"/>
      <c r="I46" s="87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H28" sqref="H28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11.88671875" style="55" bestFit="1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45934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45936</v>
      </c>
      <c r="G3" s="1">
        <f ca="1"/>
        <v>46.728999999999999</v>
      </c>
      <c r="H3" s="53" cm="1">
        <f t="array" aca="1" ref="H3:I6" ca="1">_xll.BDH($C$4, "PX_LAST, ", $F$1, "")</f>
        <v>45936</v>
      </c>
      <c r="I3" s="47">
        <f ca="1"/>
        <v>34.582000000000001</v>
      </c>
      <c r="J3" s="53" cm="1">
        <f t="array" aca="1" ref="J3:K6" ca="1">_xll.BDH($D$4, "PX_LAST, ", $F$1, "")</f>
        <v>45936</v>
      </c>
      <c r="K3" s="1">
        <f ca="1"/>
        <v>48.448999999999998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78">
        <f ca="1"/>
        <v>45937</v>
      </c>
      <c r="G4" s="1">
        <f ca="1"/>
        <v>47.106999999999999</v>
      </c>
      <c r="H4" s="54">
        <f ca="1"/>
        <v>45937</v>
      </c>
      <c r="I4" s="1">
        <f ca="1"/>
        <v>34.889000000000003</v>
      </c>
      <c r="J4" s="54">
        <f ca="1"/>
        <v>45937</v>
      </c>
      <c r="K4" s="1">
        <f ca="1"/>
        <v>49.048000000000002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78">
        <f ca="1"/>
        <v>45938</v>
      </c>
      <c r="G5" s="1">
        <f ca="1"/>
        <v>47.887999999999998</v>
      </c>
      <c r="H5" s="54">
        <f ca="1"/>
        <v>45938</v>
      </c>
      <c r="I5" s="1">
        <f ca="1"/>
        <v>35.597999999999999</v>
      </c>
      <c r="J5" s="54">
        <f ca="1"/>
        <v>45938</v>
      </c>
      <c r="K5" s="1">
        <f ca="1"/>
        <v>49.271000000000001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78">
        <f ca="1"/>
        <v>45939</v>
      </c>
      <c r="G6" s="1">
        <f ca="1"/>
        <v>47.433</v>
      </c>
      <c r="H6" s="54">
        <f ca="1"/>
        <v>45939</v>
      </c>
      <c r="I6" s="1">
        <f ca="1"/>
        <v>34.442</v>
      </c>
      <c r="J6" s="54">
        <f ca="1"/>
        <v>45939</v>
      </c>
      <c r="K6" s="1">
        <f ca="1"/>
        <v>49.786999999999999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F7" s="78"/>
      <c r="G7" s="1"/>
      <c r="H7" s="54"/>
      <c r="I7" s="1"/>
      <c r="J7" s="54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47.43282</v>
      </c>
      <c r="C10" s="21" cm="1">
        <f t="array" ref="C10">_xll.BDP(C4,"px_last")</f>
        <v>34.441540000000003</v>
      </c>
      <c r="D10" s="22" cm="1">
        <f t="array" ref="D10">_xll.BDP(D4,"px_last")</f>
        <v>49.787210000000002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6" t="s">
        <v>0</v>
      </c>
      <c r="F12" s="107"/>
      <c r="G12" s="108"/>
      <c r="H12" s="103" t="s">
        <v>1</v>
      </c>
      <c r="I12" s="104"/>
      <c r="J12" s="105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25</v>
      </c>
      <c r="I13" s="21" t="s">
        <v>19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84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84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84">
        <f t="shared" si="6"/>
        <v>-43588.029777777825</v>
      </c>
      <c r="L17" s="1"/>
    </row>
    <row r="18" spans="1:12" x14ac:dyDescent="0.3">
      <c r="A18" s="37">
        <v>45930</v>
      </c>
      <c r="B18" s="46">
        <v>47.238</v>
      </c>
      <c r="C18" s="31">
        <f t="shared" ref="C18:C23" si="7">-1*(B18-$B$14)*10^-4*$B$8*$B$5</f>
        <v>-22462.552</v>
      </c>
      <c r="D18" s="32">
        <f t="shared" ref="D18:D23" si="8">$B$6*(A18-$A$14)/360*$B$5</f>
        <v>11666.66666666667</v>
      </c>
      <c r="E18" s="4">
        <v>35.067999999999998</v>
      </c>
      <c r="F18" s="31">
        <f t="shared" ref="F18:F23" si="9">-1*(E18-$E$14)*10^-4*$C$8*$C$5</f>
        <v>-8646.5279999999839</v>
      </c>
      <c r="G18" s="32">
        <f t="shared" ref="G18:G23" si="10">$C$6*(A18-$A$14)/360*$C$5</f>
        <v>2666.6666666666665</v>
      </c>
      <c r="H18" s="4">
        <v>49.289000000000001</v>
      </c>
      <c r="I18" s="31">
        <f t="shared" ref="I18:I23" si="11">-1*(H18-$H$14)*10^-4*$D$8*$D$5</f>
        <v>21387.499999999982</v>
      </c>
      <c r="J18" s="32">
        <f t="shared" ref="J18" si="12">$D$6*(A18-$A$14)/360*$D$5</f>
        <v>4166.666666666667</v>
      </c>
      <c r="K18" s="84">
        <f>C18+D18+F18+G18-I18-J18</f>
        <v>-42329.913333333294</v>
      </c>
      <c r="L18" s="1"/>
    </row>
    <row r="19" spans="1:12" x14ac:dyDescent="0.3">
      <c r="A19" s="37">
        <v>45931</v>
      </c>
      <c r="B19" s="46">
        <v>47.076000000000001</v>
      </c>
      <c r="C19" s="31">
        <f t="shared" si="7"/>
        <v>-21133.504000000008</v>
      </c>
      <c r="D19" s="32">
        <f t="shared" si="8"/>
        <v>13611.111111111113</v>
      </c>
      <c r="E19" s="4">
        <v>35.444000000000003</v>
      </c>
      <c r="F19" s="31">
        <f t="shared" si="9"/>
        <v>-11690.62400000002</v>
      </c>
      <c r="G19" s="32">
        <f t="shared" si="10"/>
        <v>3111.1111111111113</v>
      </c>
      <c r="H19" s="4">
        <v>49.095999999999997</v>
      </c>
      <c r="I19" s="31">
        <f t="shared" si="11"/>
        <v>23800.00000000004</v>
      </c>
      <c r="J19" s="32">
        <f t="shared" ref="J19" si="13">$D$6*(A19-$A$14)/360*$D$5</f>
        <v>4861.1111111111113</v>
      </c>
      <c r="K19" s="84">
        <f t="shared" ref="K19" si="14">C19+D19+F19+G19-I19-J19</f>
        <v>-44763.016888888953</v>
      </c>
      <c r="L19" s="1"/>
    </row>
    <row r="20" spans="1:12" x14ac:dyDescent="0.3">
      <c r="A20" s="37">
        <v>45932</v>
      </c>
      <c r="B20" s="46">
        <v>46.082000000000001</v>
      </c>
      <c r="C20" s="31">
        <f t="shared" si="7"/>
        <v>-12978.728000000006</v>
      </c>
      <c r="D20" s="32">
        <f t="shared" si="8"/>
        <v>15555.555555555555</v>
      </c>
      <c r="E20" s="4">
        <v>33.387</v>
      </c>
      <c r="F20" s="31">
        <f t="shared" si="9"/>
        <v>4962.8479999999963</v>
      </c>
      <c r="G20" s="32">
        <f t="shared" si="10"/>
        <v>3555.5555555555557</v>
      </c>
      <c r="H20" s="4">
        <v>48.683</v>
      </c>
      <c r="I20" s="31">
        <f t="shared" si="11"/>
        <v>28962.5</v>
      </c>
      <c r="J20" s="32">
        <f t="shared" ref="J20" si="15">$D$6*(A20-$A$14)/360*$D$5</f>
        <v>5555.5555555555557</v>
      </c>
      <c r="K20" s="84">
        <f t="shared" ref="K20" si="16">C20+D20+F20+G20-I20-J20</f>
        <v>-23422.824444444454</v>
      </c>
      <c r="L20" s="1"/>
    </row>
    <row r="21" spans="1:12" x14ac:dyDescent="0.3">
      <c r="A21" s="37">
        <v>45933</v>
      </c>
      <c r="B21" s="46">
        <v>46.137</v>
      </c>
      <c r="C21" s="31">
        <f t="shared" si="7"/>
        <v>-13429.948000000004</v>
      </c>
      <c r="D21" s="32">
        <f t="shared" si="8"/>
        <v>17500</v>
      </c>
      <c r="E21" s="4">
        <v>33.853999999999999</v>
      </c>
      <c r="F21" s="31">
        <f t="shared" si="9"/>
        <v>1182.0160000000064</v>
      </c>
      <c r="G21" s="32">
        <f t="shared" si="10"/>
        <v>4000</v>
      </c>
      <c r="H21" s="4">
        <v>47.753</v>
      </c>
      <c r="I21" s="31">
        <f t="shared" si="11"/>
        <v>40587.5</v>
      </c>
      <c r="J21" s="32">
        <f t="shared" ref="J21" si="17">$D$6*(A21-$A$14)/360*$D$5</f>
        <v>6250</v>
      </c>
      <c r="K21" s="84">
        <f t="shared" ref="K21" si="18">C21+D21+F21+G21-I21-J21</f>
        <v>-37585.432000000001</v>
      </c>
      <c r="L21" s="1"/>
    </row>
    <row r="22" spans="1:12" x14ac:dyDescent="0.3">
      <c r="A22" s="37">
        <v>45936</v>
      </c>
      <c r="B22" s="46">
        <v>46.728999999999999</v>
      </c>
      <c r="C22" s="31">
        <f t="shared" si="7"/>
        <v>-18286.715999999997</v>
      </c>
      <c r="D22" s="32">
        <f t="shared" si="8"/>
        <v>23333.333333333339</v>
      </c>
      <c r="E22" s="4">
        <v>34.582000000000001</v>
      </c>
      <c r="F22" s="31">
        <f t="shared" si="9"/>
        <v>-4711.8720000000058</v>
      </c>
      <c r="G22" s="32">
        <f t="shared" si="10"/>
        <v>5333.333333333333</v>
      </c>
      <c r="H22" s="4">
        <v>48.448999999999998</v>
      </c>
      <c r="I22" s="31">
        <f t="shared" si="11"/>
        <v>31887.500000000025</v>
      </c>
      <c r="J22" s="32">
        <f t="shared" ref="J22" si="19">$D$6*(A22-$A$14)/360*$D$5</f>
        <v>8333.3333333333339</v>
      </c>
      <c r="K22" s="84">
        <f t="shared" ref="K22" si="20">C22+D22+F22+G22-I22-J22</f>
        <v>-34552.754666666689</v>
      </c>
      <c r="L22" s="1"/>
    </row>
    <row r="23" spans="1:12" x14ac:dyDescent="0.3">
      <c r="A23" s="37">
        <v>45937</v>
      </c>
      <c r="B23" s="1">
        <v>47.106999999999999</v>
      </c>
      <c r="C23" s="31">
        <f t="shared" si="7"/>
        <v>-21387.827999999998</v>
      </c>
      <c r="D23" s="32">
        <f t="shared" si="8"/>
        <v>25277.777777777781</v>
      </c>
      <c r="E23" s="4">
        <v>34.889000000000003</v>
      </c>
      <c r="F23" s="31">
        <f t="shared" si="9"/>
        <v>-7197.3440000000228</v>
      </c>
      <c r="G23" s="32">
        <f t="shared" si="10"/>
        <v>5777.7777777777783</v>
      </c>
      <c r="H23" s="4">
        <v>49.048000000000002</v>
      </c>
      <c r="I23" s="31">
        <f t="shared" si="11"/>
        <v>24399.999999999982</v>
      </c>
      <c r="J23" s="32">
        <f t="shared" ref="J23" si="21">$D$6*(A23-$A$14)/360*$D$5</f>
        <v>9027.7777777777792</v>
      </c>
      <c r="K23" s="84">
        <f t="shared" ref="K23" si="22">C23+D23+F23+G23-I23-J23</f>
        <v>-30957.394222222225</v>
      </c>
      <c r="L23" s="1"/>
    </row>
    <row r="24" spans="1:12" x14ac:dyDescent="0.3">
      <c r="A24" s="37">
        <v>45938</v>
      </c>
      <c r="B24" s="1">
        <v>47.887999999999998</v>
      </c>
      <c r="C24" s="31">
        <f t="shared" ref="C24" si="23">-1*(B24-$B$14)*10^-4*$B$8*$B$5</f>
        <v>-27795.151999999987</v>
      </c>
      <c r="D24" s="32">
        <f t="shared" ref="D24" si="24">$B$6*(A24-$A$14)/360*$B$5</f>
        <v>27222.222222222226</v>
      </c>
      <c r="E24" s="4">
        <v>35.597999999999999</v>
      </c>
      <c r="F24" s="31">
        <f t="shared" ref="F24" si="25">-1*(E24-$E$14)*10^-4*$C$8*$C$5</f>
        <v>-12937.40799999999</v>
      </c>
      <c r="G24" s="32">
        <f t="shared" ref="G24" si="26">$C$6*(A24-$A$14)/360*$C$5</f>
        <v>6222.2222222222226</v>
      </c>
      <c r="H24" s="4">
        <v>49.271000000000001</v>
      </c>
      <c r="I24" s="31">
        <f t="shared" ref="I24" si="27">-1*(H24-$H$14)*10^-4*$D$8*$D$5</f>
        <v>21612.499999999989</v>
      </c>
      <c r="J24" s="32">
        <f t="shared" ref="J24" si="28">$D$6*(A24-$A$14)/360*$D$5</f>
        <v>9722.2222222222226</v>
      </c>
      <c r="K24" s="84">
        <f t="shared" ref="K24" si="29">C24+D24+F24+G24-I24-J24</f>
        <v>-38622.837777777735</v>
      </c>
      <c r="L24" s="1"/>
    </row>
    <row r="25" spans="1:12" x14ac:dyDescent="0.3">
      <c r="A25" s="37">
        <v>45939</v>
      </c>
      <c r="B25" s="1">
        <v>46.893000000000001</v>
      </c>
      <c r="C25" s="31">
        <f t="shared" ref="C25" si="30">-1*(B25-$B$14)*10^-4*$B$8*$B$5</f>
        <v>-19632.172000000006</v>
      </c>
      <c r="D25" s="32">
        <f t="shared" ref="D25" si="31">$B$6*(A25-$A$14)/360*$B$5</f>
        <v>29166.666666666668</v>
      </c>
      <c r="E25" s="4">
        <v>34.442</v>
      </c>
      <c r="F25" s="31">
        <f t="shared" ref="F25" si="32">-1*(E25-$E$14)*10^-4*$C$8*$C$5</f>
        <v>-3578.4320000000012</v>
      </c>
      <c r="G25" s="32">
        <f t="shared" ref="G25" si="33">$C$6*(A25-$A$14)/360*$C$5</f>
        <v>6666.6666666666661</v>
      </c>
      <c r="H25" s="4">
        <v>50.216999999999999</v>
      </c>
      <c r="I25" s="31">
        <f t="shared" ref="I25" si="34">-1*(H25-$H$14)*10^-4*$D$8*$D$5</f>
        <v>9787.5000000000164</v>
      </c>
      <c r="J25" s="32">
        <f t="shared" ref="J25" si="35">$D$6*(A25-$A$14)/360*$D$5</f>
        <v>10416.666666666666</v>
      </c>
      <c r="K25" s="84">
        <f t="shared" ref="K25" si="36">C25+D25+F25+G25-I25-J25</f>
        <v>-7581.4373333333551</v>
      </c>
      <c r="L25" s="1"/>
    </row>
    <row r="26" spans="1:12" x14ac:dyDescent="0.3">
      <c r="A26" s="37">
        <v>45940</v>
      </c>
      <c r="B26" s="46"/>
      <c r="C26" s="31"/>
      <c r="D26" s="32"/>
      <c r="E26" s="4"/>
      <c r="F26" s="31"/>
      <c r="G26" s="32"/>
      <c r="H26" s="4"/>
      <c r="I26" s="31"/>
      <c r="J26" s="32"/>
      <c r="K26" s="84"/>
      <c r="L26" s="1"/>
    </row>
    <row r="27" spans="1:12" x14ac:dyDescent="0.3">
      <c r="A27" s="37">
        <v>45941</v>
      </c>
      <c r="B27" s="57"/>
      <c r="C27" s="58"/>
      <c r="D27" s="59"/>
      <c r="E27" s="4"/>
      <c r="F27" s="31"/>
      <c r="G27" s="32"/>
      <c r="H27" s="4"/>
      <c r="I27" s="31"/>
      <c r="J27" s="32"/>
      <c r="K27" s="84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 t="s">
        <v>83</v>
      </c>
      <c r="I28" s="31"/>
      <c r="J28" s="32"/>
      <c r="K28" s="84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84"/>
      <c r="L29" s="1"/>
    </row>
    <row r="30" spans="1:12" x14ac:dyDescent="0.3">
      <c r="A30" s="56"/>
      <c r="B30" s="46"/>
      <c r="C30" s="31"/>
      <c r="D30" s="32"/>
      <c r="E30" s="4"/>
      <c r="F30" s="31"/>
      <c r="G30" s="32"/>
      <c r="H30" s="4"/>
      <c r="I30" s="31"/>
      <c r="J30" s="32"/>
      <c r="K30" s="84"/>
      <c r="L30" s="1"/>
    </row>
    <row r="31" spans="1:12" x14ac:dyDescent="0.3">
      <c r="A31" s="56"/>
      <c r="B31" s="46"/>
      <c r="C31" s="31"/>
      <c r="D31" s="32"/>
      <c r="E31" s="4"/>
      <c r="F31" s="31"/>
      <c r="G31" s="32"/>
      <c r="H31" s="4"/>
      <c r="I31" s="31"/>
      <c r="J31" s="32"/>
      <c r="K31" s="84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0"/>
      <c r="C42" s="60"/>
      <c r="D42" s="60"/>
      <c r="F42" s="58"/>
      <c r="G42" s="58"/>
      <c r="I42" s="58"/>
      <c r="J42" s="58"/>
      <c r="K42" s="58"/>
    </row>
    <row r="43" spans="1:12" x14ac:dyDescent="0.3">
      <c r="B43" s="60"/>
      <c r="C43" s="60"/>
      <c r="D43" s="60"/>
      <c r="I43" s="58"/>
      <c r="J43" s="58"/>
      <c r="K43" s="58"/>
    </row>
    <row r="44" spans="1:12" x14ac:dyDescent="0.3">
      <c r="B44" s="60"/>
      <c r="C44" s="60"/>
      <c r="D44" s="60"/>
      <c r="I44" s="58"/>
      <c r="J44" s="58"/>
      <c r="K44" s="58"/>
    </row>
    <row r="45" spans="1:12" x14ac:dyDescent="0.3">
      <c r="B45" s="60"/>
      <c r="C45" s="60"/>
      <c r="D45" s="60"/>
      <c r="I45" s="58"/>
      <c r="J45" s="58"/>
      <c r="K45" s="58"/>
    </row>
    <row r="46" spans="1:12" x14ac:dyDescent="0.3">
      <c r="B46" s="60"/>
      <c r="C46" s="60"/>
      <c r="D46" s="60"/>
    </row>
    <row r="47" spans="1:12" x14ac:dyDescent="0.3">
      <c r="B47" s="60"/>
      <c r="C47" s="60"/>
      <c r="D47" s="60"/>
    </row>
    <row r="48" spans="1:12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>
      <selection activeCell="E25" sqref="E25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45934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45936</v>
      </c>
      <c r="F3" s="1">
        <f ca="1"/>
        <v>57.584000000000003</v>
      </c>
      <c r="G3" s="53" cm="1">
        <f t="array" aca="1" ref="G3:H6" ca="1">_xll.BDH($C$4, "PX_LAST, ",E1, "")</f>
        <v>45936</v>
      </c>
      <c r="H3" s="47">
        <f ca="1"/>
        <v>40.457999999999998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45937</v>
      </c>
      <c r="F4" s="1">
        <f ca="1"/>
        <v>57.856000000000002</v>
      </c>
      <c r="G4" s="54">
        <f ca="1"/>
        <v>45937</v>
      </c>
      <c r="H4" s="1">
        <f ca="1"/>
        <v>40.533000000000001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45938</v>
      </c>
      <c r="F5" s="1">
        <f ca="1"/>
        <v>57.808999999999997</v>
      </c>
      <c r="G5" s="54">
        <f ca="1"/>
        <v>45938</v>
      </c>
      <c r="H5" s="1">
        <f ca="1"/>
        <v>40.706000000000003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45939</v>
      </c>
      <c r="F6" s="1">
        <f ca="1"/>
        <v>58.244</v>
      </c>
      <c r="G6" s="54">
        <f ca="1"/>
        <v>45939</v>
      </c>
      <c r="H6" s="1">
        <f ca="1"/>
        <v>40.569000000000003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58.243549999999999</v>
      </c>
      <c r="C10" s="22" cm="1">
        <f t="array" ref="C10">_xll.BDP(C4,"px_last")</f>
        <v>40.568620000000003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84"/>
      <c r="I14" s="1"/>
    </row>
    <row r="15" spans="1:12" x14ac:dyDescent="0.3">
      <c r="A15" s="37">
        <v>45926</v>
      </c>
      <c r="B15" s="46">
        <v>58.128</v>
      </c>
      <c r="C15" s="31">
        <f t="shared" ref="C15:C22" si="0">-1*(B15-$B$14)*10^-4*$B$8*$B$5</f>
        <v>-6229.7600000000011</v>
      </c>
      <c r="D15" s="32">
        <f t="shared" ref="D15:D22" si="1">$B$6*(A15-$A$14)/360*$B$5</f>
        <v>555.55555555555554</v>
      </c>
      <c r="E15" s="4">
        <v>40.033999999999999</v>
      </c>
      <c r="F15" s="31">
        <f t="shared" ref="F15:F22" si="2">-1*(E15-$E$14)*10^-4*$C$8*$C$5</f>
        <v>-478.85599999998482</v>
      </c>
      <c r="G15" s="32">
        <f t="shared" ref="G15:G20" si="3">$C$6*(A15-$A$14)/360*$C$5</f>
        <v>777.77777777777783</v>
      </c>
      <c r="H15" s="84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 t="shared" si="0"/>
        <v>3531.5200000000164</v>
      </c>
      <c r="D16" s="32">
        <f t="shared" si="1"/>
        <v>2222.2222222222222</v>
      </c>
      <c r="E16" s="4">
        <v>39.978000000000002</v>
      </c>
      <c r="F16" s="31">
        <f t="shared" si="2"/>
        <v>309.84799999997841</v>
      </c>
      <c r="G16" s="32">
        <f t="shared" si="3"/>
        <v>3111.1111111111113</v>
      </c>
      <c r="H16" s="84">
        <f t="shared" ref="H16" si="4">C16+D16-F16-G16</f>
        <v>2332.7831111111491</v>
      </c>
      <c r="I16" s="1"/>
    </row>
    <row r="17" spans="1:9" x14ac:dyDescent="0.3">
      <c r="A17" s="37">
        <v>45930</v>
      </c>
      <c r="B17" s="46">
        <v>57.469000000000001</v>
      </c>
      <c r="C17" s="31">
        <f t="shared" si="0"/>
        <v>307.51999999998822</v>
      </c>
      <c r="D17" s="32">
        <f t="shared" si="1"/>
        <v>2777.7777777777778</v>
      </c>
      <c r="E17" s="4">
        <v>40.097999999999999</v>
      </c>
      <c r="F17" s="31">
        <f t="shared" si="2"/>
        <v>-1380.2319999999856</v>
      </c>
      <c r="G17" s="32">
        <f t="shared" si="3"/>
        <v>3888.8888888888887</v>
      </c>
      <c r="H17" s="84">
        <f t="shared" ref="H17:H18" si="5">C17+D17-F17-G17</f>
        <v>576.64088888886272</v>
      </c>
      <c r="I17" s="1"/>
    </row>
    <row r="18" spans="1:9" x14ac:dyDescent="0.3">
      <c r="A18" s="37">
        <v>45931</v>
      </c>
      <c r="B18" s="46">
        <v>57.505000000000003</v>
      </c>
      <c r="C18" s="31">
        <f t="shared" si="0"/>
        <v>-49.600000000025375</v>
      </c>
      <c r="D18" s="32">
        <f t="shared" si="1"/>
        <v>3333.333333333333</v>
      </c>
      <c r="E18" s="4">
        <v>40.186</v>
      </c>
      <c r="F18" s="31">
        <f t="shared" si="2"/>
        <v>-2619.6239999999993</v>
      </c>
      <c r="G18" s="32">
        <f t="shared" si="3"/>
        <v>4666.6666666666661</v>
      </c>
      <c r="H18" s="84">
        <f t="shared" si="5"/>
        <v>1236.6906666666409</v>
      </c>
      <c r="I18" s="1"/>
    </row>
    <row r="19" spans="1:9" x14ac:dyDescent="0.3">
      <c r="A19" s="37">
        <v>45932</v>
      </c>
      <c r="B19" s="46">
        <v>57.018000000000001</v>
      </c>
      <c r="C19" s="31">
        <f t="shared" si="0"/>
        <v>4781.4399999999932</v>
      </c>
      <c r="D19" s="32">
        <f t="shared" si="1"/>
        <v>3888.8888888888891</v>
      </c>
      <c r="E19" s="4">
        <v>39.902000000000001</v>
      </c>
      <c r="F19" s="31">
        <f t="shared" si="2"/>
        <v>1380.2319999999856</v>
      </c>
      <c r="G19" s="32">
        <f t="shared" si="3"/>
        <v>5444.4444444444453</v>
      </c>
      <c r="H19" s="84">
        <f t="shared" ref="H19" si="6">C19+D19-F19-G19</f>
        <v>1845.6524444444512</v>
      </c>
      <c r="I19" s="1"/>
    </row>
    <row r="20" spans="1:9" x14ac:dyDescent="0.3">
      <c r="A20" s="37">
        <v>45933</v>
      </c>
      <c r="B20" s="46">
        <v>56.69</v>
      </c>
      <c r="C20" s="31">
        <f t="shared" si="0"/>
        <v>8035.2000000000235</v>
      </c>
      <c r="D20" s="32">
        <f t="shared" si="1"/>
        <v>4444.4444444444443</v>
      </c>
      <c r="E20" s="4">
        <v>39.761000000000003</v>
      </c>
      <c r="F20" s="31">
        <f t="shared" si="2"/>
        <v>3366.0759999999614</v>
      </c>
      <c r="G20" s="32">
        <f t="shared" si="3"/>
        <v>6222.2222222222226</v>
      </c>
      <c r="H20" s="84">
        <f t="shared" ref="H20" si="7">C20+D20-F20-G20</f>
        <v>2891.3462222222843</v>
      </c>
      <c r="I20" s="1"/>
    </row>
    <row r="21" spans="1:9" x14ac:dyDescent="0.3">
      <c r="A21" s="37">
        <v>45936</v>
      </c>
      <c r="B21" s="46">
        <v>57.584000000000003</v>
      </c>
      <c r="C21" s="31">
        <f t="shared" si="0"/>
        <v>-833.28000000003169</v>
      </c>
      <c r="D21" s="32">
        <f t="shared" si="1"/>
        <v>6111.1111111111113</v>
      </c>
      <c r="E21" s="4">
        <v>40.457999999999998</v>
      </c>
      <c r="F21" s="31">
        <f t="shared" si="2"/>
        <v>-6450.4719999999779</v>
      </c>
      <c r="G21" s="32">
        <f t="shared" ref="G21" si="8">$C$6*(A21-$A$14)/360*$C$5</f>
        <v>8555.5555555555547</v>
      </c>
      <c r="H21" s="84">
        <f t="shared" ref="H21" si="9">C21+D21-F21-G21</f>
        <v>3172.7475555555029</v>
      </c>
      <c r="I21" s="1"/>
    </row>
    <row r="22" spans="1:9" x14ac:dyDescent="0.3">
      <c r="A22" s="37">
        <v>45937</v>
      </c>
      <c r="B22" s="46"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v>40.533000000000001</v>
      </c>
      <c r="F22" s="31">
        <f t="shared" si="2"/>
        <v>-7506.7720000000181</v>
      </c>
      <c r="G22" s="32">
        <f t="shared" ref="G22" si="10">$C$6*(A22-$A$14)/360*$C$5</f>
        <v>9333.3333333333321</v>
      </c>
      <c r="H22" s="84">
        <f t="shared" ref="H22" si="11">C22+D22-F22-G22</f>
        <v>1308.5853333333362</v>
      </c>
      <c r="I22" s="1"/>
    </row>
    <row r="23" spans="1:9" x14ac:dyDescent="0.3">
      <c r="A23" s="37">
        <v>45938</v>
      </c>
      <c r="B23" s="46">
        <v>57.808999999999997</v>
      </c>
      <c r="C23" s="31">
        <f t="shared" ref="C23" si="12">-1*(B23-$B$14)*10^-4*$B$8*$B$5</f>
        <v>-3065.2799999999747</v>
      </c>
      <c r="D23" s="32">
        <f t="shared" ref="D23" si="13">$B$6*(A23-$A$14)/360*$B$5</f>
        <v>7222.2222222222226</v>
      </c>
      <c r="E23" s="4">
        <v>40.706000000000003</v>
      </c>
      <c r="F23" s="31">
        <f t="shared" ref="F23" si="14">-1*(E23-$E$14)*10^-4*$C$8*$C$5</f>
        <v>-9943.3040000000437</v>
      </c>
      <c r="G23" s="32">
        <f t="shared" ref="G23" si="15">$C$6*(A23-$A$14)/360*$C$5</f>
        <v>10111.111111111111</v>
      </c>
      <c r="H23" s="84">
        <f t="shared" ref="H23" si="16">C23+D23-F23-G23</f>
        <v>3989.1351111111799</v>
      </c>
      <c r="I23" s="1"/>
    </row>
    <row r="24" spans="1:9" x14ac:dyDescent="0.3">
      <c r="A24" s="37">
        <v>45939</v>
      </c>
      <c r="B24" s="46">
        <v>58.176000000000002</v>
      </c>
      <c r="C24" s="31">
        <f t="shared" ref="C24" si="17">-1*(B24-$B$14)*10^-4*$B$8*$B$5</f>
        <v>-6705.9200000000183</v>
      </c>
      <c r="D24" s="32">
        <f t="shared" ref="D24" si="18">$B$6*(A24-$A$14)/360*$B$5</f>
        <v>7777.7777777777783</v>
      </c>
      <c r="E24" s="4">
        <v>40.390999999999998</v>
      </c>
      <c r="F24" s="31">
        <f t="shared" ref="F24" si="19">-1*(E24-$E$14)*10^-4*$C$8*$C$5</f>
        <v>-5506.8439999999755</v>
      </c>
      <c r="G24" s="32">
        <f t="shared" ref="G24" si="20">$C$6*(A24-$A$14)/360*$C$5</f>
        <v>10888.888888888891</v>
      </c>
      <c r="H24" s="84">
        <f t="shared" ref="H24" si="21">C24+D24-F24-G24</f>
        <v>-4310.187111111155</v>
      </c>
      <c r="I24" s="1"/>
    </row>
    <row r="25" spans="1:9" x14ac:dyDescent="0.3">
      <c r="A25" s="37">
        <v>45940</v>
      </c>
      <c r="B25" s="46"/>
      <c r="C25" s="31"/>
      <c r="D25" s="32"/>
      <c r="E25" s="4"/>
      <c r="F25" s="31"/>
      <c r="G25" s="32"/>
      <c r="H25" s="84"/>
      <c r="I25" s="1"/>
    </row>
    <row r="26" spans="1:9" x14ac:dyDescent="0.3">
      <c r="A26" s="37">
        <v>45941</v>
      </c>
      <c r="B26" s="46"/>
      <c r="C26" s="31"/>
      <c r="D26" s="32"/>
      <c r="E26" s="4"/>
      <c r="F26" s="31"/>
      <c r="G26" s="32"/>
      <c r="H26" s="84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84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84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8.88671875" style="3"/>
    <col min="11" max="11" width="10.21875" style="3" bestFit="1" customWidth="1"/>
    <col min="12" max="12" width="12.21875" style="3" bestFit="1" customWidth="1"/>
    <col min="13" max="16384" width="8.88671875" style="3"/>
  </cols>
  <sheetData>
    <row r="1" spans="1:13" ht="15" thickBot="1" x14ac:dyDescent="0.35">
      <c r="A1" s="1" t="s">
        <v>83</v>
      </c>
      <c r="B1" s="1"/>
      <c r="C1" s="1"/>
      <c r="D1" s="1"/>
      <c r="E1" s="54">
        <f ca="1">TODAY()-5</f>
        <v>45934</v>
      </c>
      <c r="G1" s="1"/>
      <c r="H1" s="1"/>
      <c r="I1" s="1"/>
      <c r="J1" s="1"/>
    </row>
    <row r="2" spans="1:13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3" x14ac:dyDescent="0.3">
      <c r="A3" s="15" t="s">
        <v>33</v>
      </c>
      <c r="B3" s="66" t="s">
        <v>41</v>
      </c>
      <c r="C3" s="67" t="s">
        <v>42</v>
      </c>
      <c r="E3" s="53" cm="1">
        <f t="array" aca="1" ref="E3:F6" ca="1">_xll.BDH($B$4, "PX_LAST, ",E1, "")</f>
        <v>45936</v>
      </c>
      <c r="F3" s="1">
        <f ca="1"/>
        <v>94.912000000000006</v>
      </c>
      <c r="G3" s="53" cm="1">
        <f t="array" aca="1" ref="G3:H6" ca="1">_xll.BDH($C$4, "PX_LAST, ",E1, "")</f>
        <v>45936</v>
      </c>
      <c r="H3" s="47">
        <f ca="1"/>
        <v>106.16800000000001</v>
      </c>
      <c r="J3" s="1"/>
    </row>
    <row r="4" spans="1:13" ht="32.25" customHeight="1" x14ac:dyDescent="0.3">
      <c r="A4" s="15" t="s">
        <v>34</v>
      </c>
      <c r="B4" s="68" t="s">
        <v>43</v>
      </c>
      <c r="C4" s="43" t="s">
        <v>44</v>
      </c>
      <c r="E4" s="54">
        <f ca="1"/>
        <v>45937</v>
      </c>
      <c r="F4" s="1">
        <f ca="1"/>
        <v>94.86</v>
      </c>
      <c r="G4" s="54">
        <f ca="1"/>
        <v>45937</v>
      </c>
      <c r="H4" s="1">
        <f ca="1"/>
        <v>106.07599999999999</v>
      </c>
      <c r="I4" s="1"/>
    </row>
    <row r="5" spans="1:13" x14ac:dyDescent="0.3">
      <c r="A5" s="15" t="s">
        <v>8</v>
      </c>
      <c r="B5" s="69">
        <f>18*10^6</f>
        <v>18000000</v>
      </c>
      <c r="C5" s="8">
        <f>10*10^6</f>
        <v>10000000</v>
      </c>
      <c r="E5" s="54">
        <f ca="1"/>
        <v>45938</v>
      </c>
      <c r="F5" s="1">
        <f ca="1"/>
        <v>94.718999999999994</v>
      </c>
      <c r="G5" s="54">
        <f ca="1"/>
        <v>45938</v>
      </c>
      <c r="H5" s="1">
        <f ca="1"/>
        <v>106.13</v>
      </c>
      <c r="I5" s="1"/>
      <c r="L5" s="62"/>
    </row>
    <row r="6" spans="1:13" x14ac:dyDescent="0.3">
      <c r="A6" s="15" t="s">
        <v>10</v>
      </c>
      <c r="B6" s="70">
        <v>4.3749999999999997E-2</v>
      </c>
      <c r="C6" s="65">
        <v>7.6249999999999998E-2</v>
      </c>
      <c r="E6" s="54">
        <f ca="1"/>
        <v>45939</v>
      </c>
      <c r="F6" s="1">
        <f ca="1"/>
        <v>94.617999999999995</v>
      </c>
      <c r="G6" s="54">
        <f ca="1"/>
        <v>45939</v>
      </c>
      <c r="H6" s="1">
        <f ca="1"/>
        <v>105.73099999999999</v>
      </c>
      <c r="I6" s="1"/>
      <c r="K6" s="73"/>
      <c r="L6" s="73"/>
      <c r="M6" s="73"/>
    </row>
    <row r="7" spans="1:13" x14ac:dyDescent="0.3">
      <c r="A7" s="15" t="s">
        <v>12</v>
      </c>
      <c r="B7" s="71">
        <v>4.2299999999999997E-2</v>
      </c>
      <c r="C7" s="10">
        <v>4.2299999999999997E-2</v>
      </c>
      <c r="E7" s="54"/>
      <c r="F7" s="1"/>
      <c r="G7" s="54"/>
      <c r="H7" s="1"/>
      <c r="I7" s="1"/>
    </row>
    <row r="8" spans="1:13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  <c r="K8" s="73"/>
      <c r="L8" s="73"/>
    </row>
    <row r="9" spans="1:13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3" ht="15" thickBot="1" x14ac:dyDescent="0.35">
      <c r="A10" s="16" t="s">
        <v>29</v>
      </c>
      <c r="B10" s="11" cm="1">
        <f t="array" ref="B10">_xll.BDP(B4,"px_last")</f>
        <v>94.617999999999995</v>
      </c>
      <c r="C10" s="22" cm="1">
        <f t="array" ref="C10">_xll.BDP(C4,"px_last")</f>
        <v>105.73099999999999</v>
      </c>
      <c r="E10" s="1"/>
      <c r="F10" s="1"/>
      <c r="G10" s="1"/>
      <c r="H10" s="1"/>
      <c r="I10" s="1"/>
    </row>
    <row r="11" spans="1:13" ht="15" thickBot="1" x14ac:dyDescent="0.35">
      <c r="C11" s="1"/>
      <c r="D11" s="1"/>
      <c r="E11" s="1"/>
      <c r="F11" s="1"/>
      <c r="G11" s="1"/>
      <c r="H11" s="1"/>
      <c r="I11" s="1"/>
    </row>
    <row r="12" spans="1:13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3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3" x14ac:dyDescent="0.3">
      <c r="A15" s="37">
        <v>45931</v>
      </c>
      <c r="B15" s="46">
        <v>94.757000000000005</v>
      </c>
      <c r="C15" s="31">
        <f t="shared" ref="C15:C20" si="0">(B15-$B$14)/100*$B$5</f>
        <v>-21239.999999999098</v>
      </c>
      <c r="D15" s="32">
        <f t="shared" ref="D15:D20" si="1">(A15-$A$14)/360*$B$6*$B$5-(A15-$A$14)/360*$B$7*$B$5*$B$14/100</f>
        <v>180.89374999999995</v>
      </c>
      <c r="E15" s="4">
        <v>105.964</v>
      </c>
      <c r="F15" s="31">
        <f t="shared" ref="F15:F20" si="2">(E15-$E$14)/100*$C$5</f>
        <v>21399.999999999865</v>
      </c>
      <c r="G15" s="32">
        <f t="shared" ref="G15:G20" si="3">(A15-$A$14)/360*$C$6*$C$5-(A15-$A$14)/360*$C$7*$C$5*$E$14/100</f>
        <v>875.49305555555566</v>
      </c>
      <c r="H15" s="84">
        <f t="shared" ref="H15:H20" si="4">C15+D15-F15-G15</f>
        <v>-43334.599305554519</v>
      </c>
      <c r="I15" s="1"/>
    </row>
    <row r="16" spans="1:13" x14ac:dyDescent="0.3">
      <c r="A16" s="37">
        <v>45932</v>
      </c>
      <c r="B16" s="46">
        <v>94.944000000000003</v>
      </c>
      <c r="C16" s="31">
        <f t="shared" si="0"/>
        <v>12420.000000000469</v>
      </c>
      <c r="D16" s="32">
        <f t="shared" si="1"/>
        <v>361.78749999999991</v>
      </c>
      <c r="E16" s="4">
        <v>106.205</v>
      </c>
      <c r="F16" s="31">
        <f t="shared" si="2"/>
        <v>45499.999999999825</v>
      </c>
      <c r="G16" s="32">
        <f t="shared" si="3"/>
        <v>1750.9861111111113</v>
      </c>
      <c r="H16" s="84">
        <f t="shared" si="4"/>
        <v>-34469.198611110463</v>
      </c>
      <c r="I16" s="1"/>
    </row>
    <row r="17" spans="1:9" x14ac:dyDescent="0.3">
      <c r="A17" s="37">
        <v>45933</v>
      </c>
      <c r="B17" s="46">
        <v>94.963999999999999</v>
      </c>
      <c r="C17" s="31">
        <f t="shared" si="0"/>
        <v>16019.999999999754</v>
      </c>
      <c r="D17" s="32">
        <f t="shared" si="1"/>
        <v>542.68125000000055</v>
      </c>
      <c r="E17" s="4">
        <v>106.473</v>
      </c>
      <c r="F17" s="31">
        <f t="shared" si="2"/>
        <v>72299.999999999898</v>
      </c>
      <c r="G17" s="32">
        <f t="shared" si="3"/>
        <v>2626.4791666666665</v>
      </c>
      <c r="H17" s="84">
        <f t="shared" si="4"/>
        <v>-58363.797916666808</v>
      </c>
      <c r="I17" s="1"/>
    </row>
    <row r="18" spans="1:9" x14ac:dyDescent="0.3">
      <c r="A18" s="37">
        <v>45936</v>
      </c>
      <c r="B18" s="46">
        <v>94.912000000000006</v>
      </c>
      <c r="C18" s="31">
        <f t="shared" si="0"/>
        <v>6660.000000001105</v>
      </c>
      <c r="D18" s="32">
        <f t="shared" si="1"/>
        <v>1085.3625000000011</v>
      </c>
      <c r="E18" s="4">
        <v>106.16800000000001</v>
      </c>
      <c r="F18" s="31">
        <f t="shared" si="2"/>
        <v>41800.00000000064</v>
      </c>
      <c r="G18" s="32">
        <f t="shared" si="3"/>
        <v>5252.958333333333</v>
      </c>
      <c r="H18" s="84">
        <f t="shared" si="4"/>
        <v>-39307.595833332867</v>
      </c>
      <c r="I18" s="1"/>
    </row>
    <row r="19" spans="1:9" x14ac:dyDescent="0.3">
      <c r="A19" s="37">
        <v>45937</v>
      </c>
      <c r="B19" s="46">
        <v>94.86</v>
      </c>
      <c r="C19" s="31">
        <f t="shared" si="0"/>
        <v>-2700.0000000001023</v>
      </c>
      <c r="D19" s="32">
        <f t="shared" si="1"/>
        <v>1266.2562499999985</v>
      </c>
      <c r="E19" s="4">
        <v>106.07599999999999</v>
      </c>
      <c r="F19" s="31">
        <f t="shared" si="2"/>
        <v>32599.999999999338</v>
      </c>
      <c r="G19" s="32">
        <f t="shared" si="3"/>
        <v>6128.4513888888887</v>
      </c>
      <c r="H19" s="84">
        <f t="shared" si="4"/>
        <v>-40162.195138888332</v>
      </c>
      <c r="I19" s="1"/>
    </row>
    <row r="20" spans="1:9" x14ac:dyDescent="0.3">
      <c r="A20" s="37">
        <v>45938</v>
      </c>
      <c r="B20" s="46">
        <v>94.718999999999994</v>
      </c>
      <c r="C20" s="31">
        <f t="shared" si="0"/>
        <v>-28080.000000001066</v>
      </c>
      <c r="D20" s="32">
        <f t="shared" si="1"/>
        <v>1447.1499999999996</v>
      </c>
      <c r="E20" s="4">
        <v>106.13</v>
      </c>
      <c r="F20" s="31">
        <f t="shared" si="2"/>
        <v>37999.999999999542</v>
      </c>
      <c r="G20" s="32">
        <f t="shared" si="3"/>
        <v>7003.9444444444453</v>
      </c>
      <c r="H20" s="84">
        <f t="shared" si="4"/>
        <v>-71636.794444445055</v>
      </c>
      <c r="I20" s="1"/>
    </row>
    <row r="21" spans="1:9" x14ac:dyDescent="0.3">
      <c r="A21" s="37">
        <v>45939</v>
      </c>
      <c r="B21" s="46">
        <v>94.629000000000005</v>
      </c>
      <c r="C21" s="31">
        <f t="shared" ref="C21" si="5">(B21-$B$14)/100*$B$5</f>
        <v>-44279.99999999912</v>
      </c>
      <c r="D21" s="32">
        <f t="shared" ref="D21" si="6">(A21-$A$14)/360*$B$6*$B$5-(A21-$A$14)/360*$B$7*$B$5*$B$14/100</f>
        <v>1628.0437499999971</v>
      </c>
      <c r="E21" s="4">
        <v>105.751</v>
      </c>
      <c r="F21" s="31">
        <f t="shared" ref="F21" si="7">(E21-$E$14)/100*$C$5</f>
        <v>100.00000000047748</v>
      </c>
      <c r="G21" s="32">
        <f t="shared" ref="G21" si="8">(A21-$A$14)/360*$C$6*$C$5-(A21-$A$14)/360*$C$7*$C$5*$E$14/100</f>
        <v>7879.4375</v>
      </c>
      <c r="H21" s="84">
        <f t="shared" ref="H21" si="9">C21+D21-F21-G21</f>
        <v>-50631.393749999603</v>
      </c>
      <c r="I21" s="1"/>
    </row>
    <row r="22" spans="1:9" x14ac:dyDescent="0.3">
      <c r="A22" s="37">
        <v>45940</v>
      </c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>
        <v>45941</v>
      </c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O53"/>
  <sheetViews>
    <sheetView zoomScale="80" zoomScaleNormal="80" workbookViewId="0">
      <selection activeCell="K19" sqref="K19:K20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1.88671875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45934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45</v>
      </c>
      <c r="C3" s="76" t="s">
        <v>46</v>
      </c>
      <c r="D3" s="76" t="s">
        <v>47</v>
      </c>
      <c r="E3" s="67" t="s">
        <v>48</v>
      </c>
      <c r="G3" s="53" cm="1">
        <f t="array" aca="1" ref="G3:H6" ca="1">_xll.BDH($B$4, "PX_LAST, ", $G$1, "")</f>
        <v>45936</v>
      </c>
      <c r="H3" s="1">
        <f ca="1"/>
        <v>100.666</v>
      </c>
      <c r="I3" s="53" cm="1">
        <f t="array" aca="1" ref="I3:J6" ca="1">_xll.BDH($C$4, "PX_LAST, ", $G$1, "")</f>
        <v>45936</v>
      </c>
      <c r="J3" s="47">
        <f ca="1"/>
        <v>100.8828125</v>
      </c>
      <c r="K3" s="53" cm="1">
        <f t="array" aca="1" ref="K3:L6" ca="1">_xll.BDH($D$4, "PX_LAST, ", $G$1, "")</f>
        <v>45936</v>
      </c>
      <c r="L3" s="1">
        <f ca="1"/>
        <v>94.522000000000006</v>
      </c>
      <c r="M3" s="53" cm="1">
        <f t="array" aca="1" ref="M3:N6" ca="1">_xll.BDH($E$4, "PX_LAST, ", $G$1, "")</f>
        <v>45936</v>
      </c>
      <c r="N3" s="55">
        <f ca="1"/>
        <v>99.96875</v>
      </c>
    </row>
    <row r="4" spans="1:14" ht="32.25" customHeight="1" x14ac:dyDescent="0.3">
      <c r="A4" s="15" t="s">
        <v>34</v>
      </c>
      <c r="B4" s="68" t="s">
        <v>49</v>
      </c>
      <c r="C4" s="42" t="s">
        <v>50</v>
      </c>
      <c r="D4" s="42" t="s">
        <v>51</v>
      </c>
      <c r="E4" s="43" t="s">
        <v>52</v>
      </c>
      <c r="G4" s="78">
        <f ca="1"/>
        <v>45937</v>
      </c>
      <c r="H4" s="1">
        <f ca="1"/>
        <v>100.748</v>
      </c>
      <c r="I4" s="54">
        <f ca="1"/>
        <v>45937</v>
      </c>
      <c r="J4" s="1">
        <f ca="1"/>
        <v>101.1171875</v>
      </c>
      <c r="K4" s="54">
        <f ca="1"/>
        <v>45937</v>
      </c>
      <c r="L4" s="1">
        <f ca="1"/>
        <v>94.481999999999999</v>
      </c>
      <c r="M4" s="54">
        <f ca="1"/>
        <v>45937</v>
      </c>
      <c r="N4" s="55">
        <f ca="1"/>
        <v>100.359375</v>
      </c>
    </row>
    <row r="5" spans="1:14" x14ac:dyDescent="0.3">
      <c r="A5" s="15" t="s">
        <v>8</v>
      </c>
      <c r="B5" s="69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G5" s="78">
        <f ca="1"/>
        <v>45938</v>
      </c>
      <c r="H5" s="1">
        <f ca="1"/>
        <v>100.879</v>
      </c>
      <c r="I5" s="54">
        <f ca="1"/>
        <v>45938</v>
      </c>
      <c r="J5" s="1">
        <f ca="1"/>
        <v>101.1484375</v>
      </c>
      <c r="K5" s="54">
        <f ca="1"/>
        <v>45938</v>
      </c>
      <c r="L5" s="1">
        <f ca="1"/>
        <v>94.591999999999999</v>
      </c>
      <c r="M5" s="54">
        <f ca="1"/>
        <v>45938</v>
      </c>
      <c r="N5" s="55">
        <f ca="1"/>
        <v>100.6015625</v>
      </c>
    </row>
    <row r="6" spans="1:14" x14ac:dyDescent="0.3">
      <c r="A6" s="15" t="s">
        <v>10</v>
      </c>
      <c r="B6" s="71">
        <v>4.8750000000000002E-2</v>
      </c>
      <c r="C6" s="77">
        <v>4.2500000000000003E-2</v>
      </c>
      <c r="D6" s="77">
        <v>5.3749999999999999E-2</v>
      </c>
      <c r="E6" s="10">
        <v>4.7500000000000001E-2</v>
      </c>
      <c r="G6" s="78">
        <f ca="1"/>
        <v>45939</v>
      </c>
      <c r="H6" s="1">
        <f ca="1"/>
        <v>100.658</v>
      </c>
      <c r="I6" s="54">
        <f ca="1"/>
        <v>45939</v>
      </c>
      <c r="J6" s="1">
        <f ca="1"/>
        <v>101.0390625</v>
      </c>
      <c r="K6" s="54">
        <f ca="1"/>
        <v>45939</v>
      </c>
      <c r="L6" s="1">
        <f ca="1"/>
        <v>94.263999999999996</v>
      </c>
      <c r="M6" s="54">
        <f ca="1"/>
        <v>45939</v>
      </c>
      <c r="N6" s="55">
        <f ca="1"/>
        <v>100.421875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100.658</v>
      </c>
      <c r="C10" s="21" cm="1">
        <f t="array" ref="C10">_xll.BDP(C4,"px_last")</f>
        <v>101.046875</v>
      </c>
      <c r="D10" s="21" cm="1">
        <f t="array" ref="D10">_xll.BDP(D4,"px_last")</f>
        <v>94.263999999999996</v>
      </c>
      <c r="E10" s="22" cm="1">
        <f t="array" ref="E10">_xll.BDP(E4,"px_last")</f>
        <v>100.4375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04"/>
      <c r="J12" s="105"/>
      <c r="K12" s="109" t="s">
        <v>0</v>
      </c>
      <c r="L12" s="110"/>
      <c r="M12" s="11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45931</v>
      </c>
      <c r="B14" s="79">
        <v>100.65</v>
      </c>
      <c r="C14" s="47"/>
      <c r="D14" s="48"/>
      <c r="E14" s="79">
        <v>100.898</v>
      </c>
      <c r="F14" s="1"/>
      <c r="G14" s="5"/>
      <c r="H14" s="79">
        <v>94.375</v>
      </c>
      <c r="I14" s="1"/>
      <c r="J14" s="5"/>
      <c r="K14" s="79">
        <v>100.297</v>
      </c>
      <c r="L14" s="1"/>
      <c r="M14" s="5"/>
      <c r="N14" s="15"/>
    </row>
    <row r="15" spans="1:14" x14ac:dyDescent="0.3">
      <c r="A15" s="37">
        <v>45932</v>
      </c>
      <c r="B15" s="79">
        <v>100.941</v>
      </c>
      <c r="C15" s="31">
        <f t="shared" ref="C15:C20" si="0">(B15-$B$14)/100*$B$5</f>
        <v>40739.999999999556</v>
      </c>
      <c r="D15" s="32">
        <f t="shared" ref="D15:D20" si="1">(A15-$A$14)/360*$B$6*$B$5-(A15-$A$14)/360*$B$7*$B$5*$B$14/100</f>
        <v>240.1408333333336</v>
      </c>
      <c r="E15" s="79">
        <v>101.44499999999999</v>
      </c>
      <c r="F15" s="31">
        <f t="shared" ref="F15:F20" si="2">(E15-$E$14)/100*$C$5</f>
        <v>74391.999999999593</v>
      </c>
      <c r="G15" s="32">
        <f t="shared" ref="G15:G20" si="3">(A15-$A$14)/360*$C$6*$C$5-(A15-$A$14)/360*$C$7*$C$5*$E$14/100</f>
        <v>-6.7944844444439241</v>
      </c>
      <c r="H15" s="79">
        <v>94.896000000000001</v>
      </c>
      <c r="I15" s="31">
        <f t="shared" ref="I15:I20" si="4">(H15-$H$14)/100*$D$5</f>
        <v>26050.00000000004</v>
      </c>
      <c r="J15" s="32">
        <f t="shared" ref="J15:J20" si="5">(A15-$A$14)/360*$D$6*$D$5-(A15-$A$14)/360*$D$7*$D$5*$H$14/100</f>
        <v>192.07465277777771</v>
      </c>
      <c r="K15" s="79">
        <v>100.9375</v>
      </c>
      <c r="L15" s="31">
        <f t="shared" ref="L15:L20" si="6">(K15-$K$14)/100*$E$5</f>
        <v>26901.000000000124</v>
      </c>
      <c r="M15" s="32">
        <f t="shared" ref="M15:M20" si="7">(A15-$A$14)/360*$E$6*$E$5-(A15-$A$14)/360*$E$7*$E$5*$K$14/100</f>
        <v>59.20097166666676</v>
      </c>
      <c r="N15" s="84">
        <f t="shared" ref="N15:N20" si="8">C15+D15-F15-G15-I15-J15+L15+M15</f>
        <v>-32686.938363333298</v>
      </c>
    </row>
    <row r="16" spans="1:14" x14ac:dyDescent="0.3">
      <c r="A16" s="37">
        <v>45933</v>
      </c>
      <c r="B16" s="79">
        <v>100.846</v>
      </c>
      <c r="C16" s="31">
        <f t="shared" si="0"/>
        <v>27439.999999999713</v>
      </c>
      <c r="D16" s="32">
        <f t="shared" si="1"/>
        <v>480.28166666666721</v>
      </c>
      <c r="E16" s="79">
        <v>101.1484375</v>
      </c>
      <c r="F16" s="31">
        <f t="shared" si="2"/>
        <v>34059.500000000524</v>
      </c>
      <c r="G16" s="32">
        <f t="shared" si="3"/>
        <v>-13.588968888887848</v>
      </c>
      <c r="H16" s="79">
        <v>94.849000000000004</v>
      </c>
      <c r="I16" s="31">
        <f t="shared" si="4"/>
        <v>23700.000000000189</v>
      </c>
      <c r="J16" s="32">
        <f t="shared" si="5"/>
        <v>384.14930555555543</v>
      </c>
      <c r="K16" s="79">
        <v>100.554</v>
      </c>
      <c r="L16" s="31">
        <f t="shared" si="6"/>
        <v>10794.000000000211</v>
      </c>
      <c r="M16" s="32">
        <f t="shared" si="7"/>
        <v>118.40194333333352</v>
      </c>
      <c r="N16" s="84">
        <f t="shared" si="8"/>
        <v>-19297.376726667459</v>
      </c>
    </row>
    <row r="17" spans="1:14" x14ac:dyDescent="0.3">
      <c r="A17" s="37">
        <v>45936</v>
      </c>
      <c r="B17" s="79">
        <v>100.666</v>
      </c>
      <c r="C17" s="31">
        <f t="shared" si="0"/>
        <v>2239.9999999987585</v>
      </c>
      <c r="D17" s="32">
        <f t="shared" si="1"/>
        <v>1200.7041666666682</v>
      </c>
      <c r="E17" s="79">
        <v>100.8828</v>
      </c>
      <c r="F17" s="31">
        <f t="shared" si="2"/>
        <v>-2067.1999999990476</v>
      </c>
      <c r="G17" s="32">
        <f t="shared" si="3"/>
        <v>-33.972422222220303</v>
      </c>
      <c r="H17" s="79">
        <v>94.522000000000006</v>
      </c>
      <c r="I17" s="31">
        <f t="shared" si="4"/>
        <v>7350.0000000002783</v>
      </c>
      <c r="J17" s="32">
        <f t="shared" si="5"/>
        <v>960.37326388888914</v>
      </c>
      <c r="K17" s="79">
        <v>99.96875</v>
      </c>
      <c r="L17" s="31">
        <f t="shared" si="6"/>
        <v>-13786.499999999876</v>
      </c>
      <c r="M17" s="32">
        <f t="shared" si="7"/>
        <v>296.00485833333414</v>
      </c>
      <c r="N17" s="84">
        <f t="shared" si="8"/>
        <v>-16258.991816669015</v>
      </c>
    </row>
    <row r="18" spans="1:14" x14ac:dyDescent="0.3">
      <c r="A18" s="37">
        <v>45937</v>
      </c>
      <c r="B18" s="46">
        <v>100.748</v>
      </c>
      <c r="C18" s="31">
        <f t="shared" si="0"/>
        <v>13719.999999999856</v>
      </c>
      <c r="D18" s="32">
        <f t="shared" si="1"/>
        <v>1440.8450000000012</v>
      </c>
      <c r="E18" s="79">
        <v>101.1171875</v>
      </c>
      <c r="F18" s="31">
        <f t="shared" si="2"/>
        <v>29809.500000000528</v>
      </c>
      <c r="G18" s="32">
        <f t="shared" si="3"/>
        <v>-40.766906666663999</v>
      </c>
      <c r="H18" s="4">
        <v>94.481999999999999</v>
      </c>
      <c r="I18" s="31">
        <f t="shared" si="4"/>
        <v>5349.9999999999663</v>
      </c>
      <c r="J18" s="32">
        <f t="shared" si="5"/>
        <v>1152.4479166666674</v>
      </c>
      <c r="K18" s="79">
        <v>100.359375</v>
      </c>
      <c r="L18" s="31">
        <f t="shared" si="6"/>
        <v>2619.7500000001241</v>
      </c>
      <c r="M18" s="32">
        <f t="shared" si="7"/>
        <v>355.20583000000033</v>
      </c>
      <c r="N18" s="84">
        <f t="shared" si="8"/>
        <v>-18135.380180000517</v>
      </c>
    </row>
    <row r="19" spans="1:14" x14ac:dyDescent="0.3">
      <c r="A19" s="37">
        <v>45938</v>
      </c>
      <c r="B19" s="46">
        <v>100.879</v>
      </c>
      <c r="C19" s="31">
        <f t="shared" si="0"/>
        <v>32059.999999999891</v>
      </c>
      <c r="D19" s="32">
        <f t="shared" si="1"/>
        <v>1680.9858333333341</v>
      </c>
      <c r="E19" s="79">
        <v>101.1484375</v>
      </c>
      <c r="F19" s="31">
        <f t="shared" si="2"/>
        <v>34059.500000000524</v>
      </c>
      <c r="G19" s="32">
        <f t="shared" si="3"/>
        <v>-47.561391111108605</v>
      </c>
      <c r="H19" s="4">
        <v>94.591999999999999</v>
      </c>
      <c r="I19" s="31">
        <f t="shared" si="4"/>
        <v>10849.999999999938</v>
      </c>
      <c r="J19" s="32">
        <f t="shared" si="5"/>
        <v>1344.5225694444443</v>
      </c>
      <c r="K19" s="79">
        <v>100.6015625</v>
      </c>
      <c r="L19" s="31">
        <f t="shared" si="6"/>
        <v>12791.625000000124</v>
      </c>
      <c r="M19" s="32">
        <f t="shared" si="7"/>
        <v>414.40680166666698</v>
      </c>
      <c r="N19" s="84">
        <f t="shared" si="8"/>
        <v>740.55645666621695</v>
      </c>
    </row>
    <row r="20" spans="1:14" x14ac:dyDescent="0.3">
      <c r="A20" s="37">
        <v>45939</v>
      </c>
      <c r="B20" s="46">
        <v>100.65300000000001</v>
      </c>
      <c r="C20" s="31">
        <f t="shared" si="0"/>
        <v>420.00000000001592</v>
      </c>
      <c r="D20" s="32">
        <f t="shared" si="1"/>
        <v>1921.1266666666688</v>
      </c>
      <c r="E20" s="79">
        <v>100.9609375</v>
      </c>
      <c r="F20" s="31">
        <f t="shared" si="2"/>
        <v>8559.5000000005257</v>
      </c>
      <c r="G20" s="32">
        <f t="shared" si="3"/>
        <v>-54.355875555551393</v>
      </c>
      <c r="H20" s="4">
        <v>94.287000000000006</v>
      </c>
      <c r="I20" s="31">
        <f t="shared" si="4"/>
        <v>-4399.9999999996926</v>
      </c>
      <c r="J20" s="32">
        <f t="shared" si="5"/>
        <v>1536.5972222222217</v>
      </c>
      <c r="K20" s="79">
        <v>100.265625</v>
      </c>
      <c r="L20" s="31">
        <f t="shared" si="6"/>
        <v>-1317.7499999998759</v>
      </c>
      <c r="M20" s="32">
        <f t="shared" si="7"/>
        <v>473.60777333333408</v>
      </c>
      <c r="N20" s="84">
        <f t="shared" si="8"/>
        <v>-4144.7569066673595</v>
      </c>
    </row>
    <row r="21" spans="1:14" x14ac:dyDescent="0.3">
      <c r="A21" s="37">
        <v>45940</v>
      </c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84"/>
    </row>
    <row r="22" spans="1:14" x14ac:dyDescent="0.3">
      <c r="A22" s="37">
        <v>45941</v>
      </c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84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E12:G12"/>
    <mergeCell ref="H12:J12"/>
    <mergeCell ref="B12:D12"/>
    <mergeCell ref="K12:M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L53"/>
  <sheetViews>
    <sheetView zoomScale="80" zoomScaleNormal="80" workbookViewId="0">
      <selection activeCell="I11" sqref="I11"/>
    </sheetView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TODAY()-7</f>
        <v>45932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53</v>
      </c>
      <c r="C3" s="5" t="s">
        <v>54</v>
      </c>
      <c r="E3" s="53" cm="1">
        <f t="array" aca="1" ref="E3:F4" ca="1">_xll.BDH($B$4, "PX_LAST, ",E1, "")</f>
        <v>45932</v>
      </c>
      <c r="F3" s="1">
        <f ca="1"/>
        <v>92.248999999999995</v>
      </c>
      <c r="G3" s="53" cm="1">
        <f t="array" aca="1" ref="G3:H8" ca="1">_xll.BDH($C$4, "PX_LAST, ",E1, "")</f>
        <v>45932</v>
      </c>
      <c r="H3" s="47">
        <f ca="1"/>
        <v>46.127000000000002</v>
      </c>
      <c r="J3" s="1"/>
    </row>
    <row r="4" spans="1:12" ht="32.25" customHeight="1" x14ac:dyDescent="0.3">
      <c r="A4" s="15" t="s">
        <v>34</v>
      </c>
      <c r="B4" s="42" t="s">
        <v>55</v>
      </c>
      <c r="C4" s="43" t="s">
        <v>56</v>
      </c>
      <c r="E4" s="54">
        <f ca="1"/>
        <v>45938</v>
      </c>
      <c r="F4" s="1">
        <f ca="1"/>
        <v>92.66</v>
      </c>
      <c r="G4" s="54">
        <f ca="1"/>
        <v>45933</v>
      </c>
      <c r="H4" s="1">
        <f ca="1"/>
        <v>45.582000000000001</v>
      </c>
      <c r="I4" s="1"/>
    </row>
    <row r="5" spans="1:12" x14ac:dyDescent="0.3">
      <c r="A5" s="15" t="s">
        <v>8</v>
      </c>
      <c r="B5" s="7">
        <f>20*10^6</f>
        <v>20000000</v>
      </c>
      <c r="C5" s="8">
        <f>39*10^6</f>
        <v>39000000</v>
      </c>
      <c r="E5" s="54"/>
      <c r="F5" s="1"/>
      <c r="G5" s="54">
        <f ca="1"/>
        <v>45936</v>
      </c>
      <c r="H5" s="1">
        <f ca="1"/>
        <v>46.14</v>
      </c>
      <c r="I5" s="1"/>
      <c r="L5" s="62"/>
    </row>
    <row r="6" spans="1:12" x14ac:dyDescent="0.3">
      <c r="A6" s="15" t="s">
        <v>10</v>
      </c>
      <c r="B6" s="9">
        <v>0.01</v>
      </c>
      <c r="C6" s="44">
        <v>0.01</v>
      </c>
      <c r="E6" s="54"/>
      <c r="F6" s="1"/>
      <c r="G6" s="54">
        <f ca="1"/>
        <v>45937</v>
      </c>
      <c r="H6" s="1">
        <f ca="1"/>
        <v>46.350999999999999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54"/>
      <c r="F7" s="1"/>
      <c r="G7" s="54">
        <f ca="1"/>
        <v>45938</v>
      </c>
      <c r="H7" s="1">
        <f ca="1"/>
        <v>46.396000000000001</v>
      </c>
      <c r="I7" s="1"/>
    </row>
    <row r="8" spans="1:12" x14ac:dyDescent="0.3">
      <c r="A8" s="15" t="s">
        <v>14</v>
      </c>
      <c r="B8" s="1">
        <v>4.8499999999999996</v>
      </c>
      <c r="C8" s="5">
        <v>5.01</v>
      </c>
      <c r="E8" s="1"/>
      <c r="F8" s="1"/>
      <c r="G8" s="54">
        <f ca="1"/>
        <v>45939</v>
      </c>
      <c r="H8" s="1">
        <f ca="1"/>
        <v>46.633000000000003</v>
      </c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92.660420000000002</v>
      </c>
      <c r="C10" s="22" cm="1">
        <f t="array" ref="C10">_xll.BDP(C4,"px_last")</f>
        <v>46.632829999999998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100" t="s">
        <v>0</v>
      </c>
      <c r="C12" s="101"/>
      <c r="D12" s="102"/>
      <c r="E12" s="103" t="s">
        <v>1</v>
      </c>
      <c r="F12" s="104"/>
      <c r="G12" s="105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6"/>
      <c r="I13" s="1"/>
    </row>
    <row r="14" spans="1:12" x14ac:dyDescent="0.3">
      <c r="A14" s="37">
        <v>45933</v>
      </c>
      <c r="B14" s="46">
        <v>90</v>
      </c>
      <c r="C14" s="47"/>
      <c r="D14" s="48"/>
      <c r="E14" s="46">
        <v>45</v>
      </c>
      <c r="F14" s="1"/>
      <c r="G14" s="5"/>
      <c r="H14" s="84"/>
      <c r="I14" s="1"/>
    </row>
    <row r="15" spans="1:12" x14ac:dyDescent="0.3">
      <c r="A15" s="37">
        <v>45936</v>
      </c>
      <c r="B15" s="46">
        <v>92.248999999999995</v>
      </c>
      <c r="C15" s="31">
        <f t="shared" ref="C15" si="0">-1*(B15-$B$14)*10^-4*$B$8*$B$5</f>
        <v>-21815.299999999952</v>
      </c>
      <c r="D15" s="32">
        <f t="shared" ref="D15" si="1">$B$6*(A15-$A$14)/360*$B$5</f>
        <v>1666.6666666666665</v>
      </c>
      <c r="E15" s="46">
        <v>46.14</v>
      </c>
      <c r="F15" s="31">
        <f t="shared" ref="F15" si="2">-1*(E15-$E$14)*10^-4*$C$8*$C$5</f>
        <v>-22274.46000000001</v>
      </c>
      <c r="G15" s="32">
        <f t="shared" ref="G15" si="3">$C$6*(A15-$A$14)/360*$C$5</f>
        <v>3250</v>
      </c>
      <c r="H15" s="84">
        <f>C15+D15-F15-G15</f>
        <v>-1124.1733333332741</v>
      </c>
      <c r="I15" s="1"/>
    </row>
    <row r="16" spans="1:12" x14ac:dyDescent="0.3">
      <c r="A16" s="37">
        <v>45937</v>
      </c>
      <c r="B16" s="46">
        <v>92.248999999999995</v>
      </c>
      <c r="C16" s="31">
        <f t="shared" ref="C16" si="4">-1*(B16-$B$14)*10^-4*$B$8*$B$5</f>
        <v>-21815.299999999952</v>
      </c>
      <c r="D16" s="32">
        <f t="shared" ref="D16" si="5">$B$6*(A16-$A$14)/360*$B$5</f>
        <v>2222.2222222222222</v>
      </c>
      <c r="E16" s="46">
        <v>46.350999999999999</v>
      </c>
      <c r="F16" s="31">
        <f t="shared" ref="F16" si="6">-1*(E16-$E$14)*10^-4*$C$8*$C$5</f>
        <v>-26397.188999999984</v>
      </c>
      <c r="G16" s="32">
        <f>$C$6*(A16-$A$14)/360*$C$5</f>
        <v>4333.3333333333339</v>
      </c>
      <c r="H16" s="84">
        <f>C16+D16-F16-G16</f>
        <v>2470.7778888889206</v>
      </c>
      <c r="I16" s="1"/>
    </row>
    <row r="17" spans="1:9" x14ac:dyDescent="0.3">
      <c r="A17" s="37">
        <v>45938</v>
      </c>
      <c r="B17" s="46">
        <v>92.66</v>
      </c>
      <c r="C17" s="31">
        <f t="shared" ref="C17" si="7">-1*(B17-$B$14)*10^-4*$B$8*$B$5</f>
        <v>-25801.999999999967</v>
      </c>
      <c r="D17" s="32">
        <f t="shared" ref="D17" si="8">$B$6*(A17-$A$14)/360*$B$5</f>
        <v>2777.7777777777778</v>
      </c>
      <c r="E17" s="1">
        <v>46.396000000000001</v>
      </c>
      <c r="F17" s="31">
        <f t="shared" ref="F17" si="9">-1*(E17-$E$14)*10^-4*$C$8*$C$5</f>
        <v>-27276.444000000018</v>
      </c>
      <c r="G17" s="32">
        <f>$C$6*(A17-$A$14)/360*$C$5</f>
        <v>5416.666666666667</v>
      </c>
      <c r="H17" s="84">
        <f>C17+D17-F17-G17</f>
        <v>-1164.4448888888392</v>
      </c>
      <c r="I17" s="1"/>
    </row>
    <row r="18" spans="1:9" x14ac:dyDescent="0.3">
      <c r="A18" s="37">
        <v>45939</v>
      </c>
      <c r="B18" s="46">
        <v>92.66</v>
      </c>
      <c r="C18" s="31">
        <f t="shared" ref="C18" si="10">-1*(B18-$B$14)*10^-4*$B$8*$B$5</f>
        <v>-25801.999999999967</v>
      </c>
      <c r="D18" s="32">
        <f t="shared" ref="D18" si="11">$B$6*(A18-$A$14)/360*$B$5</f>
        <v>3333.333333333333</v>
      </c>
      <c r="E18" s="1">
        <v>46.76</v>
      </c>
      <c r="F18" s="31">
        <f t="shared" ref="F18" si="12">-1*(E18-$E$14)*10^-4*$C$8*$C$5</f>
        <v>-34388.639999999963</v>
      </c>
      <c r="G18" s="32">
        <f>$C$6*(A18-$A$14)/360*$C$5</f>
        <v>6500</v>
      </c>
      <c r="H18" s="84">
        <f>C18+D18-F18-G18</f>
        <v>5419.9733333333279</v>
      </c>
      <c r="I18" s="1"/>
    </row>
    <row r="19" spans="1:9" x14ac:dyDescent="0.3">
      <c r="A19" s="37">
        <v>45940</v>
      </c>
      <c r="B19" s="46"/>
      <c r="C19" s="31"/>
      <c r="D19" s="32"/>
      <c r="E19" s="46"/>
      <c r="F19" s="31"/>
      <c r="G19" s="32"/>
      <c r="H19" s="39"/>
      <c r="I19" s="1"/>
    </row>
    <row r="20" spans="1:9" x14ac:dyDescent="0.3">
      <c r="A20" s="37">
        <v>45941</v>
      </c>
      <c r="B20" s="46"/>
      <c r="C20" s="31"/>
      <c r="D20" s="32"/>
      <c r="E20" s="46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6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6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6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6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6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6"/>
      <c r="F26" s="31"/>
      <c r="G26" s="32"/>
      <c r="H26" s="39"/>
      <c r="I26" s="1"/>
    </row>
    <row r="27" spans="1:9" x14ac:dyDescent="0.3">
      <c r="A27" s="38"/>
      <c r="B27" s="61"/>
      <c r="C27" s="62"/>
      <c r="D27" s="63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4"/>
      <c r="C42" s="64"/>
      <c r="D42" s="64"/>
      <c r="F42" s="62"/>
      <c r="G42" s="62"/>
      <c r="H42" s="62"/>
    </row>
    <row r="43" spans="1:9" x14ac:dyDescent="0.3">
      <c r="B43" s="64"/>
      <c r="C43" s="64"/>
      <c r="D43" s="64"/>
      <c r="F43" s="62"/>
      <c r="G43" s="62"/>
      <c r="H43" s="62"/>
    </row>
    <row r="44" spans="1:9" x14ac:dyDescent="0.3">
      <c r="B44" s="64"/>
      <c r="C44" s="64"/>
      <c r="D44" s="64"/>
      <c r="F44" s="62"/>
      <c r="G44" s="62"/>
      <c r="H44" s="62"/>
    </row>
    <row r="45" spans="1:9" x14ac:dyDescent="0.3">
      <c r="B45" s="64"/>
      <c r="C45" s="64"/>
      <c r="D45" s="64"/>
      <c r="F45" s="62"/>
      <c r="G45" s="62"/>
      <c r="H45" s="62"/>
    </row>
    <row r="46" spans="1:9" x14ac:dyDescent="0.3">
      <c r="B46" s="64"/>
      <c r="C46" s="64"/>
      <c r="D46" s="64"/>
    </row>
    <row r="47" spans="1:9" x14ac:dyDescent="0.3">
      <c r="B47" s="64"/>
      <c r="C47" s="64"/>
      <c r="D47" s="64"/>
    </row>
    <row r="48" spans="1:9" x14ac:dyDescent="0.3">
      <c r="B48" s="64"/>
      <c r="C48" s="64"/>
      <c r="D48" s="64"/>
    </row>
    <row r="49" spans="2:4" x14ac:dyDescent="0.3">
      <c r="B49" s="64"/>
      <c r="C49" s="64"/>
      <c r="D49" s="64"/>
    </row>
    <row r="50" spans="2:4" x14ac:dyDescent="0.3">
      <c r="B50" s="64"/>
      <c r="C50" s="64"/>
      <c r="D50" s="64"/>
    </row>
    <row r="51" spans="2:4" x14ac:dyDescent="0.3">
      <c r="B51" s="64"/>
      <c r="C51" s="64"/>
      <c r="D51" s="64"/>
    </row>
    <row r="52" spans="2:4" x14ac:dyDescent="0.3">
      <c r="B52" s="64"/>
      <c r="C52" s="64"/>
      <c r="D52" s="64"/>
    </row>
    <row r="53" spans="2:4" x14ac:dyDescent="0.3">
      <c r="B53" s="64"/>
      <c r="C53" s="64"/>
      <c r="D53" s="64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O53"/>
  <sheetViews>
    <sheetView tabSelected="1" zoomScale="80" zoomScaleNormal="80" workbookViewId="0">
      <selection activeCell="C16" sqref="C16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11.5546875" style="55" bestFit="1" customWidth="1"/>
    <col min="8" max="8" width="8.88671875" style="55" bestFit="1" customWidth="1"/>
    <col min="9" max="9" width="11.5546875" style="55" bestFit="1" customWidth="1"/>
    <col min="10" max="10" width="13.33203125" style="55" bestFit="1" customWidth="1"/>
    <col min="11" max="12" width="11.5546875" style="55" bestFit="1" customWidth="1"/>
    <col min="13" max="13" width="13.33203125" style="55" bestFit="1" customWidth="1"/>
    <col min="14" max="14" width="13" style="55" bestFit="1" customWidth="1"/>
    <col min="16" max="16384" width="8.88671875" style="55"/>
  </cols>
  <sheetData>
    <row r="1" spans="1:14" ht="15" thickBot="1" x14ac:dyDescent="0.35">
      <c r="A1" s="1"/>
      <c r="B1" s="1"/>
      <c r="C1" s="1"/>
      <c r="D1" s="1"/>
      <c r="E1" s="1"/>
      <c r="G1" s="54">
        <f ca="1">TODAY()-5</f>
        <v>45934</v>
      </c>
      <c r="H1" s="1"/>
      <c r="I1" s="1"/>
      <c r="J1" s="1"/>
      <c r="K1" s="1"/>
      <c r="L1" s="1"/>
      <c r="M1" s="1"/>
    </row>
    <row r="2" spans="1:14" ht="15" thickBot="1" x14ac:dyDescent="0.35">
      <c r="A2" s="30"/>
      <c r="B2" s="41" t="s">
        <v>0</v>
      </c>
      <c r="C2" s="45" t="s">
        <v>1</v>
      </c>
      <c r="D2" s="74" t="s">
        <v>1</v>
      </c>
      <c r="E2" s="75" t="s">
        <v>0</v>
      </c>
      <c r="G2" s="27" t="s">
        <v>0</v>
      </c>
      <c r="H2" s="1"/>
      <c r="I2" s="45" t="s">
        <v>1</v>
      </c>
      <c r="J2" s="2"/>
      <c r="K2" s="28" t="s">
        <v>1</v>
      </c>
      <c r="L2" s="1"/>
      <c r="M2" s="75" t="s">
        <v>0</v>
      </c>
    </row>
    <row r="3" spans="1:14" x14ac:dyDescent="0.3">
      <c r="A3" s="15" t="s">
        <v>33</v>
      </c>
      <c r="B3" s="66" t="s">
        <v>57</v>
      </c>
      <c r="C3" s="76" t="s">
        <v>58</v>
      </c>
      <c r="D3" s="76" t="s">
        <v>59</v>
      </c>
      <c r="E3" s="67" t="s">
        <v>60</v>
      </c>
      <c r="G3" s="53" cm="1">
        <f t="array" aca="1" ref="G3:H6" ca="1">_xll.BDH($B$4, "PX_LAST, ", $G$1, "")</f>
        <v>45936</v>
      </c>
      <c r="H3" s="1">
        <f ca="1"/>
        <v>92.53</v>
      </c>
      <c r="I3" s="53" cm="1">
        <f t="array" aca="1" ref="I3:J6" ca="1">_xll.BDH($C$4, "PX_LAST, ", $G$1, "")</f>
        <v>45936</v>
      </c>
      <c r="J3" s="47">
        <f ca="1"/>
        <v>100.917</v>
      </c>
      <c r="K3" s="53" cm="1">
        <f t="array" aca="1" ref="K3:L6" ca="1">_xll.BDH($D$4, "PX_LAST, ", $G$1, "")</f>
        <v>45936</v>
      </c>
      <c r="L3" s="1">
        <f ca="1"/>
        <v>120.97499999999999</v>
      </c>
      <c r="M3" s="53" cm="1">
        <f t="array" aca="1" ref="M3:N6" ca="1">_xll.BDH($E$4, "PX_LAST, ", $G$1, "")</f>
        <v>45936</v>
      </c>
      <c r="N3" s="55">
        <f ca="1"/>
        <v>99.501000000000005</v>
      </c>
    </row>
    <row r="4" spans="1:14" ht="32.25" customHeight="1" x14ac:dyDescent="0.3">
      <c r="A4" s="15" t="s">
        <v>34</v>
      </c>
      <c r="B4" s="68" t="s">
        <v>61</v>
      </c>
      <c r="C4" s="42" t="s">
        <v>63</v>
      </c>
      <c r="D4" s="42" t="s">
        <v>62</v>
      </c>
      <c r="E4" s="43" t="s">
        <v>64</v>
      </c>
      <c r="G4" s="78">
        <f ca="1"/>
        <v>45937</v>
      </c>
      <c r="H4" s="1">
        <f ca="1"/>
        <v>92.26</v>
      </c>
      <c r="I4" s="54">
        <f ca="1"/>
        <v>45937</v>
      </c>
      <c r="J4" s="1">
        <f ca="1"/>
        <v>100.93</v>
      </c>
      <c r="K4" s="54">
        <f ca="1"/>
        <v>45937</v>
      </c>
      <c r="L4" s="1">
        <f ca="1"/>
        <v>120.96</v>
      </c>
      <c r="M4" s="54">
        <f ca="1"/>
        <v>45937</v>
      </c>
      <c r="N4" s="55">
        <f ca="1"/>
        <v>99.540999999999997</v>
      </c>
    </row>
    <row r="5" spans="1:14" x14ac:dyDescent="0.3">
      <c r="A5" s="15" t="s">
        <v>8</v>
      </c>
      <c r="B5" s="69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78">
        <f ca="1"/>
        <v>45938</v>
      </c>
      <c r="H5" s="1">
        <f ca="1"/>
        <v>92.15</v>
      </c>
      <c r="I5" s="54">
        <f ca="1"/>
        <v>45938</v>
      </c>
      <c r="J5" s="1">
        <f ca="1"/>
        <v>100.986</v>
      </c>
      <c r="K5" s="54">
        <f ca="1"/>
        <v>45938</v>
      </c>
      <c r="L5" s="1">
        <f ca="1"/>
        <v>121.1</v>
      </c>
      <c r="M5" s="54">
        <f ca="1"/>
        <v>45938</v>
      </c>
      <c r="N5" s="55">
        <f ca="1"/>
        <v>99.665000000000006</v>
      </c>
    </row>
    <row r="6" spans="1:14" x14ac:dyDescent="0.3">
      <c r="A6" s="15" t="s">
        <v>10</v>
      </c>
      <c r="B6" s="71">
        <v>0</v>
      </c>
      <c r="C6" s="77">
        <v>2.4E-2</v>
      </c>
      <c r="D6" s="77">
        <v>0</v>
      </c>
      <c r="E6" s="10">
        <v>2.1999999999999999E-2</v>
      </c>
      <c r="G6" s="78">
        <f ca="1"/>
        <v>45939</v>
      </c>
      <c r="H6" s="1">
        <f ca="1"/>
        <v>91.93</v>
      </c>
      <c r="I6" s="54">
        <f ca="1"/>
        <v>45939</v>
      </c>
      <c r="J6" s="1">
        <f ca="1"/>
        <v>100.932</v>
      </c>
      <c r="K6" s="54">
        <f ca="1"/>
        <v>45939</v>
      </c>
      <c r="L6" s="1">
        <f ca="1"/>
        <v>120.92</v>
      </c>
      <c r="M6" s="54">
        <f ca="1"/>
        <v>45939</v>
      </c>
      <c r="N6" s="55">
        <f ca="1"/>
        <v>99.552000000000007</v>
      </c>
    </row>
    <row r="7" spans="1:14" x14ac:dyDescent="0.3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10">
        <v>4.2299999999999997E-2</v>
      </c>
      <c r="G7" s="54"/>
      <c r="H7" s="1"/>
      <c r="I7" s="54"/>
      <c r="J7" s="1"/>
      <c r="K7" s="54"/>
      <c r="L7" s="1"/>
      <c r="M7" s="54"/>
      <c r="N7" s="1"/>
    </row>
    <row r="8" spans="1:14" x14ac:dyDescent="0.3">
      <c r="A8" s="15" t="s">
        <v>14</v>
      </c>
      <c r="B8" s="4" t="s">
        <v>24</v>
      </c>
      <c r="C8" s="1" t="s">
        <v>24</v>
      </c>
      <c r="D8" s="1" t="s">
        <v>24</v>
      </c>
      <c r="E8" s="5" t="s">
        <v>24</v>
      </c>
      <c r="G8" s="1"/>
      <c r="H8" s="1"/>
      <c r="I8" s="1"/>
      <c r="J8" s="1"/>
      <c r="K8" s="1"/>
      <c r="L8" s="1"/>
      <c r="M8" s="1"/>
      <c r="N8" s="1"/>
    </row>
    <row r="9" spans="1:14" x14ac:dyDescent="0.3">
      <c r="A9" s="15" t="s">
        <v>15</v>
      </c>
      <c r="B9" s="4" t="s">
        <v>24</v>
      </c>
      <c r="C9" s="1" t="s">
        <v>24</v>
      </c>
      <c r="D9" s="1"/>
      <c r="E9" s="5" t="s">
        <v>24</v>
      </c>
      <c r="G9" s="1"/>
      <c r="H9" s="1"/>
      <c r="I9" s="1"/>
      <c r="J9" s="1"/>
      <c r="K9" s="1"/>
      <c r="L9" s="1"/>
      <c r="M9" s="1"/>
      <c r="N9" s="1"/>
    </row>
    <row r="10" spans="1:14" ht="15" thickBot="1" x14ac:dyDescent="0.35">
      <c r="A10" s="16" t="s">
        <v>29</v>
      </c>
      <c r="B10" s="11" cm="1">
        <f t="array" ref="B10">_xll.BDP(B4,"px_last")</f>
        <v>91.93</v>
      </c>
      <c r="C10" s="21" cm="1">
        <f t="array" ref="C10">_xll.BDP(C4,"px_last")</f>
        <v>100.932</v>
      </c>
      <c r="D10" s="21" cm="1">
        <f t="array" ref="D10">_xll.BDP(D4,"px_last")</f>
        <v>120.92</v>
      </c>
      <c r="E10" s="22" cm="1">
        <f t="array" ref="E10">_xll.BDP(E4,"px_last")</f>
        <v>99.552000000000007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04"/>
      <c r="J12" s="105"/>
      <c r="K12" s="109" t="s">
        <v>0</v>
      </c>
      <c r="L12" s="110"/>
      <c r="M12" s="111"/>
      <c r="N12" s="40" t="s">
        <v>16</v>
      </c>
    </row>
    <row r="13" spans="1:14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16"/>
    </row>
    <row r="14" spans="1:14" x14ac:dyDescent="0.3">
      <c r="A14" s="37">
        <v>45937</v>
      </c>
      <c r="B14" s="79">
        <v>92.37</v>
      </c>
      <c r="C14" s="47"/>
      <c r="D14" s="48"/>
      <c r="E14" s="79">
        <v>100.9</v>
      </c>
      <c r="F14" s="1"/>
      <c r="G14" s="5"/>
      <c r="H14" s="79">
        <v>120.9</v>
      </c>
      <c r="I14" s="1"/>
      <c r="J14" s="5"/>
      <c r="K14" s="79">
        <v>99.48</v>
      </c>
      <c r="L14" s="1"/>
      <c r="M14" s="5"/>
      <c r="N14" s="84"/>
    </row>
    <row r="15" spans="1:14" x14ac:dyDescent="0.3">
      <c r="A15" s="37">
        <v>45938</v>
      </c>
      <c r="B15" s="79">
        <v>92.15</v>
      </c>
      <c r="C15" s="31">
        <f>(B15/$B$14-1)*$B$5</f>
        <v>-59543.141712675715</v>
      </c>
      <c r="D15" s="32">
        <f>-1*(A15-$A$14)/360*$B$7*$B$5</f>
        <v>-2937.5</v>
      </c>
      <c r="E15" s="79">
        <v>100.986</v>
      </c>
      <c r="F15" s="31">
        <f>(E15-$E$14)/100*$C$5</f>
        <v>17199.999999999705</v>
      </c>
      <c r="G15" s="32">
        <f>(A15-$A$14)/360*$C$6*$C$5-(A15-$A$14)/360*$C$7*$C$5*$E$14/100</f>
        <v>-1037.8166666666666</v>
      </c>
      <c r="H15" s="79">
        <v>121.1</v>
      </c>
      <c r="I15" s="31">
        <f>(H15/$H$14-1)*$D$5</f>
        <v>71133.16790736212</v>
      </c>
      <c r="J15" s="32">
        <f>-1*(A15-$A$14)/360*$D$7*$D$5</f>
        <v>-5052.5</v>
      </c>
      <c r="K15" s="79">
        <v>99.665000000000006</v>
      </c>
      <c r="L15" s="31">
        <f>(K15-$K$14)/100*$E$5</f>
        <v>75850.000000000931</v>
      </c>
      <c r="M15" s="32">
        <f>(A15-$A$14)/360*$E$6*$E$5-(A15-$A$14)/360*$E$7*$E$5*$K$14/100</f>
        <v>-2286.8934444444453</v>
      </c>
      <c r="N15" s="84">
        <f>C15+D15-F15-G15-I15-J15+L15+M15</f>
        <v>-71160.386397814393</v>
      </c>
    </row>
    <row r="16" spans="1:14" x14ac:dyDescent="0.3">
      <c r="A16" s="37">
        <v>45939</v>
      </c>
      <c r="B16" s="79">
        <v>91.94</v>
      </c>
      <c r="C16" s="31">
        <f>(B16/$B$14-1)*$B$5</f>
        <v>-116379.77698387147</v>
      </c>
      <c r="D16" s="32">
        <f>-1*(A16-$A$14)/360*$B$7*$B$5</f>
        <v>-5875</v>
      </c>
      <c r="E16" s="79">
        <v>100.931</v>
      </c>
      <c r="F16" s="31">
        <f>(E16-$E$14)/100*$C$5</f>
        <v>6199.9999999983402</v>
      </c>
      <c r="G16" s="32">
        <f>(A16-$A$14)/360*$C$6*$C$5-(A16-$A$14)/360*$C$7*$C$5*$E$14/100</f>
        <v>-2075.6333333333332</v>
      </c>
      <c r="H16" s="79">
        <v>120.99</v>
      </c>
      <c r="I16" s="31">
        <f>(H16/$H$14-1)*$D$5</f>
        <v>32009.92555830484</v>
      </c>
      <c r="J16" s="32">
        <f>-1*(A16-$A$14)/360*$D$7*$D$5</f>
        <v>-10105</v>
      </c>
      <c r="K16" s="79">
        <v>99.542000000000002</v>
      </c>
      <c r="L16" s="31">
        <f>(K16-$K$14)/100*$E$5</f>
        <v>25419.999999999021</v>
      </c>
      <c r="M16" s="32">
        <f>(A16-$A$14)/360*$E$6*$E$5-(A16-$A$14)/360*$E$7*$E$5*$K$14/100</f>
        <v>-4573.7868888888906</v>
      </c>
      <c r="N16" s="84">
        <f>C16+D16-F16-G16-I16-J16+L16+M16</f>
        <v>-127437.8560977312</v>
      </c>
    </row>
    <row r="17" spans="1:14" x14ac:dyDescent="0.3">
      <c r="A17" s="37">
        <v>45940</v>
      </c>
      <c r="B17" s="79"/>
      <c r="C17" s="31"/>
      <c r="D17" s="32"/>
      <c r="E17" s="79"/>
      <c r="F17" s="31"/>
      <c r="G17" s="32"/>
      <c r="H17" s="79"/>
      <c r="I17" s="31"/>
      <c r="J17" s="32"/>
      <c r="K17" s="79"/>
      <c r="L17" s="31"/>
      <c r="M17" s="32"/>
      <c r="N17" s="84"/>
    </row>
    <row r="18" spans="1:14" x14ac:dyDescent="0.3">
      <c r="A18" s="37">
        <v>45941</v>
      </c>
      <c r="B18" s="46"/>
      <c r="C18" s="31"/>
      <c r="D18" s="32"/>
      <c r="E18" s="4"/>
      <c r="F18" s="31"/>
      <c r="G18" s="32"/>
      <c r="H18" s="4"/>
      <c r="I18" s="31"/>
      <c r="J18" s="32"/>
      <c r="K18" s="4"/>
      <c r="L18" s="31"/>
      <c r="M18" s="32"/>
      <c r="N18" s="39"/>
    </row>
    <row r="19" spans="1:14" x14ac:dyDescent="0.3">
      <c r="B19" s="46"/>
      <c r="C19" s="31"/>
      <c r="D19" s="32"/>
      <c r="E19" s="4"/>
      <c r="F19" s="31"/>
      <c r="G19" s="32"/>
      <c r="H19" s="4"/>
      <c r="I19" s="31"/>
      <c r="J19" s="32"/>
      <c r="K19" s="4"/>
      <c r="L19" s="31"/>
      <c r="M19" s="32"/>
      <c r="N19" s="39"/>
    </row>
    <row r="20" spans="1:14" x14ac:dyDescent="0.3">
      <c r="B20" s="46"/>
      <c r="C20" s="31"/>
      <c r="D20" s="31"/>
      <c r="E20" s="4"/>
      <c r="F20" s="31"/>
      <c r="G20" s="32"/>
      <c r="H20" s="4"/>
      <c r="I20" s="31"/>
      <c r="J20" s="32"/>
      <c r="K20" s="4"/>
      <c r="L20" s="31"/>
      <c r="M20" s="32"/>
      <c r="N20" s="39"/>
    </row>
    <row r="21" spans="1:14" x14ac:dyDescent="0.3">
      <c r="B21" s="46"/>
      <c r="C21" s="31"/>
      <c r="D21" s="31"/>
      <c r="E21" s="4"/>
      <c r="F21" s="31"/>
      <c r="G21" s="32"/>
      <c r="H21" s="4"/>
      <c r="I21" s="31"/>
      <c r="J21" s="32"/>
      <c r="K21" s="4"/>
      <c r="L21" s="31"/>
      <c r="M21" s="32"/>
      <c r="N21" s="39"/>
    </row>
    <row r="22" spans="1:14" x14ac:dyDescent="0.3">
      <c r="B22" s="46"/>
      <c r="C22" s="31"/>
      <c r="D22" s="31"/>
      <c r="E22" s="4"/>
      <c r="F22" s="31"/>
      <c r="G22" s="32"/>
      <c r="H22" s="4"/>
      <c r="I22" s="31"/>
      <c r="J22" s="32"/>
      <c r="K22" s="4"/>
      <c r="L22" s="31"/>
      <c r="M22" s="32"/>
      <c r="N22" s="39"/>
    </row>
    <row r="23" spans="1:14" x14ac:dyDescent="0.3">
      <c r="A23" s="37"/>
      <c r="B23" s="46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39"/>
    </row>
    <row r="24" spans="1:14" x14ac:dyDescent="0.3">
      <c r="A24" s="37"/>
      <c r="B24" s="46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39"/>
    </row>
    <row r="25" spans="1:14" x14ac:dyDescent="0.3">
      <c r="A25" s="37"/>
      <c r="B25" s="46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39"/>
    </row>
    <row r="26" spans="1:14" x14ac:dyDescent="0.3">
      <c r="A26" s="37"/>
      <c r="B26" s="46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39"/>
    </row>
    <row r="27" spans="1:14" x14ac:dyDescent="0.3">
      <c r="A27" s="56"/>
      <c r="B27" s="57"/>
      <c r="C27" s="58"/>
      <c r="D27" s="58"/>
      <c r="E27" s="4"/>
      <c r="F27" s="31"/>
      <c r="G27" s="32"/>
      <c r="H27" s="4"/>
      <c r="I27" s="31"/>
      <c r="J27" s="32"/>
      <c r="K27" s="4"/>
      <c r="L27" s="31"/>
      <c r="M27" s="32"/>
      <c r="N27" s="39"/>
    </row>
    <row r="28" spans="1:14" x14ac:dyDescent="0.3">
      <c r="A28" s="37"/>
      <c r="B28" s="46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39"/>
    </row>
    <row r="29" spans="1:14" x14ac:dyDescent="0.3">
      <c r="A29" s="37"/>
      <c r="B29" s="46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39"/>
    </row>
    <row r="30" spans="1:14" x14ac:dyDescent="0.3">
      <c r="A30" s="56"/>
      <c r="B30" s="46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9"/>
    </row>
    <row r="31" spans="1:14" x14ac:dyDescent="0.3">
      <c r="A31" s="56"/>
      <c r="B31" s="46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9"/>
    </row>
    <row r="32" spans="1:14" x14ac:dyDescent="0.3">
      <c r="A32" s="15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9"/>
    </row>
    <row r="33" spans="1:14" x14ac:dyDescent="0.3">
      <c r="A33" s="15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9"/>
    </row>
    <row r="34" spans="1:14" x14ac:dyDescent="0.3">
      <c r="A34" s="15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9"/>
    </row>
    <row r="35" spans="1:14" x14ac:dyDescent="0.3">
      <c r="A35" s="15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9"/>
    </row>
    <row r="36" spans="1:14" x14ac:dyDescent="0.3">
      <c r="A36" s="15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9"/>
    </row>
    <row r="37" spans="1:14" x14ac:dyDescent="0.3">
      <c r="A37" s="15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9"/>
    </row>
    <row r="38" spans="1:14" x14ac:dyDescent="0.3">
      <c r="A38" s="15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9"/>
    </row>
    <row r="39" spans="1:14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9"/>
    </row>
    <row r="40" spans="1:14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9"/>
    </row>
    <row r="41" spans="1:14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52"/>
    </row>
    <row r="42" spans="1:14" x14ac:dyDescent="0.3">
      <c r="B42" s="60"/>
      <c r="C42" s="60"/>
      <c r="D42" s="60"/>
      <c r="F42" s="58"/>
      <c r="G42" s="58"/>
      <c r="I42" s="58"/>
      <c r="J42" s="58"/>
      <c r="L42" s="58"/>
      <c r="M42" s="58"/>
      <c r="N42" s="58"/>
    </row>
    <row r="43" spans="1:14" x14ac:dyDescent="0.3">
      <c r="B43" s="60"/>
      <c r="C43" s="60"/>
      <c r="D43" s="60"/>
      <c r="I43" s="58"/>
      <c r="J43" s="58"/>
      <c r="L43" s="58"/>
      <c r="M43" s="58"/>
      <c r="N43" s="58"/>
    </row>
    <row r="44" spans="1:14" x14ac:dyDescent="0.3">
      <c r="B44" s="60"/>
      <c r="C44" s="60"/>
      <c r="D44" s="60"/>
      <c r="I44" s="58"/>
      <c r="J44" s="58"/>
      <c r="L44" s="58"/>
      <c r="M44" s="58"/>
      <c r="N44" s="58"/>
    </row>
    <row r="45" spans="1:14" x14ac:dyDescent="0.3">
      <c r="B45" s="60"/>
      <c r="C45" s="60"/>
      <c r="D45" s="60"/>
      <c r="I45" s="58"/>
      <c r="J45" s="58"/>
      <c r="L45" s="58"/>
      <c r="M45" s="58"/>
      <c r="N45" s="58"/>
    </row>
    <row r="46" spans="1:14" x14ac:dyDescent="0.3">
      <c r="B46" s="60"/>
      <c r="C46" s="60"/>
      <c r="D46" s="60"/>
    </row>
    <row r="47" spans="1:14" x14ac:dyDescent="0.3">
      <c r="B47" s="60"/>
      <c r="C47" s="60"/>
      <c r="D47" s="60"/>
    </row>
    <row r="48" spans="1:14" x14ac:dyDescent="0.3">
      <c r="B48" s="60"/>
      <c r="C48" s="60"/>
      <c r="D48" s="60"/>
    </row>
    <row r="49" spans="2:4" x14ac:dyDescent="0.3">
      <c r="B49" s="60"/>
      <c r="C49" s="60"/>
      <c r="D49" s="60"/>
    </row>
    <row r="50" spans="2:4" x14ac:dyDescent="0.3">
      <c r="B50" s="60"/>
      <c r="C50" s="60"/>
      <c r="D50" s="60"/>
    </row>
    <row r="51" spans="2:4" x14ac:dyDescent="0.3">
      <c r="B51" s="60"/>
      <c r="C51" s="60"/>
      <c r="D51" s="60"/>
    </row>
    <row r="52" spans="2:4" x14ac:dyDescent="0.3">
      <c r="B52" s="60"/>
      <c r="C52" s="60"/>
      <c r="D52" s="60"/>
    </row>
    <row r="53" spans="2:4" x14ac:dyDescent="0.3">
      <c r="B53" s="60"/>
      <c r="C53" s="60"/>
      <c r="D53" s="60"/>
    </row>
  </sheetData>
  <mergeCells count="4">
    <mergeCell ref="B12:D12"/>
    <mergeCell ref="E12:G12"/>
    <mergeCell ref="H12:J12"/>
    <mergeCell ref="K12:M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U73"/>
  <sheetViews>
    <sheetView zoomScale="80" zoomScaleNormal="80" workbookViewId="0">
      <selection activeCell="T32" sqref="T32"/>
    </sheetView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7" width="13.88671875" style="55" bestFit="1" customWidth="1"/>
    <col min="18" max="18" width="11.5546875" style="55" bestFit="1" customWidth="1"/>
    <col min="19" max="20" width="13.33203125" style="55" bestFit="1" customWidth="1"/>
    <col min="22" max="16384" width="8.88671875" style="55"/>
  </cols>
  <sheetData>
    <row r="1" spans="1:20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0</v>
      </c>
      <c r="F2" s="74" t="s">
        <v>0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20" x14ac:dyDescent="0.3">
      <c r="A3" s="15" t="s">
        <v>33</v>
      </c>
      <c r="B3" s="66" t="s">
        <v>65</v>
      </c>
      <c r="C3" s="76" t="s">
        <v>67</v>
      </c>
      <c r="D3" s="76" t="s">
        <v>68</v>
      </c>
      <c r="E3" s="76" t="s">
        <v>67</v>
      </c>
      <c r="F3" s="76" t="s">
        <v>69</v>
      </c>
      <c r="G3" s="67" t="s">
        <v>70</v>
      </c>
      <c r="I3" s="53" cm="1">
        <f t="array" aca="1" ref="I3:J6" ca="1">_xll.BDH($B$4, "PX_LAST, ", $I$1, "")</f>
        <v>45936</v>
      </c>
      <c r="J3" s="1">
        <f ca="1"/>
        <v>80.86</v>
      </c>
      <c r="K3" s="53" cm="1">
        <f t="array" aca="1" ref="K3:L6" ca="1">_xll.BDH($C$4, "PX_LAST, ", $I$1, "")</f>
        <v>45936</v>
      </c>
      <c r="L3" s="47">
        <f ca="1"/>
        <v>99.5078125</v>
      </c>
      <c r="M3" s="53" cm="1">
        <f t="array" aca="1" ref="M3:N6" ca="1">_xll.BDH($D$4, "PX_LAST, ", $I$1, "")</f>
        <v>45936</v>
      </c>
      <c r="N3" s="1">
        <f ca="1"/>
        <v>111.19</v>
      </c>
      <c r="O3" s="53" cm="1">
        <f t="array" aca="1" ref="O3:P6" ca="1">_xll.BDH($E$4, "PX_LAST, ", $I$1, "")</f>
        <v>45936</v>
      </c>
      <c r="P3" s="55">
        <f ca="1"/>
        <v>99.5078125</v>
      </c>
      <c r="Q3" s="53" cm="1">
        <f t="array" aca="1" ref="Q3:R6" ca="1">_xll.BDH($F$4, "PX_LAST, ", $I$1, "")</f>
        <v>45936</v>
      </c>
      <c r="R3" s="55">
        <f ca="1"/>
        <v>100.765625</v>
      </c>
      <c r="S3" s="53" cm="1">
        <f t="array" aca="1" ref="S3:T6" ca="1">_xll.BDH($G$4, "PX_LAST, ", $I$1, "")</f>
        <v>45936</v>
      </c>
      <c r="T3" s="55">
        <f ca="1"/>
        <v>100.015625</v>
      </c>
    </row>
    <row r="4" spans="1:20" ht="32.25" customHeight="1" x14ac:dyDescent="0.3">
      <c r="A4" s="15" t="s">
        <v>34</v>
      </c>
      <c r="B4" s="68" t="s">
        <v>66</v>
      </c>
      <c r="C4" s="42" t="s">
        <v>74</v>
      </c>
      <c r="D4" s="42" t="s">
        <v>71</v>
      </c>
      <c r="E4" s="42" t="s">
        <v>74</v>
      </c>
      <c r="F4" s="42" t="s">
        <v>73</v>
      </c>
      <c r="G4" s="43" t="s">
        <v>72</v>
      </c>
      <c r="I4" s="78">
        <f ca="1"/>
        <v>45937</v>
      </c>
      <c r="J4" s="1">
        <f ca="1"/>
        <v>80.77</v>
      </c>
      <c r="K4" s="54">
        <f ca="1"/>
        <v>45937</v>
      </c>
      <c r="L4" s="1">
        <f ca="1"/>
        <v>99.65625</v>
      </c>
      <c r="M4" s="54">
        <f ca="1"/>
        <v>45937</v>
      </c>
      <c r="N4" s="1">
        <f ca="1"/>
        <v>111.4</v>
      </c>
      <c r="O4" s="78">
        <f ca="1"/>
        <v>45937</v>
      </c>
      <c r="P4" s="55">
        <f ca="1"/>
        <v>99.65625</v>
      </c>
      <c r="Q4" s="78">
        <f ca="1"/>
        <v>45937</v>
      </c>
      <c r="R4" s="55">
        <f ca="1"/>
        <v>101.0078125</v>
      </c>
      <c r="S4" s="54">
        <f ca="1"/>
        <v>45937</v>
      </c>
      <c r="T4" s="55">
        <f ca="1"/>
        <v>100.40625</v>
      </c>
    </row>
    <row r="5" spans="1:20" x14ac:dyDescent="0.3">
      <c r="A5" s="15" t="s">
        <v>8</v>
      </c>
      <c r="B5" s="69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78">
        <f ca="1"/>
        <v>45938</v>
      </c>
      <c r="J5" s="1">
        <f ca="1"/>
        <v>80.650000000000006</v>
      </c>
      <c r="K5" s="54">
        <f ca="1"/>
        <v>45938</v>
      </c>
      <c r="L5" s="1">
        <f ca="1"/>
        <v>99.6015625</v>
      </c>
      <c r="M5" s="54">
        <f ca="1"/>
        <v>45938</v>
      </c>
      <c r="N5" s="1">
        <f ca="1"/>
        <v>111.26</v>
      </c>
      <c r="O5" s="78">
        <f ca="1"/>
        <v>45938</v>
      </c>
      <c r="P5" s="55">
        <f ca="1"/>
        <v>99.6015625</v>
      </c>
      <c r="Q5" s="78">
        <f ca="1"/>
        <v>45938</v>
      </c>
      <c r="R5" s="55">
        <f ca="1"/>
        <v>101.046875</v>
      </c>
      <c r="S5" s="54">
        <f ca="1"/>
        <v>45938</v>
      </c>
      <c r="T5" s="55">
        <f ca="1"/>
        <v>100.6484375</v>
      </c>
    </row>
    <row r="6" spans="1:20" x14ac:dyDescent="0.3">
      <c r="A6" s="15" t="s">
        <v>10</v>
      </c>
      <c r="B6" s="71">
        <v>0</v>
      </c>
      <c r="C6" s="77">
        <f>(3+5/8)*0.01</f>
        <v>3.6249999999999998E-2</v>
      </c>
      <c r="D6" s="77">
        <v>0</v>
      </c>
      <c r="E6" s="77">
        <f>(3+5/8)*0.01</f>
        <v>3.6249999999999998E-2</v>
      </c>
      <c r="F6" s="77">
        <v>4.2500000000000003E-2</v>
      </c>
      <c r="G6" s="10">
        <v>4.7500000000000001E-2</v>
      </c>
      <c r="I6" s="78">
        <f ca="1"/>
        <v>45939</v>
      </c>
      <c r="J6" s="1">
        <f ca="1"/>
        <v>80.45</v>
      </c>
      <c r="K6" s="54">
        <f ca="1"/>
        <v>45939</v>
      </c>
      <c r="L6" s="1">
        <f ca="1"/>
        <v>99.5390625</v>
      </c>
      <c r="M6" s="54">
        <f ca="1"/>
        <v>45939</v>
      </c>
      <c r="N6" s="1">
        <f ca="1"/>
        <v>111.125</v>
      </c>
      <c r="O6" s="78">
        <f ca="1"/>
        <v>45939</v>
      </c>
      <c r="P6" s="55">
        <f ca="1"/>
        <v>99.5390625</v>
      </c>
      <c r="Q6" s="78">
        <f ca="1"/>
        <v>45939</v>
      </c>
      <c r="R6" s="55">
        <f ca="1"/>
        <v>100.9296875</v>
      </c>
      <c r="S6" s="54">
        <f ca="1"/>
        <v>45939</v>
      </c>
      <c r="T6" s="55">
        <f ca="1"/>
        <v>100.4609375</v>
      </c>
    </row>
    <row r="7" spans="1:20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</row>
    <row r="8" spans="1:20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97" t="s">
        <v>81</v>
      </c>
      <c r="J8" s="89" t="s">
        <v>65</v>
      </c>
      <c r="K8" s="90" t="s">
        <v>68</v>
      </c>
      <c r="L8" s="1"/>
      <c r="M8" s="98" t="s">
        <v>80</v>
      </c>
      <c r="N8" s="76" t="s">
        <v>65</v>
      </c>
      <c r="O8" s="94" t="s">
        <v>68</v>
      </c>
      <c r="P8" s="1"/>
      <c r="Q8" s="99" t="s">
        <v>82</v>
      </c>
      <c r="R8" s="96">
        <f>J9*N9-K9*O9</f>
        <v>34276.718721329118</v>
      </c>
      <c r="S8" s="54"/>
      <c r="T8" s="1"/>
    </row>
    <row r="9" spans="1:20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91"/>
      <c r="J9" s="92">
        <f>B5/B14</f>
        <v>431220.35360068991</v>
      </c>
      <c r="K9" s="93">
        <f>D5/H14</f>
        <v>320241.96059244761</v>
      </c>
      <c r="L9" s="1"/>
      <c r="M9" s="82"/>
      <c r="N9" s="21">
        <v>0.38100000000000001</v>
      </c>
      <c r="O9" s="95">
        <v>0.40600000000000003</v>
      </c>
      <c r="P9" s="1"/>
      <c r="Q9" s="54"/>
      <c r="R9" s="1"/>
      <c r="S9" s="54"/>
      <c r="T9" s="1"/>
    </row>
    <row r="10" spans="1:20" ht="15" thickBot="1" x14ac:dyDescent="0.35">
      <c r="A10" s="16" t="s">
        <v>29</v>
      </c>
      <c r="B10" s="11" cm="1">
        <f t="array" ref="B10">_xll.BDP(B4,"px_last")</f>
        <v>80.45</v>
      </c>
      <c r="C10" s="21" cm="1">
        <f t="array" ref="C10">_xll.BDP(C4,"px_last")</f>
        <v>99.546875</v>
      </c>
      <c r="D10" s="21" cm="1">
        <f t="array" ref="D10">_xll.BDP(D4,"px_last")</f>
        <v>111.125</v>
      </c>
      <c r="E10" s="21" cm="1">
        <f t="array" ref="E10">_xll.BDP(E4,"px_last")</f>
        <v>99.546875</v>
      </c>
      <c r="F10" s="21" cm="1">
        <f t="array" ref="F10">_xll.BDP(F4,"px_last")</f>
        <v>100.9375</v>
      </c>
      <c r="G10" s="22" cm="1">
        <f t="array" ref="G10">_xll.BDP(G4,"px_last")</f>
        <v>100.46875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</row>
    <row r="11" spans="1:20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</row>
    <row r="12" spans="1:20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14"/>
      <c r="J12" s="105"/>
      <c r="K12" s="115" t="s">
        <v>0</v>
      </c>
      <c r="L12" s="116"/>
      <c r="M12" s="117"/>
      <c r="N12" s="103" t="s">
        <v>0</v>
      </c>
      <c r="O12" s="114"/>
      <c r="P12" s="105"/>
      <c r="Q12" s="112" t="s">
        <v>0</v>
      </c>
      <c r="R12" s="110"/>
      <c r="S12" s="113"/>
      <c r="T12" s="40" t="s">
        <v>16</v>
      </c>
    </row>
    <row r="13" spans="1:20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6"/>
    </row>
    <row r="14" spans="1:20" x14ac:dyDescent="0.3">
      <c r="A14" s="37">
        <v>45915</v>
      </c>
      <c r="B14" s="46">
        <v>81.165000000000006</v>
      </c>
      <c r="C14" s="47"/>
      <c r="D14" s="47"/>
      <c r="E14" s="46">
        <f>100+3/32+3/4*1/32</f>
        <v>100.1171875</v>
      </c>
      <c r="F14" s="47"/>
      <c r="G14" s="48"/>
      <c r="H14" s="46">
        <v>112.41500000000001</v>
      </c>
      <c r="I14" s="47"/>
      <c r="J14" s="48"/>
      <c r="K14" s="46">
        <f>100+3/32+3/4*1/32</f>
        <v>100.1171875</v>
      </c>
      <c r="L14" s="47"/>
      <c r="M14" s="48"/>
      <c r="N14" s="46">
        <f>101+24/32+3/4*1/32</f>
        <v>101.7734375</v>
      </c>
      <c r="O14" s="47"/>
      <c r="P14" s="48"/>
      <c r="Q14" s="46">
        <f>101+20/32+3/4*1/32</f>
        <v>101.6484375</v>
      </c>
      <c r="R14" s="47"/>
      <c r="S14" s="48"/>
      <c r="T14" s="15"/>
    </row>
    <row r="15" spans="1:20" x14ac:dyDescent="0.3">
      <c r="A15" s="37">
        <v>45916</v>
      </c>
      <c r="B15" s="46">
        <v>81.13</v>
      </c>
      <c r="C15" s="47">
        <f>(B15/$B$14-1)*$B$5</f>
        <v>-15092.712376026941</v>
      </c>
      <c r="D15" s="47">
        <f>-1*(A15-$A$14)/360*$B$7*$B$5</f>
        <v>-4112.5</v>
      </c>
      <c r="E15" s="46">
        <v>100.17578125</v>
      </c>
      <c r="F15" s="47">
        <f>(E15-$E$14)/100*$C$5</f>
        <v>11425.78125</v>
      </c>
      <c r="G15" s="48">
        <f>(A15-$A$14)/360*$C$6*$C$5-(A15-$A$14)/360*$C$7*$C$5*$E$14/100</f>
        <v>-330.39339192708326</v>
      </c>
      <c r="H15" s="46">
        <v>112.26</v>
      </c>
      <c r="I15" s="47">
        <f>(H15/$H$14-1)*$D$5</f>
        <v>-49637.503891829307</v>
      </c>
      <c r="J15" s="48">
        <f>-1*(A15-$A$14)/360*$D$7*$D$5</f>
        <v>-4230</v>
      </c>
      <c r="K15" s="46">
        <v>100.17578125</v>
      </c>
      <c r="L15" s="47">
        <f>(K15-$K$14)/100*$E$5</f>
        <v>9960.9375</v>
      </c>
      <c r="M15" s="48">
        <f>(A15-$A$14)/360*$E$6*$E$5-(A15-$A$14)/360*$E$7*$E$5*$N$14/100</f>
        <v>-321.11885850694443</v>
      </c>
      <c r="N15" s="46">
        <v>101.7890625</v>
      </c>
      <c r="O15" s="47">
        <f>(N15-$N$14)/100*$F$5</f>
        <v>1171.875</v>
      </c>
      <c r="P15" s="48">
        <f>(A15-$A$14)/360*$F$6*$F$5-(A15-$A$14)/360*$F$7*$F$5*$N$14/100</f>
        <v>-11.461751302083258</v>
      </c>
      <c r="Q15" s="46">
        <v>101.6171875</v>
      </c>
      <c r="R15" s="47">
        <f>(Q15-$Q$14)/100*$G$5</f>
        <v>-3281.25</v>
      </c>
      <c r="S15" s="48">
        <f>(A15-$A$14)/360*$G$6*$G$5-(A15-$A$14)/360*$G$7*$G$5*$Q$14/100</f>
        <v>131.32906901041679</v>
      </c>
      <c r="T15" s="85">
        <f>C15+D15-F15-G15-I15-J15+L15+M15+O15+P15+R15+S15</f>
        <v>31217.214616930833</v>
      </c>
    </row>
    <row r="16" spans="1:20" x14ac:dyDescent="0.3">
      <c r="A16" s="37">
        <v>45917</v>
      </c>
      <c r="B16" s="46">
        <v>81.05</v>
      </c>
      <c r="C16" s="47">
        <f t="shared" ref="C16:C31" si="0">(B16/$B$14-1)*$B$5</f>
        <v>-49590.340664082411</v>
      </c>
      <c r="D16" s="47">
        <f t="shared" ref="D16:D31" si="1">-1*(A16-$A$14)/360*$B$7*$B$5</f>
        <v>-8225</v>
      </c>
      <c r="E16" s="46">
        <v>99.86328125</v>
      </c>
      <c r="F16" s="47">
        <f t="shared" ref="F16:F31" si="2">(E16-$E$14)/100*$C$5</f>
        <v>-49511.71875</v>
      </c>
      <c r="G16" s="48">
        <f t="shared" ref="G16:G31" si="3">(A16-$A$14)/360*$C$6*$C$5-(A16-$A$14)/360*$C$7*$C$5*$E$14/100</f>
        <v>-660.78678385416652</v>
      </c>
      <c r="H16" s="46">
        <v>112.06</v>
      </c>
      <c r="I16" s="47">
        <f t="shared" ref="I16:I31" si="4">(H16/$H$14-1)*$D$5</f>
        <v>-113685.8960103213</v>
      </c>
      <c r="J16" s="48">
        <f t="shared" ref="J16:J31" si="5">-1*(A16-$A$14)/360*$D$7*$D$5</f>
        <v>-8460</v>
      </c>
      <c r="K16" s="46">
        <v>99.86328125</v>
      </c>
      <c r="L16" s="47">
        <f t="shared" ref="L16:L31" si="6">(K16-$K$14)/100*$E$5</f>
        <v>-43164.0625</v>
      </c>
      <c r="M16" s="48">
        <f t="shared" ref="M16:M31" si="7">(A16-$A$14)/360*$E$6*$E$5-(A16-$A$14)/360*$E$7*$E$5*$N$14/100</f>
        <v>-642.23771701388887</v>
      </c>
      <c r="N16" s="46">
        <v>101.296875</v>
      </c>
      <c r="O16" s="47">
        <f t="shared" ref="O16:O31" si="8">(N16-$N$14)/100*$F$5</f>
        <v>-35742.1875</v>
      </c>
      <c r="P16" s="48">
        <f t="shared" ref="P16:P31" si="9">(A16-$A$14)/360*$F$6*$F$5-(A16-$A$14)/360*$F$7*$F$5*$N$14/100</f>
        <v>-22.923502604166515</v>
      </c>
      <c r="Q16" s="46">
        <v>100.9296875</v>
      </c>
      <c r="R16" s="47">
        <f t="shared" ref="R16:R31" si="10">(Q16-$Q$14)/100*$G$5</f>
        <v>-75468.75</v>
      </c>
      <c r="S16" s="48">
        <f t="shared" ref="S16:S31" si="11">(A16-$A$14)/360*$G$6*$G$5-(A16-$A$14)/360*$G$7*$G$5*$Q$14/100</f>
        <v>262.65813802083358</v>
      </c>
      <c r="T16" s="85">
        <f t="shared" ref="T16:T25" si="12">C16+D16-F16-G16-I16-J16+L16+M16+O16+P16+R16+S16</f>
        <v>-40274.442201504164</v>
      </c>
    </row>
    <row r="17" spans="1:20" x14ac:dyDescent="0.3">
      <c r="A17" s="37">
        <v>45918</v>
      </c>
      <c r="B17" s="46">
        <v>81.23</v>
      </c>
      <c r="C17" s="47">
        <f t="shared" si="0"/>
        <v>28029.322984043371</v>
      </c>
      <c r="D17" s="47">
        <f t="shared" si="1"/>
        <v>-12337.499999999998</v>
      </c>
      <c r="E17" s="46">
        <v>99.82421875</v>
      </c>
      <c r="F17" s="47">
        <f t="shared" si="2"/>
        <v>-57128.90625</v>
      </c>
      <c r="G17" s="48">
        <f t="shared" si="3"/>
        <v>-991.18017578125</v>
      </c>
      <c r="H17" s="46">
        <v>111.83</v>
      </c>
      <c r="I17" s="47">
        <f t="shared" si="4"/>
        <v>-187341.54694658311</v>
      </c>
      <c r="J17" s="48">
        <f t="shared" si="5"/>
        <v>-12689.999999999998</v>
      </c>
      <c r="K17" s="46">
        <v>99.82421875</v>
      </c>
      <c r="L17" s="47">
        <f t="shared" si="6"/>
        <v>-49804.6875</v>
      </c>
      <c r="M17" s="48">
        <f t="shared" si="7"/>
        <v>-963.35657552083285</v>
      </c>
      <c r="N17" s="46">
        <v>101.15625</v>
      </c>
      <c r="O17" s="47">
        <f t="shared" si="8"/>
        <v>-46289.0625</v>
      </c>
      <c r="P17" s="48">
        <f t="shared" si="9"/>
        <v>-34.385253906249545</v>
      </c>
      <c r="Q17" s="46">
        <v>100.390625</v>
      </c>
      <c r="R17" s="47">
        <f t="shared" si="10"/>
        <v>-132070.3125</v>
      </c>
      <c r="S17" s="48">
        <f t="shared" si="11"/>
        <v>393.98720703125036</v>
      </c>
      <c r="T17" s="85">
        <f t="shared" si="12"/>
        <v>45075.639234011898</v>
      </c>
    </row>
    <row r="18" spans="1:20" x14ac:dyDescent="0.3">
      <c r="A18" s="37">
        <v>45919</v>
      </c>
      <c r="B18" s="46">
        <v>81.260000000000005</v>
      </c>
      <c r="C18" s="47">
        <f t="shared" si="0"/>
        <v>40965.933592067573</v>
      </c>
      <c r="D18" s="47">
        <f t="shared" si="1"/>
        <v>-16450</v>
      </c>
      <c r="E18" s="46">
        <v>99.7578125</v>
      </c>
      <c r="F18" s="47">
        <f t="shared" si="2"/>
        <v>-70078.125</v>
      </c>
      <c r="G18" s="48">
        <f t="shared" si="3"/>
        <v>-1321.573567708333</v>
      </c>
      <c r="H18" s="46">
        <v>111.74</v>
      </c>
      <c r="I18" s="47">
        <f t="shared" si="4"/>
        <v>-216163.3233999045</v>
      </c>
      <c r="J18" s="48">
        <f t="shared" si="5"/>
        <v>-16920</v>
      </c>
      <c r="K18" s="46">
        <v>99.7578125</v>
      </c>
      <c r="L18" s="47">
        <f t="shared" si="6"/>
        <v>-61093.75</v>
      </c>
      <c r="M18" s="48">
        <f t="shared" si="7"/>
        <v>-1284.4754340277777</v>
      </c>
      <c r="N18" s="46">
        <v>100.9765625</v>
      </c>
      <c r="O18" s="47">
        <f t="shared" si="8"/>
        <v>-59765.625</v>
      </c>
      <c r="P18" s="48">
        <f t="shared" si="9"/>
        <v>-45.84700520833303</v>
      </c>
      <c r="Q18" s="46">
        <v>100.078125</v>
      </c>
      <c r="R18" s="47">
        <f t="shared" si="10"/>
        <v>-164882.81249999997</v>
      </c>
      <c r="S18" s="48">
        <f t="shared" si="11"/>
        <v>525.31627604166715</v>
      </c>
      <c r="T18" s="85">
        <f t="shared" si="12"/>
        <v>42451.761896485979</v>
      </c>
    </row>
    <row r="19" spans="1:20" x14ac:dyDescent="0.3">
      <c r="A19" s="37">
        <v>45922</v>
      </c>
      <c r="B19" s="46">
        <v>81.319999999999993</v>
      </c>
      <c r="C19" s="47">
        <f t="shared" si="0"/>
        <v>66839.154808100429</v>
      </c>
      <c r="D19" s="47">
        <f t="shared" si="1"/>
        <v>-28787.5</v>
      </c>
      <c r="E19" s="46">
        <v>99.65234375</v>
      </c>
      <c r="F19" s="47">
        <f t="shared" si="2"/>
        <v>-90644.53125</v>
      </c>
      <c r="G19" s="48">
        <f t="shared" si="3"/>
        <v>-2312.7537434895839</v>
      </c>
      <c r="H19" s="46">
        <v>111.49</v>
      </c>
      <c r="I19" s="47">
        <f t="shared" si="4"/>
        <v>-296223.81354801951</v>
      </c>
      <c r="J19" s="48">
        <f t="shared" si="5"/>
        <v>-29610</v>
      </c>
      <c r="K19" s="46">
        <v>99.65234375</v>
      </c>
      <c r="L19" s="47">
        <f t="shared" si="6"/>
        <v>-79023.4375</v>
      </c>
      <c r="M19" s="48">
        <f t="shared" si="7"/>
        <v>-2247.8320095486106</v>
      </c>
      <c r="N19" s="46">
        <v>100.8203125</v>
      </c>
      <c r="O19" s="47">
        <f t="shared" si="8"/>
        <v>-71484.375</v>
      </c>
      <c r="P19" s="48">
        <f t="shared" si="9"/>
        <v>-80.23225911458303</v>
      </c>
      <c r="Q19" s="46">
        <v>99.78125</v>
      </c>
      <c r="R19" s="47">
        <f t="shared" si="10"/>
        <v>-196054.6875</v>
      </c>
      <c r="S19" s="48">
        <f t="shared" si="11"/>
        <v>919.30348307291752</v>
      </c>
      <c r="T19" s="85">
        <f t="shared" si="12"/>
        <v>108871.49256401924</v>
      </c>
    </row>
    <row r="20" spans="1:20" x14ac:dyDescent="0.3">
      <c r="A20" s="37">
        <v>45923</v>
      </c>
      <c r="B20" s="46">
        <v>81.260000000000005</v>
      </c>
      <c r="C20" s="47">
        <f t="shared" si="0"/>
        <v>40965.933592067573</v>
      </c>
      <c r="D20" s="47">
        <f t="shared" si="1"/>
        <v>-32900</v>
      </c>
      <c r="E20" s="46">
        <v>99.80078125</v>
      </c>
      <c r="F20" s="47">
        <f t="shared" si="2"/>
        <v>-61699.218750000007</v>
      </c>
      <c r="G20" s="48">
        <f t="shared" si="3"/>
        <v>-2643.1471354166661</v>
      </c>
      <c r="H20" s="46">
        <v>111.71</v>
      </c>
      <c r="I20" s="47">
        <f t="shared" si="4"/>
        <v>-225770.58221767831</v>
      </c>
      <c r="J20" s="48">
        <f t="shared" si="5"/>
        <v>-33840</v>
      </c>
      <c r="K20" s="46">
        <v>99.80078125</v>
      </c>
      <c r="L20" s="47">
        <f t="shared" si="6"/>
        <v>-53789.0625</v>
      </c>
      <c r="M20" s="48">
        <f t="shared" si="7"/>
        <v>-2568.9508680555555</v>
      </c>
      <c r="N20" s="46">
        <v>101.1484375</v>
      </c>
      <c r="O20" s="47">
        <f t="shared" si="8"/>
        <v>-46875</v>
      </c>
      <c r="P20" s="48">
        <f t="shared" si="9"/>
        <v>-91.69401041666606</v>
      </c>
      <c r="Q20" s="46">
        <v>100.4765625</v>
      </c>
      <c r="R20" s="47">
        <f t="shared" si="10"/>
        <v>-123046.875</v>
      </c>
      <c r="S20" s="48">
        <f t="shared" si="11"/>
        <v>1050.6325520833343</v>
      </c>
      <c r="T20" s="85">
        <f t="shared" si="12"/>
        <v>106697.93186877367</v>
      </c>
    </row>
    <row r="21" spans="1:20" x14ac:dyDescent="0.3">
      <c r="A21" s="37">
        <v>45924</v>
      </c>
      <c r="B21" s="46">
        <v>81.150000000000006</v>
      </c>
      <c r="C21" s="47">
        <f t="shared" si="0"/>
        <v>-6468.3053040121004</v>
      </c>
      <c r="D21" s="47">
        <f t="shared" si="1"/>
        <v>-37012.5</v>
      </c>
      <c r="E21" s="46">
        <v>99.58203125</v>
      </c>
      <c r="F21" s="47">
        <f t="shared" si="2"/>
        <v>-104355.46875000001</v>
      </c>
      <c r="G21" s="48">
        <f t="shared" si="3"/>
        <v>-2973.54052734375</v>
      </c>
      <c r="H21" s="46">
        <v>111.26</v>
      </c>
      <c r="I21" s="47">
        <f t="shared" si="4"/>
        <v>-369879.46448427736</v>
      </c>
      <c r="J21" s="48">
        <f t="shared" si="5"/>
        <v>-38070</v>
      </c>
      <c r="K21" s="46">
        <v>99.58203125</v>
      </c>
      <c r="L21" s="47">
        <f t="shared" si="6"/>
        <v>-90976.5625</v>
      </c>
      <c r="M21" s="48">
        <f t="shared" si="7"/>
        <v>-2890.0697265625004</v>
      </c>
      <c r="N21" s="46">
        <v>100.8203125</v>
      </c>
      <c r="O21" s="47">
        <f t="shared" si="8"/>
        <v>-71484.375</v>
      </c>
      <c r="P21" s="48">
        <f t="shared" si="9"/>
        <v>-103.15576171875</v>
      </c>
      <c r="Q21" s="46">
        <v>99.9765625</v>
      </c>
      <c r="R21" s="47">
        <f t="shared" si="10"/>
        <v>-175546.875</v>
      </c>
      <c r="S21" s="48">
        <f t="shared" si="11"/>
        <v>1181.9616210937511</v>
      </c>
      <c r="T21" s="85">
        <f t="shared" si="12"/>
        <v>131978.59209042153</v>
      </c>
    </row>
    <row r="22" spans="1:20" x14ac:dyDescent="0.3">
      <c r="A22" s="37">
        <v>45925</v>
      </c>
      <c r="B22" s="46">
        <v>80.92</v>
      </c>
      <c r="C22" s="47">
        <f t="shared" si="0"/>
        <v>-105648.98663216915</v>
      </c>
      <c r="D22" s="47">
        <f t="shared" si="1"/>
        <v>-41124.999999999993</v>
      </c>
      <c r="E22" s="46">
        <v>99.40234375</v>
      </c>
      <c r="F22" s="47">
        <f t="shared" si="2"/>
        <v>-139394.53125</v>
      </c>
      <c r="G22" s="48">
        <f t="shared" si="3"/>
        <v>-3303.9339192708285</v>
      </c>
      <c r="H22" s="46">
        <v>111.06</v>
      </c>
      <c r="I22" s="47">
        <f t="shared" si="4"/>
        <v>-433927.85660276935</v>
      </c>
      <c r="J22" s="48">
        <f t="shared" si="5"/>
        <v>-42299.999999999993</v>
      </c>
      <c r="K22" s="46">
        <v>99.40234375</v>
      </c>
      <c r="L22" s="47">
        <f t="shared" si="6"/>
        <v>-121523.4375</v>
      </c>
      <c r="M22" s="48">
        <f t="shared" si="7"/>
        <v>-3211.1885850694416</v>
      </c>
      <c r="N22" s="46">
        <v>100.6328125</v>
      </c>
      <c r="O22" s="47">
        <f t="shared" si="8"/>
        <v>-85546.875</v>
      </c>
      <c r="P22" s="48">
        <f t="shared" si="9"/>
        <v>-114.61751302083212</v>
      </c>
      <c r="Q22" s="46">
        <v>100.0234375</v>
      </c>
      <c r="R22" s="47">
        <f t="shared" si="10"/>
        <v>-170625</v>
      </c>
      <c r="S22" s="48">
        <f t="shared" si="11"/>
        <v>1313.2906901041697</v>
      </c>
      <c r="T22" s="85">
        <f t="shared" si="12"/>
        <v>92444.507231884942</v>
      </c>
    </row>
    <row r="23" spans="1:20" x14ac:dyDescent="0.3">
      <c r="A23" s="37">
        <v>45926</v>
      </c>
      <c r="B23" s="46">
        <v>81.08</v>
      </c>
      <c r="C23" s="47">
        <f t="shared" si="0"/>
        <v>-36653.730056062093</v>
      </c>
      <c r="D23" s="47">
        <f t="shared" si="1"/>
        <v>-45237.499999999993</v>
      </c>
      <c r="E23" s="46">
        <v>99.37890625</v>
      </c>
      <c r="F23" s="47">
        <f t="shared" si="2"/>
        <v>-143964.84375</v>
      </c>
      <c r="G23" s="48">
        <f t="shared" si="3"/>
        <v>-3634.3273111979179</v>
      </c>
      <c r="H23" s="46">
        <v>111.21</v>
      </c>
      <c r="I23" s="47">
        <f t="shared" si="4"/>
        <v>-385891.56251390436</v>
      </c>
      <c r="J23" s="48">
        <f t="shared" si="5"/>
        <v>-46529.999999999993</v>
      </c>
      <c r="K23" s="46">
        <v>99.37890625</v>
      </c>
      <c r="L23" s="47">
        <f t="shared" si="6"/>
        <v>-125507.8125</v>
      </c>
      <c r="M23" s="48">
        <f t="shared" si="7"/>
        <v>-3532.3074435763847</v>
      </c>
      <c r="N23" s="46">
        <v>100.5859375</v>
      </c>
      <c r="O23" s="47">
        <f t="shared" si="8"/>
        <v>-89062.5</v>
      </c>
      <c r="P23" s="48">
        <f t="shared" si="9"/>
        <v>-126.07926432291606</v>
      </c>
      <c r="Q23" s="46">
        <v>100</v>
      </c>
      <c r="R23" s="47">
        <f t="shared" si="10"/>
        <v>-173085.9375</v>
      </c>
      <c r="S23" s="48">
        <f t="shared" si="11"/>
        <v>1444.6197591145847</v>
      </c>
      <c r="T23" s="85">
        <f t="shared" si="12"/>
        <v>108259.48657025544</v>
      </c>
    </row>
    <row r="24" spans="1:20" x14ac:dyDescent="0.3">
      <c r="A24" s="37">
        <v>45929</v>
      </c>
      <c r="B24" s="46">
        <v>81.22</v>
      </c>
      <c r="C24" s="47">
        <f t="shared" si="0"/>
        <v>23717.119448037894</v>
      </c>
      <c r="D24" s="47">
        <f t="shared" si="1"/>
        <v>-57575</v>
      </c>
      <c r="E24" s="46">
        <v>99.5078125</v>
      </c>
      <c r="F24" s="47">
        <f t="shared" si="2"/>
        <v>-118828.125</v>
      </c>
      <c r="G24" s="48">
        <f t="shared" si="3"/>
        <v>-4625.5074869791679</v>
      </c>
      <c r="H24" s="46">
        <v>111.58</v>
      </c>
      <c r="I24" s="47">
        <f t="shared" si="4"/>
        <v>-267402.03709469811</v>
      </c>
      <c r="J24" s="48">
        <f t="shared" si="5"/>
        <v>-59220</v>
      </c>
      <c r="K24" s="46">
        <v>99.5078125</v>
      </c>
      <c r="L24" s="47">
        <f t="shared" si="6"/>
        <v>-103593.75</v>
      </c>
      <c r="M24" s="48">
        <f t="shared" si="7"/>
        <v>-4495.6640190972212</v>
      </c>
      <c r="N24" s="46">
        <v>100.8828125</v>
      </c>
      <c r="O24" s="47">
        <f t="shared" si="8"/>
        <v>-66796.875</v>
      </c>
      <c r="P24" s="48">
        <f t="shared" si="9"/>
        <v>-160.46451822916606</v>
      </c>
      <c r="Q24" s="46">
        <v>100.71875</v>
      </c>
      <c r="R24" s="47">
        <f t="shared" si="10"/>
        <v>-97617.1875</v>
      </c>
      <c r="S24" s="48">
        <f t="shared" si="11"/>
        <v>1838.606966145835</v>
      </c>
      <c r="T24" s="85">
        <f t="shared" si="12"/>
        <v>145392.45495853462</v>
      </c>
    </row>
    <row r="25" spans="1:20" x14ac:dyDescent="0.3">
      <c r="A25" s="37">
        <v>45930</v>
      </c>
      <c r="B25" s="46">
        <v>81.19</v>
      </c>
      <c r="C25" s="47">
        <f t="shared" si="0"/>
        <v>10780.508840013692</v>
      </c>
      <c r="D25" s="47">
        <f t="shared" si="1"/>
        <v>-61687.499999999993</v>
      </c>
      <c r="E25" s="46">
        <v>99.48046875</v>
      </c>
      <c r="F25" s="47">
        <f t="shared" si="2"/>
        <v>-124160.15624999999</v>
      </c>
      <c r="G25" s="48">
        <f t="shared" si="3"/>
        <v>-4955.9008789062464</v>
      </c>
      <c r="H25" s="46">
        <v>111.47</v>
      </c>
      <c r="I25" s="47">
        <f t="shared" si="4"/>
        <v>-302628.65275986475</v>
      </c>
      <c r="J25" s="48">
        <f t="shared" si="5"/>
        <v>-63449.999999999993</v>
      </c>
      <c r="K25" s="46">
        <v>99.48046875</v>
      </c>
      <c r="L25" s="47">
        <f t="shared" si="6"/>
        <v>-108242.1875</v>
      </c>
      <c r="M25" s="48">
        <f t="shared" si="7"/>
        <v>-4816.7828776041679</v>
      </c>
      <c r="N25" s="46">
        <v>100.7890625</v>
      </c>
      <c r="O25" s="47">
        <f t="shared" si="8"/>
        <v>-73828.125</v>
      </c>
      <c r="P25" s="48">
        <f t="shared" si="9"/>
        <v>-171.92626953124636</v>
      </c>
      <c r="Q25" s="46">
        <v>100.28125</v>
      </c>
      <c r="R25" s="47">
        <f t="shared" si="10"/>
        <v>-143554.6875</v>
      </c>
      <c r="S25" s="48">
        <f t="shared" si="11"/>
        <v>1969.93603515625</v>
      </c>
      <c r="T25" s="85">
        <f t="shared" si="12"/>
        <v>115643.94561680552</v>
      </c>
    </row>
    <row r="26" spans="1:20" x14ac:dyDescent="0.3">
      <c r="A26" s="37">
        <v>45931</v>
      </c>
      <c r="B26" s="46">
        <v>80.959999999999994</v>
      </c>
      <c r="C26" s="47">
        <f t="shared" si="0"/>
        <v>-88400.172488147247</v>
      </c>
      <c r="D26" s="47">
        <f t="shared" si="1"/>
        <v>-65800</v>
      </c>
      <c r="E26" s="46">
        <v>99.78515625</v>
      </c>
      <c r="F26" s="47">
        <f t="shared" si="2"/>
        <v>-64746.09375</v>
      </c>
      <c r="G26" s="48">
        <f t="shared" si="3"/>
        <v>-5286.2942708333321</v>
      </c>
      <c r="H26" s="46">
        <v>111.51</v>
      </c>
      <c r="I26" s="47">
        <f t="shared" si="4"/>
        <v>-289818.97433616634</v>
      </c>
      <c r="J26" s="48">
        <f t="shared" si="5"/>
        <v>-67680</v>
      </c>
      <c r="K26" s="46">
        <v>99.78515625</v>
      </c>
      <c r="L26" s="47">
        <f t="shared" si="6"/>
        <v>-56445.3125</v>
      </c>
      <c r="M26" s="48">
        <f t="shared" si="7"/>
        <v>-5137.9017361111109</v>
      </c>
      <c r="N26" s="46">
        <v>101.2109375</v>
      </c>
      <c r="O26" s="47">
        <f t="shared" si="8"/>
        <v>-42187.5</v>
      </c>
      <c r="P26" s="48">
        <f t="shared" si="9"/>
        <v>-183.38802083333212</v>
      </c>
      <c r="Q26" s="46">
        <v>100.6328125</v>
      </c>
      <c r="R26" s="47">
        <f t="shared" si="10"/>
        <v>-106640.625</v>
      </c>
      <c r="S26" s="48">
        <f t="shared" si="11"/>
        <v>2101.2651041666686</v>
      </c>
      <c r="T26" s="85">
        <f>C26+D26-F26-G26-I26-J26+L26+M26+O26+P26+R26+S26+$R$8</f>
        <v>99114.446437403763</v>
      </c>
    </row>
    <row r="27" spans="1:20" x14ac:dyDescent="0.3">
      <c r="A27" s="37">
        <v>45932</v>
      </c>
      <c r="B27" s="57">
        <v>80.930000000000007</v>
      </c>
      <c r="C27" s="47">
        <f t="shared" si="0"/>
        <v>-101336.78309616368</v>
      </c>
      <c r="D27" s="47">
        <f t="shared" si="1"/>
        <v>-69912.499999999985</v>
      </c>
      <c r="E27" s="46">
        <v>99.79296875</v>
      </c>
      <c r="F27" s="47">
        <f t="shared" si="2"/>
        <v>-63222.65625</v>
      </c>
      <c r="G27" s="48">
        <f t="shared" si="3"/>
        <v>-5616.6876627604142</v>
      </c>
      <c r="H27" s="46">
        <v>111.69</v>
      </c>
      <c r="I27" s="47">
        <f t="shared" si="4"/>
        <v>-232175.42142952752</v>
      </c>
      <c r="J27" s="48">
        <f t="shared" si="5"/>
        <v>-71909.999999999985</v>
      </c>
      <c r="K27" s="46">
        <v>99.79296875</v>
      </c>
      <c r="L27" s="47">
        <f t="shared" si="6"/>
        <v>-55117.1875</v>
      </c>
      <c r="M27" s="48">
        <f t="shared" si="7"/>
        <v>-5459.0205946180467</v>
      </c>
      <c r="N27" s="46">
        <v>101.3359375</v>
      </c>
      <c r="O27" s="47">
        <f t="shared" si="8"/>
        <v>-32812.5</v>
      </c>
      <c r="P27" s="48">
        <f t="shared" si="9"/>
        <v>-194.84977213541424</v>
      </c>
      <c r="Q27" s="46">
        <v>100.96875</v>
      </c>
      <c r="R27" s="47">
        <f t="shared" si="10"/>
        <v>-71367.1875</v>
      </c>
      <c r="S27" s="48">
        <f t="shared" si="11"/>
        <v>2232.5941731770872</v>
      </c>
      <c r="T27" s="85">
        <f t="shared" ref="T27:T31" si="13">C27+D27-F27-G27-I27-J27+L27+M27+O27+P27+R27+S27+$R$8</f>
        <v>73234.049773876992</v>
      </c>
    </row>
    <row r="28" spans="1:20" x14ac:dyDescent="0.3">
      <c r="A28" s="37">
        <v>45933</v>
      </c>
      <c r="B28" s="46">
        <v>80.84</v>
      </c>
      <c r="C28" s="47">
        <f t="shared" si="0"/>
        <v>-140146.61492022462</v>
      </c>
      <c r="D28" s="47">
        <f t="shared" si="1"/>
        <v>-74025</v>
      </c>
      <c r="E28" s="46">
        <v>99.58984375</v>
      </c>
      <c r="F28" s="47">
        <f t="shared" si="2"/>
        <v>-102832.03125</v>
      </c>
      <c r="G28" s="48">
        <f t="shared" si="3"/>
        <v>-5947.0810546875</v>
      </c>
      <c r="H28" s="46">
        <v>111.55</v>
      </c>
      <c r="I28" s="47">
        <f t="shared" si="4"/>
        <v>-277009.29591247195</v>
      </c>
      <c r="J28" s="48">
        <f t="shared" si="5"/>
        <v>-76140</v>
      </c>
      <c r="K28" s="46">
        <v>99.58984375</v>
      </c>
      <c r="L28" s="47">
        <f t="shared" si="6"/>
        <v>-89648.4375</v>
      </c>
      <c r="M28" s="48">
        <f t="shared" si="7"/>
        <v>-5780.1394531250007</v>
      </c>
      <c r="N28" s="46">
        <v>101.0390625</v>
      </c>
      <c r="O28" s="47">
        <f t="shared" si="8"/>
        <v>-55078.125</v>
      </c>
      <c r="P28" s="48">
        <f t="shared" si="9"/>
        <v>-206.3115234375</v>
      </c>
      <c r="Q28" s="46">
        <v>100.59375</v>
      </c>
      <c r="R28" s="47">
        <f t="shared" si="10"/>
        <v>-110742.18750000001</v>
      </c>
      <c r="S28" s="48">
        <f t="shared" si="11"/>
        <v>2363.9232421875022</v>
      </c>
      <c r="T28" s="85">
        <f t="shared" si="13"/>
        <v>22942.234283888927</v>
      </c>
    </row>
    <row r="29" spans="1:20" x14ac:dyDescent="0.3">
      <c r="A29" s="37">
        <v>45936</v>
      </c>
      <c r="B29" s="46">
        <v>80.86</v>
      </c>
      <c r="C29" s="47">
        <f t="shared" si="0"/>
        <v>-131522.20784821367</v>
      </c>
      <c r="D29" s="47">
        <f t="shared" si="1"/>
        <v>-86362.5</v>
      </c>
      <c r="E29" s="46">
        <v>99.5078125</v>
      </c>
      <c r="F29" s="47">
        <f t="shared" si="2"/>
        <v>-118828.125</v>
      </c>
      <c r="G29" s="48">
        <f t="shared" si="3"/>
        <v>-6938.26123046875</v>
      </c>
      <c r="H29" s="46">
        <v>111.19</v>
      </c>
      <c r="I29" s="47">
        <f t="shared" si="4"/>
        <v>-392296.40172574954</v>
      </c>
      <c r="J29" s="48">
        <f t="shared" si="5"/>
        <v>-88830</v>
      </c>
      <c r="K29" s="46">
        <v>99.5078125</v>
      </c>
      <c r="L29" s="47">
        <f t="shared" si="6"/>
        <v>-103593.75</v>
      </c>
      <c r="M29" s="48">
        <f t="shared" si="7"/>
        <v>-6743.4960286458372</v>
      </c>
      <c r="N29" s="46">
        <v>100.765625</v>
      </c>
      <c r="O29" s="47">
        <f t="shared" si="8"/>
        <v>-75585.9375</v>
      </c>
      <c r="P29" s="48">
        <f t="shared" si="9"/>
        <v>-240.69677734375</v>
      </c>
      <c r="Q29" s="46">
        <v>100.015625</v>
      </c>
      <c r="R29" s="47">
        <f t="shared" si="10"/>
        <v>-171445.3125</v>
      </c>
      <c r="S29" s="48">
        <f t="shared" si="11"/>
        <v>2757.9104492187507</v>
      </c>
      <c r="T29" s="85">
        <f t="shared" si="13"/>
        <v>68433.5164725629</v>
      </c>
    </row>
    <row r="30" spans="1:20" x14ac:dyDescent="0.3">
      <c r="A30" s="37">
        <v>45937</v>
      </c>
      <c r="B30" s="46">
        <v>80.77</v>
      </c>
      <c r="C30" s="47">
        <f t="shared" si="0"/>
        <v>-170332.03967227851</v>
      </c>
      <c r="D30" s="47">
        <f t="shared" si="1"/>
        <v>-90474.999999999985</v>
      </c>
      <c r="E30" s="46">
        <v>99.65625</v>
      </c>
      <c r="F30" s="47">
        <f t="shared" si="2"/>
        <v>-89882.8125</v>
      </c>
      <c r="G30" s="48">
        <f t="shared" si="3"/>
        <v>-7268.6546223958358</v>
      </c>
      <c r="H30" s="46">
        <v>111.4</v>
      </c>
      <c r="I30" s="47">
        <f t="shared" si="4"/>
        <v>-325045.59000133292</v>
      </c>
      <c r="J30" s="48">
        <f t="shared" si="5"/>
        <v>-93059.999999999985</v>
      </c>
      <c r="K30" s="46">
        <v>99.65625</v>
      </c>
      <c r="L30" s="47">
        <f t="shared" si="6"/>
        <v>-78359.375</v>
      </c>
      <c r="M30" s="48">
        <f t="shared" si="7"/>
        <v>-7064.6148871527694</v>
      </c>
      <c r="N30" s="46">
        <v>101.0078125</v>
      </c>
      <c r="O30" s="47">
        <f t="shared" si="8"/>
        <v>-57421.875</v>
      </c>
      <c r="P30" s="48">
        <f t="shared" si="9"/>
        <v>-252.15852864583212</v>
      </c>
      <c r="Q30" s="46">
        <v>100.40625</v>
      </c>
      <c r="R30" s="47">
        <f t="shared" si="10"/>
        <v>-130429.6875</v>
      </c>
      <c r="S30" s="48">
        <f t="shared" si="11"/>
        <v>2889.2395182291693</v>
      </c>
      <c r="T30" s="85">
        <f t="shared" si="13"/>
        <v>18088.264775209918</v>
      </c>
    </row>
    <row r="31" spans="1:20" x14ac:dyDescent="0.3">
      <c r="A31" s="37">
        <v>45938</v>
      </c>
      <c r="B31" s="46">
        <v>80.650000000000006</v>
      </c>
      <c r="C31" s="47">
        <f t="shared" si="0"/>
        <v>-222078.48210435588</v>
      </c>
      <c r="D31" s="47">
        <f t="shared" si="1"/>
        <v>-94587.499999999985</v>
      </c>
      <c r="E31" s="46">
        <v>99.6015625</v>
      </c>
      <c r="F31" s="47">
        <f t="shared" si="2"/>
        <v>-100546.875</v>
      </c>
      <c r="G31" s="48">
        <f t="shared" si="3"/>
        <v>-7599.0480143229142</v>
      </c>
      <c r="H31" s="46">
        <v>111.26</v>
      </c>
      <c r="I31" s="47">
        <f t="shared" si="4"/>
        <v>-369879.46448427736</v>
      </c>
      <c r="J31" s="48">
        <f t="shared" si="5"/>
        <v>-97289.999999999985</v>
      </c>
      <c r="K31" s="46">
        <v>99.6015625</v>
      </c>
      <c r="L31" s="47">
        <f t="shared" si="6"/>
        <v>-87656.25</v>
      </c>
      <c r="M31" s="48">
        <f t="shared" si="7"/>
        <v>-7385.7337456597161</v>
      </c>
      <c r="N31" s="46">
        <v>101.046875</v>
      </c>
      <c r="O31" s="47">
        <f t="shared" si="8"/>
        <v>-54492.1875</v>
      </c>
      <c r="P31" s="48">
        <f t="shared" si="9"/>
        <v>-263.62027994791424</v>
      </c>
      <c r="Q31" s="46">
        <v>100.6484375</v>
      </c>
      <c r="R31" s="47">
        <f t="shared" si="10"/>
        <v>-105000</v>
      </c>
      <c r="S31" s="48">
        <f t="shared" si="11"/>
        <v>3020.5685872395879</v>
      </c>
      <c r="T31" s="85">
        <f t="shared" si="13"/>
        <v>41148.901177205451</v>
      </c>
    </row>
    <row r="32" spans="1:20" x14ac:dyDescent="0.3">
      <c r="A32" s="37">
        <v>45939</v>
      </c>
      <c r="B32" s="46">
        <v>80.454999999999998</v>
      </c>
      <c r="C32" s="47">
        <f t="shared" ref="C32" si="14">(B32/$B$14-1)*$B$5</f>
        <v>-306166.45105649374</v>
      </c>
      <c r="D32" s="47">
        <f t="shared" ref="D32" si="15">-1*(A32-$A$14)/360*$B$7*$B$5</f>
        <v>-98699.999999999985</v>
      </c>
      <c r="E32" s="46">
        <v>99.4921875</v>
      </c>
      <c r="F32" s="47">
        <f t="shared" ref="F32" si="16">(E32-$E$14)/100*$C$5</f>
        <v>-121875</v>
      </c>
      <c r="G32" s="48">
        <f t="shared" ref="G32" si="17">(A32-$A$14)/360*$C$6*$C$5-(A32-$A$14)/360*$C$7*$C$5*$E$14/100</f>
        <v>-7929.44140625</v>
      </c>
      <c r="H32" s="46">
        <v>111.0587</v>
      </c>
      <c r="I32" s="47">
        <f t="shared" ref="I32" si="18">(H32/$H$14-1)*$D$5</f>
        <v>-434344.17115153989</v>
      </c>
      <c r="J32" s="48">
        <f t="shared" ref="J32" si="19">-1*(A32-$A$14)/360*$D$7*$D$5</f>
        <v>-101519.99999999999</v>
      </c>
      <c r="K32" s="46">
        <v>99.4921875</v>
      </c>
      <c r="L32" s="47">
        <f t="shared" ref="L32" si="20">(K32-$K$14)/100*$E$5</f>
        <v>-106250</v>
      </c>
      <c r="M32" s="48">
        <f t="shared" ref="M32" si="21">(A32-$A$14)/360*$E$6*$E$5-(A32-$A$14)/360*$E$7*$E$5*$N$14/100</f>
        <v>-7706.8526041666628</v>
      </c>
      <c r="N32" s="46">
        <v>100.8515625</v>
      </c>
      <c r="O32" s="47">
        <f t="shared" ref="O32" si="22">(N32-$N$14)/100*$F$5</f>
        <v>-69140.625</v>
      </c>
      <c r="P32" s="48">
        <f t="shared" ref="P32" si="23">(A32-$A$14)/360*$F$6*$F$5-(A32-$A$14)/360*$F$7*$F$5*$N$14/100</f>
        <v>-275.08203124999636</v>
      </c>
      <c r="Q32" s="46">
        <v>100.3046875</v>
      </c>
      <c r="R32" s="47">
        <f t="shared" ref="R32" si="24">(Q32-$Q$14)/100*$G$5</f>
        <v>-141093.75</v>
      </c>
      <c r="S32" s="48">
        <f t="shared" ref="S32" si="25">(A32-$A$14)/360*$G$6*$G$5-(A32-$A$14)/360*$G$7*$G$5*$Q$14/100</f>
        <v>3151.8976562500029</v>
      </c>
      <c r="T32" s="85">
        <f t="shared" ref="T32" si="26">C32+D32-F32-G32-I32-J32+L32+M32+O32+P32+R32+S32+$R$8</f>
        <v>-26235.531756541386</v>
      </c>
    </row>
    <row r="33" spans="1:20" x14ac:dyDescent="0.3">
      <c r="A33" s="37">
        <v>45940</v>
      </c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>
        <v>45941</v>
      </c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TODAY()-22</f>
        <v>45917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61" ca="1">_xll.BDH($B$4, "PX_LAST, ", B43, "")</f>
        <v>45917</v>
      </c>
      <c r="C45" s="1">
        <f ca="1"/>
        <v>81.05</v>
      </c>
      <c r="D45" s="53" cm="1">
        <f t="array" aca="1" ref="D45:E61" ca="1">_xll.BDH($C$4, "PX_LAST, ", B43, "")</f>
        <v>45917</v>
      </c>
      <c r="E45" s="47">
        <f ca="1"/>
        <v>99.86328125</v>
      </c>
      <c r="F45" s="53" cm="1">
        <f t="array" aca="1" ref="F45:G61" ca="1">_xll.BDH($D$4, "PX_LAST, ", B43, "")</f>
        <v>45917</v>
      </c>
      <c r="G45" s="1">
        <f ca="1"/>
        <v>112.06</v>
      </c>
      <c r="H45" s="53" cm="1">
        <f t="array" aca="1" ref="H45:I61" ca="1">_xll.BDH($E$4, "PX_LAST, ", B43, "")</f>
        <v>45917</v>
      </c>
      <c r="I45" s="55">
        <f ca="1"/>
        <v>99.86328125</v>
      </c>
      <c r="J45" s="53" cm="1">
        <f t="array" aca="1" ref="J45:K61" ca="1">_xll.BDH($F$4, "PX_LAST, ", B43, "")</f>
        <v>45917</v>
      </c>
      <c r="K45" s="55">
        <f ca="1"/>
        <v>101.296875</v>
      </c>
      <c r="L45" s="53" cm="1">
        <f t="array" aca="1" ref="L45:M61" ca="1">_xll.BDH($G$4, "PX_LAST, ", B43, "")</f>
        <v>45917</v>
      </c>
      <c r="M45" s="55">
        <f ca="1"/>
        <v>100.9296875</v>
      </c>
      <c r="R45" s="58"/>
      <c r="S45" s="58"/>
      <c r="T45" s="58"/>
    </row>
    <row r="46" spans="1:20" x14ac:dyDescent="0.3">
      <c r="B46" s="78">
        <f ca="1"/>
        <v>45918</v>
      </c>
      <c r="C46" s="60">
        <f ca="1"/>
        <v>81.23</v>
      </c>
      <c r="D46" s="78">
        <f ca="1"/>
        <v>45918</v>
      </c>
      <c r="E46" s="60">
        <f ca="1"/>
        <v>99.82421875</v>
      </c>
      <c r="F46" s="78">
        <f ca="1"/>
        <v>45918</v>
      </c>
      <c r="G46" s="55">
        <f ca="1"/>
        <v>111.83</v>
      </c>
      <c r="H46" s="78">
        <f ca="1"/>
        <v>45918</v>
      </c>
      <c r="I46" s="55">
        <f ca="1"/>
        <v>99.82421875</v>
      </c>
      <c r="J46" s="78">
        <f ca="1"/>
        <v>45918</v>
      </c>
      <c r="K46" s="60">
        <f ca="1"/>
        <v>101.15625</v>
      </c>
      <c r="L46" s="78">
        <f ca="1"/>
        <v>45918</v>
      </c>
      <c r="M46" s="55">
        <f ca="1"/>
        <v>100.390625</v>
      </c>
    </row>
    <row r="47" spans="1:20" x14ac:dyDescent="0.3">
      <c r="B47" s="78">
        <f ca="1"/>
        <v>45919</v>
      </c>
      <c r="C47" s="60">
        <f ca="1"/>
        <v>81.260000000000005</v>
      </c>
      <c r="D47" s="78">
        <f ca="1"/>
        <v>45919</v>
      </c>
      <c r="E47" s="60">
        <f ca="1"/>
        <v>99.7578125</v>
      </c>
      <c r="F47" s="78">
        <f ca="1"/>
        <v>45919</v>
      </c>
      <c r="G47" s="55">
        <f ca="1"/>
        <v>111.74</v>
      </c>
      <c r="H47" s="78">
        <f ca="1"/>
        <v>45919</v>
      </c>
      <c r="I47" s="55">
        <f ca="1"/>
        <v>99.7578125</v>
      </c>
      <c r="J47" s="78">
        <f ca="1"/>
        <v>45919</v>
      </c>
      <c r="K47" s="60">
        <f ca="1"/>
        <v>100.9765625</v>
      </c>
      <c r="L47" s="78">
        <f ca="1"/>
        <v>45919</v>
      </c>
      <c r="M47" s="55">
        <f ca="1"/>
        <v>100.078125</v>
      </c>
    </row>
    <row r="48" spans="1:20" x14ac:dyDescent="0.3">
      <c r="B48" s="78">
        <f ca="1"/>
        <v>45922</v>
      </c>
      <c r="C48" s="60">
        <f ca="1"/>
        <v>81.319999999999993</v>
      </c>
      <c r="D48" s="78">
        <f ca="1"/>
        <v>45922</v>
      </c>
      <c r="E48" s="60">
        <f ca="1"/>
        <v>99.65234375</v>
      </c>
      <c r="F48" s="78">
        <f ca="1"/>
        <v>45922</v>
      </c>
      <c r="G48" s="55">
        <f ca="1"/>
        <v>111.49</v>
      </c>
      <c r="H48" s="78">
        <f ca="1"/>
        <v>45922</v>
      </c>
      <c r="I48" s="55">
        <f ca="1"/>
        <v>99.65234375</v>
      </c>
      <c r="J48" s="78">
        <f ca="1"/>
        <v>45922</v>
      </c>
      <c r="K48" s="60">
        <f ca="1"/>
        <v>100.8203125</v>
      </c>
      <c r="L48" s="78">
        <f ca="1"/>
        <v>45922</v>
      </c>
      <c r="M48" s="55">
        <f ca="1"/>
        <v>99.78125</v>
      </c>
    </row>
    <row r="49" spans="2:13" x14ac:dyDescent="0.3">
      <c r="B49" s="78">
        <f ca="1"/>
        <v>45923</v>
      </c>
      <c r="C49" s="60">
        <f ca="1"/>
        <v>81.260000000000005</v>
      </c>
      <c r="D49" s="78">
        <f ca="1"/>
        <v>45923</v>
      </c>
      <c r="E49" s="60">
        <f ca="1"/>
        <v>99.80078125</v>
      </c>
      <c r="F49" s="78">
        <f ca="1"/>
        <v>45923</v>
      </c>
      <c r="G49" s="55">
        <f ca="1"/>
        <v>111.71</v>
      </c>
      <c r="H49" s="78">
        <f ca="1"/>
        <v>45923</v>
      </c>
      <c r="I49" s="55">
        <f ca="1"/>
        <v>99.80078125</v>
      </c>
      <c r="J49" s="78">
        <f ca="1"/>
        <v>45923</v>
      </c>
      <c r="K49" s="60">
        <f ca="1"/>
        <v>101.1484375</v>
      </c>
      <c r="L49" s="78">
        <f ca="1"/>
        <v>45923</v>
      </c>
      <c r="M49" s="55">
        <f ca="1"/>
        <v>100.4765625</v>
      </c>
    </row>
    <row r="50" spans="2:13" x14ac:dyDescent="0.3">
      <c r="B50" s="78">
        <f ca="1"/>
        <v>45924</v>
      </c>
      <c r="C50" s="60">
        <f ca="1"/>
        <v>81.150000000000006</v>
      </c>
      <c r="D50" s="78">
        <f ca="1"/>
        <v>45924</v>
      </c>
      <c r="E50" s="60">
        <f ca="1"/>
        <v>99.58203125</v>
      </c>
      <c r="F50" s="78">
        <f ca="1"/>
        <v>45924</v>
      </c>
      <c r="G50" s="55">
        <f ca="1"/>
        <v>111.26</v>
      </c>
      <c r="H50" s="78">
        <f ca="1"/>
        <v>45924</v>
      </c>
      <c r="I50" s="55">
        <f ca="1"/>
        <v>99.58203125</v>
      </c>
      <c r="J50" s="78">
        <f ca="1"/>
        <v>45924</v>
      </c>
      <c r="K50" s="60">
        <f ca="1"/>
        <v>100.8203125</v>
      </c>
      <c r="L50" s="78">
        <f ca="1"/>
        <v>45924</v>
      </c>
      <c r="M50" s="55">
        <f ca="1"/>
        <v>99.9765625</v>
      </c>
    </row>
    <row r="51" spans="2:13" x14ac:dyDescent="0.3">
      <c r="B51" s="78">
        <f ca="1"/>
        <v>45925</v>
      </c>
      <c r="C51" s="60">
        <f ca="1"/>
        <v>80.92</v>
      </c>
      <c r="D51" s="78">
        <f ca="1"/>
        <v>45925</v>
      </c>
      <c r="E51" s="60">
        <f ca="1"/>
        <v>99.40234375</v>
      </c>
      <c r="F51" s="78">
        <f ca="1"/>
        <v>45925</v>
      </c>
      <c r="G51" s="55">
        <f ca="1"/>
        <v>111.06</v>
      </c>
      <c r="H51" s="78">
        <f ca="1"/>
        <v>45925</v>
      </c>
      <c r="I51" s="55">
        <f ca="1"/>
        <v>99.40234375</v>
      </c>
      <c r="J51" s="78">
        <f ca="1"/>
        <v>45925</v>
      </c>
      <c r="K51" s="60">
        <f ca="1"/>
        <v>100.6328125</v>
      </c>
      <c r="L51" s="78">
        <f ca="1"/>
        <v>45925</v>
      </c>
      <c r="M51" s="55">
        <f ca="1"/>
        <v>100.0234375</v>
      </c>
    </row>
    <row r="52" spans="2:13" x14ac:dyDescent="0.3">
      <c r="B52" s="78">
        <f ca="1"/>
        <v>45926</v>
      </c>
      <c r="C52" s="60">
        <f ca="1"/>
        <v>81.08</v>
      </c>
      <c r="D52" s="78">
        <f ca="1"/>
        <v>45926</v>
      </c>
      <c r="E52" s="60">
        <f ca="1"/>
        <v>99.37890625</v>
      </c>
      <c r="F52" s="78">
        <f ca="1"/>
        <v>45926</v>
      </c>
      <c r="G52" s="55">
        <f ca="1"/>
        <v>111.21</v>
      </c>
      <c r="H52" s="78">
        <f ca="1"/>
        <v>45926</v>
      </c>
      <c r="I52" s="55">
        <f ca="1"/>
        <v>99.37890625</v>
      </c>
      <c r="J52" s="78">
        <f ca="1"/>
        <v>45926</v>
      </c>
      <c r="K52" s="60">
        <f ca="1"/>
        <v>100.5859375</v>
      </c>
      <c r="L52" s="78">
        <f ca="1"/>
        <v>45926</v>
      </c>
      <c r="M52" s="55">
        <f ca="1"/>
        <v>100</v>
      </c>
    </row>
    <row r="53" spans="2:13" x14ac:dyDescent="0.3">
      <c r="B53" s="78">
        <f ca="1"/>
        <v>45929</v>
      </c>
      <c r="C53" s="60">
        <f ca="1"/>
        <v>81.22</v>
      </c>
      <c r="D53" s="78">
        <f ca="1"/>
        <v>45929</v>
      </c>
      <c r="E53" s="60">
        <f ca="1"/>
        <v>99.5078125</v>
      </c>
      <c r="F53" s="78">
        <f ca="1"/>
        <v>45929</v>
      </c>
      <c r="G53" s="55">
        <f ca="1"/>
        <v>111.58</v>
      </c>
      <c r="H53" s="78">
        <f ca="1"/>
        <v>45929</v>
      </c>
      <c r="I53" s="55">
        <f ca="1"/>
        <v>99.5078125</v>
      </c>
      <c r="J53" s="78">
        <f ca="1"/>
        <v>45929</v>
      </c>
      <c r="K53" s="60">
        <f ca="1"/>
        <v>100.8828125</v>
      </c>
      <c r="L53" s="78">
        <f ca="1"/>
        <v>45929</v>
      </c>
      <c r="M53" s="55">
        <f ca="1"/>
        <v>100.71875</v>
      </c>
    </row>
    <row r="54" spans="2:13" x14ac:dyDescent="0.3">
      <c r="B54" s="78">
        <f ca="1"/>
        <v>45930</v>
      </c>
      <c r="C54" s="55">
        <f ca="1"/>
        <v>81.19</v>
      </c>
      <c r="D54" s="78">
        <f ca="1"/>
        <v>45930</v>
      </c>
      <c r="E54" s="55">
        <f ca="1"/>
        <v>99.48046875</v>
      </c>
      <c r="F54" s="78">
        <f ca="1"/>
        <v>45930</v>
      </c>
      <c r="G54" s="55">
        <f ca="1"/>
        <v>111.47</v>
      </c>
      <c r="H54" s="78">
        <f ca="1"/>
        <v>45930</v>
      </c>
      <c r="I54" s="55">
        <f ca="1"/>
        <v>99.48046875</v>
      </c>
      <c r="J54" s="78">
        <f ca="1"/>
        <v>45930</v>
      </c>
      <c r="K54" s="55">
        <f ca="1"/>
        <v>100.7890625</v>
      </c>
      <c r="L54" s="78">
        <f ca="1"/>
        <v>45930</v>
      </c>
      <c r="M54" s="55">
        <f ca="1"/>
        <v>100.28125</v>
      </c>
    </row>
    <row r="55" spans="2:13" x14ac:dyDescent="0.3">
      <c r="B55" s="78">
        <f ca="1"/>
        <v>45931</v>
      </c>
      <c r="C55" s="55">
        <f ca="1"/>
        <v>80.959999999999994</v>
      </c>
      <c r="D55" s="78">
        <f ca="1"/>
        <v>45931</v>
      </c>
      <c r="E55" s="55">
        <f ca="1"/>
        <v>99.78515625</v>
      </c>
      <c r="F55" s="78">
        <f ca="1"/>
        <v>45931</v>
      </c>
      <c r="G55" s="55">
        <f ca="1"/>
        <v>111.51</v>
      </c>
      <c r="H55" s="78">
        <f ca="1"/>
        <v>45931</v>
      </c>
      <c r="I55" s="55">
        <f ca="1"/>
        <v>99.78515625</v>
      </c>
      <c r="J55" s="78">
        <f ca="1"/>
        <v>45931</v>
      </c>
      <c r="K55" s="55">
        <f ca="1"/>
        <v>101.2109375</v>
      </c>
      <c r="L55" s="78">
        <f ca="1"/>
        <v>45931</v>
      </c>
      <c r="M55" s="55">
        <f ca="1"/>
        <v>100.6328125</v>
      </c>
    </row>
    <row r="56" spans="2:13" x14ac:dyDescent="0.3">
      <c r="B56" s="78">
        <f ca="1"/>
        <v>45932</v>
      </c>
      <c r="C56" s="55">
        <f ca="1"/>
        <v>80.930000000000007</v>
      </c>
      <c r="D56" s="78">
        <f ca="1"/>
        <v>45932</v>
      </c>
      <c r="E56" s="55">
        <f ca="1"/>
        <v>99.79296875</v>
      </c>
      <c r="F56" s="78">
        <f ca="1"/>
        <v>45932</v>
      </c>
      <c r="G56" s="55">
        <f ca="1"/>
        <v>111.69</v>
      </c>
      <c r="H56" s="78">
        <f ca="1"/>
        <v>45932</v>
      </c>
      <c r="I56" s="55">
        <f ca="1"/>
        <v>99.79296875</v>
      </c>
      <c r="J56" s="78">
        <f ca="1"/>
        <v>45932</v>
      </c>
      <c r="K56" s="55">
        <f ca="1"/>
        <v>101.3359375</v>
      </c>
      <c r="L56" s="78">
        <f ca="1"/>
        <v>45932</v>
      </c>
      <c r="M56" s="55">
        <f ca="1"/>
        <v>100.96875</v>
      </c>
    </row>
    <row r="57" spans="2:13" x14ac:dyDescent="0.3">
      <c r="B57" s="78">
        <f ca="1"/>
        <v>45933</v>
      </c>
      <c r="C57" s="55">
        <f ca="1"/>
        <v>80.84</v>
      </c>
      <c r="D57" s="78">
        <f ca="1"/>
        <v>45933</v>
      </c>
      <c r="E57" s="55">
        <f ca="1"/>
        <v>99.58984375</v>
      </c>
      <c r="F57" s="78">
        <f ca="1"/>
        <v>45933</v>
      </c>
      <c r="G57" s="55">
        <f ca="1"/>
        <v>111.55</v>
      </c>
      <c r="H57" s="78">
        <f ca="1"/>
        <v>45933</v>
      </c>
      <c r="I57" s="55">
        <f ca="1"/>
        <v>99.58984375</v>
      </c>
      <c r="J57" s="78">
        <f ca="1"/>
        <v>45933</v>
      </c>
      <c r="K57" s="55">
        <f ca="1"/>
        <v>101.0390625</v>
      </c>
      <c r="L57" s="78">
        <f ca="1"/>
        <v>45933</v>
      </c>
      <c r="M57" s="55">
        <f ca="1"/>
        <v>100.59375</v>
      </c>
    </row>
    <row r="58" spans="2:13" x14ac:dyDescent="0.3">
      <c r="B58" s="78">
        <f ca="1"/>
        <v>45936</v>
      </c>
      <c r="C58" s="55">
        <f ca="1"/>
        <v>80.86</v>
      </c>
      <c r="D58" s="78">
        <f ca="1"/>
        <v>45936</v>
      </c>
      <c r="E58" s="55">
        <f ca="1"/>
        <v>99.5078125</v>
      </c>
      <c r="F58" s="78">
        <f ca="1"/>
        <v>45936</v>
      </c>
      <c r="G58" s="55">
        <f ca="1"/>
        <v>111.19</v>
      </c>
      <c r="H58" s="78">
        <f ca="1"/>
        <v>45936</v>
      </c>
      <c r="I58" s="55">
        <f ca="1"/>
        <v>99.5078125</v>
      </c>
      <c r="J58" s="78">
        <f ca="1"/>
        <v>45936</v>
      </c>
      <c r="K58" s="55">
        <f ca="1"/>
        <v>100.765625</v>
      </c>
      <c r="L58" s="78">
        <f ca="1"/>
        <v>45936</v>
      </c>
      <c r="M58" s="55">
        <f ca="1"/>
        <v>100.015625</v>
      </c>
    </row>
    <row r="59" spans="2:13" x14ac:dyDescent="0.3">
      <c r="B59" s="78">
        <f ca="1"/>
        <v>45937</v>
      </c>
      <c r="C59" s="55">
        <f ca="1"/>
        <v>80.77</v>
      </c>
      <c r="D59" s="78">
        <f ca="1"/>
        <v>45937</v>
      </c>
      <c r="E59" s="55">
        <f ca="1"/>
        <v>99.65625</v>
      </c>
      <c r="F59" s="78">
        <f ca="1"/>
        <v>45937</v>
      </c>
      <c r="G59" s="55">
        <f ca="1"/>
        <v>111.4</v>
      </c>
      <c r="H59" s="78">
        <f ca="1"/>
        <v>45937</v>
      </c>
      <c r="I59" s="55">
        <f ca="1"/>
        <v>99.65625</v>
      </c>
      <c r="J59" s="78">
        <f ca="1"/>
        <v>45937</v>
      </c>
      <c r="K59" s="55">
        <f ca="1"/>
        <v>101.0078125</v>
      </c>
      <c r="L59" s="78">
        <f ca="1"/>
        <v>45937</v>
      </c>
      <c r="M59" s="55">
        <f ca="1"/>
        <v>100.40625</v>
      </c>
    </row>
    <row r="60" spans="2:13" x14ac:dyDescent="0.3">
      <c r="B60" s="78">
        <f ca="1"/>
        <v>45938</v>
      </c>
      <c r="C60" s="55">
        <f ca="1"/>
        <v>80.650000000000006</v>
      </c>
      <c r="D60" s="78">
        <f ca="1"/>
        <v>45938</v>
      </c>
      <c r="E60" s="55">
        <f ca="1"/>
        <v>99.6015625</v>
      </c>
      <c r="F60" s="78">
        <f ca="1"/>
        <v>45938</v>
      </c>
      <c r="G60" s="55">
        <f ca="1"/>
        <v>111.26</v>
      </c>
      <c r="H60" s="78">
        <f ca="1"/>
        <v>45938</v>
      </c>
      <c r="I60" s="55">
        <f ca="1"/>
        <v>99.6015625</v>
      </c>
      <c r="J60" s="78">
        <f ca="1"/>
        <v>45938</v>
      </c>
      <c r="K60" s="55">
        <f ca="1"/>
        <v>101.046875</v>
      </c>
      <c r="L60" s="78">
        <f ca="1"/>
        <v>45938</v>
      </c>
      <c r="M60" s="55">
        <f ca="1"/>
        <v>100.6484375</v>
      </c>
    </row>
    <row r="61" spans="2:13" x14ac:dyDescent="0.3">
      <c r="B61" s="78">
        <f ca="1"/>
        <v>45939</v>
      </c>
      <c r="C61" s="55">
        <f ca="1"/>
        <v>80.45</v>
      </c>
      <c r="D61" s="78">
        <f ca="1"/>
        <v>45939</v>
      </c>
      <c r="E61" s="55">
        <f ca="1"/>
        <v>99.5390625</v>
      </c>
      <c r="F61" s="78">
        <f ca="1"/>
        <v>45939</v>
      </c>
      <c r="G61" s="55">
        <f ca="1"/>
        <v>111.125</v>
      </c>
      <c r="H61" s="78">
        <f ca="1"/>
        <v>45939</v>
      </c>
      <c r="I61" s="55">
        <f ca="1"/>
        <v>99.5390625</v>
      </c>
      <c r="J61" s="78">
        <f ca="1"/>
        <v>45939</v>
      </c>
      <c r="K61" s="55">
        <f ca="1"/>
        <v>100.9296875</v>
      </c>
      <c r="L61" s="78">
        <f ca="1"/>
        <v>45939</v>
      </c>
      <c r="M61" s="55">
        <f ca="1"/>
        <v>100.4765625</v>
      </c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E73"/>
  <sheetViews>
    <sheetView zoomScale="80" zoomScaleNormal="80" workbookViewId="0"/>
  </sheetViews>
  <sheetFormatPr defaultRowHeight="14.4" x14ac:dyDescent="0.3"/>
  <cols>
    <col min="1" max="1" width="15.44140625" style="55" bestFit="1" customWidth="1"/>
    <col min="2" max="7" width="12.44140625" style="55" customWidth="1"/>
    <col min="8" max="16" width="10.77734375" style="55" customWidth="1"/>
    <col min="17" max="18" width="11.5546875" style="55" bestFit="1" customWidth="1"/>
    <col min="19" max="20" width="13.33203125" style="55" bestFit="1" customWidth="1"/>
    <col min="22" max="22" width="13.88671875" style="55" bestFit="1" customWidth="1"/>
    <col min="23" max="23" width="9.44140625" style="55" bestFit="1" customWidth="1"/>
    <col min="24" max="16384" width="8.88671875" style="55"/>
  </cols>
  <sheetData>
    <row r="1" spans="1:31" ht="15" thickBot="1" x14ac:dyDescent="0.35">
      <c r="A1" s="1"/>
      <c r="B1" s="1"/>
      <c r="C1" s="1"/>
      <c r="D1" s="1"/>
      <c r="E1" s="1"/>
      <c r="F1" s="1"/>
      <c r="G1" s="1"/>
      <c r="I1" s="54">
        <f ca="1">TODAY()-5</f>
        <v>45934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31" ht="15" thickBot="1" x14ac:dyDescent="0.35">
      <c r="A2" s="30"/>
      <c r="B2" s="41" t="s">
        <v>0</v>
      </c>
      <c r="C2" s="45" t="s">
        <v>1</v>
      </c>
      <c r="D2" s="74" t="s">
        <v>1</v>
      </c>
      <c r="E2" s="80" t="s">
        <v>1</v>
      </c>
      <c r="F2" s="74" t="s">
        <v>1</v>
      </c>
      <c r="G2" s="75" t="s">
        <v>0</v>
      </c>
      <c r="I2" s="27" t="s">
        <v>0</v>
      </c>
      <c r="J2" s="1"/>
      <c r="K2" s="45" t="s">
        <v>1</v>
      </c>
      <c r="L2" s="2"/>
      <c r="M2" s="28" t="s">
        <v>1</v>
      </c>
      <c r="N2" s="1"/>
      <c r="O2" s="80" t="s">
        <v>0</v>
      </c>
      <c r="Q2" s="74" t="s">
        <v>0</v>
      </c>
      <c r="S2" s="75" t="s">
        <v>0</v>
      </c>
    </row>
    <row r="3" spans="1:31" x14ac:dyDescent="0.3">
      <c r="A3" s="15" t="s">
        <v>33</v>
      </c>
      <c r="B3" s="66" t="s">
        <v>68</v>
      </c>
      <c r="C3" s="76" t="s">
        <v>67</v>
      </c>
      <c r="D3" s="76" t="s">
        <v>69</v>
      </c>
      <c r="E3" s="76" t="s">
        <v>70</v>
      </c>
      <c r="F3" s="76" t="s">
        <v>75</v>
      </c>
      <c r="G3" s="67" t="s">
        <v>77</v>
      </c>
      <c r="I3" s="53" cm="1">
        <f t="array" aca="1" ref="I3:J6" ca="1">_xll.BDH($B$4, "PX_LAST, ", $I$1, "")</f>
        <v>45936</v>
      </c>
      <c r="J3" s="1">
        <f ca="1"/>
        <v>111.19</v>
      </c>
      <c r="K3" s="53" cm="1">
        <f t="array" aca="1" ref="K3:L6" ca="1">_xll.BDH($C$4, "PX_LAST, ", $I$1, "")</f>
        <v>45936</v>
      </c>
      <c r="L3" s="47">
        <f ca="1"/>
        <v>99.50390625</v>
      </c>
      <c r="M3" s="53" cm="1">
        <f t="array" aca="1" ref="M3:N6" ca="1">_xll.BDH($D$4, "PX_LAST, ", $I$1, "")</f>
        <v>45936</v>
      </c>
      <c r="N3" s="1">
        <f ca="1"/>
        <v>100.765625</v>
      </c>
      <c r="O3" s="53" cm="1">
        <f t="array" aca="1" ref="O3:P6" ca="1">_xll.BDH($E$4, "PX_LAST, ", $I$1, "")</f>
        <v>45936</v>
      </c>
      <c r="P3" s="55">
        <f ca="1"/>
        <v>100.015625</v>
      </c>
      <c r="Q3" s="53" cm="1">
        <f t="array" aca="1" ref="Q3:R6" ca="1">_xll.BDH($F$4, "PX_LAST, ", $I$1, "")</f>
        <v>45936</v>
      </c>
      <c r="R3" s="55">
        <f ca="1"/>
        <v>83.89</v>
      </c>
      <c r="S3" s="53" cm="1">
        <f t="array" aca="1" ref="S3:T6" ca="1">_xll.BDH($G$4, "PX_LAST, ", $I$1, "")</f>
        <v>45936</v>
      </c>
      <c r="T3" s="55">
        <f ca="1"/>
        <v>99.6484375</v>
      </c>
      <c r="V3" s="97" t="s">
        <v>81</v>
      </c>
      <c r="W3" s="89" t="s">
        <v>68</v>
      </c>
      <c r="X3" s="90" t="s">
        <v>75</v>
      </c>
      <c r="Y3" s="1"/>
      <c r="AC3" s="1"/>
    </row>
    <row r="4" spans="1:31" ht="32.25" customHeight="1" thickBot="1" x14ac:dyDescent="0.35">
      <c r="A4" s="15" t="s">
        <v>34</v>
      </c>
      <c r="B4" s="68" t="s">
        <v>71</v>
      </c>
      <c r="C4" s="42" t="s">
        <v>79</v>
      </c>
      <c r="D4" s="42" t="s">
        <v>73</v>
      </c>
      <c r="E4" s="42" t="s">
        <v>72</v>
      </c>
      <c r="F4" s="42" t="s">
        <v>76</v>
      </c>
      <c r="G4" s="43" t="s">
        <v>78</v>
      </c>
      <c r="I4" s="78">
        <f ca="1"/>
        <v>45937</v>
      </c>
      <c r="J4" s="1">
        <f ca="1"/>
        <v>111.4</v>
      </c>
      <c r="K4" s="54">
        <f ca="1"/>
        <v>45937</v>
      </c>
      <c r="L4" s="1">
        <f ca="1"/>
        <v>99.65234375</v>
      </c>
      <c r="M4" s="54">
        <f ca="1"/>
        <v>45937</v>
      </c>
      <c r="N4" s="1">
        <f ca="1"/>
        <v>101.0078125</v>
      </c>
      <c r="O4" s="78">
        <f ca="1"/>
        <v>45937</v>
      </c>
      <c r="P4" s="55">
        <f ca="1"/>
        <v>100.40625</v>
      </c>
      <c r="Q4" s="78">
        <f ca="1"/>
        <v>45937</v>
      </c>
      <c r="R4" s="55">
        <f ca="1"/>
        <v>84</v>
      </c>
      <c r="S4" s="54">
        <f ca="1"/>
        <v>45937</v>
      </c>
      <c r="T4" s="55">
        <f ca="1"/>
        <v>99.8671875</v>
      </c>
      <c r="V4" s="91"/>
      <c r="W4" s="92">
        <f>B5/B14</f>
        <v>322202.69478617457</v>
      </c>
      <c r="X4" s="93">
        <f>F5/N14</f>
        <v>596551.92984549305</v>
      </c>
      <c r="Y4" s="1"/>
      <c r="AC4" s="1"/>
      <c r="AD4" s="54"/>
      <c r="AE4" s="1"/>
    </row>
    <row r="5" spans="1:31" ht="15" thickBot="1" x14ac:dyDescent="0.35">
      <c r="A5" s="15" t="s">
        <v>8</v>
      </c>
      <c r="B5" s="69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8">
        <f ca="1"/>
        <v>45938</v>
      </c>
      <c r="J5" s="1">
        <f ca="1"/>
        <v>111.26</v>
      </c>
      <c r="K5" s="54">
        <f ca="1"/>
        <v>45938</v>
      </c>
      <c r="L5" s="1">
        <f ca="1"/>
        <v>99.58984375</v>
      </c>
      <c r="M5" s="54">
        <f ca="1"/>
        <v>45938</v>
      </c>
      <c r="N5" s="1">
        <f ca="1"/>
        <v>101.046875</v>
      </c>
      <c r="O5" s="78">
        <f ca="1"/>
        <v>45938</v>
      </c>
      <c r="P5" s="55">
        <f ca="1"/>
        <v>100.6484375</v>
      </c>
      <c r="Q5" s="78">
        <f ca="1"/>
        <v>45938</v>
      </c>
      <c r="R5" s="55">
        <f ca="1"/>
        <v>83.9</v>
      </c>
      <c r="S5" s="54">
        <f ca="1"/>
        <v>45938</v>
      </c>
      <c r="T5" s="55">
        <f ca="1"/>
        <v>99.84375</v>
      </c>
      <c r="V5" s="78"/>
    </row>
    <row r="6" spans="1:31" x14ac:dyDescent="0.3">
      <c r="A6" s="15" t="s">
        <v>10</v>
      </c>
      <c r="B6" s="71">
        <v>0</v>
      </c>
      <c r="C6" s="10">
        <f>(3+5/8)*0.01</f>
        <v>3.6249999999999998E-2</v>
      </c>
      <c r="D6" s="77">
        <v>4.2500000000000003E-2</v>
      </c>
      <c r="E6" s="77">
        <v>4.7500000000000001E-2</v>
      </c>
      <c r="F6" s="77">
        <v>0</v>
      </c>
      <c r="G6" s="10">
        <f>(3+5/8)*0.01</f>
        <v>3.6249999999999998E-2</v>
      </c>
      <c r="I6" s="78">
        <f ca="1"/>
        <v>45939</v>
      </c>
      <c r="J6" s="1">
        <f ca="1"/>
        <v>111.125</v>
      </c>
      <c r="K6" s="54">
        <f ca="1"/>
        <v>45939</v>
      </c>
      <c r="L6" s="1">
        <f ca="1"/>
        <v>99.53515625</v>
      </c>
      <c r="M6" s="54">
        <f ca="1"/>
        <v>45939</v>
      </c>
      <c r="N6" s="1">
        <f ca="1"/>
        <v>100.9296875</v>
      </c>
      <c r="O6" s="78">
        <f ca="1"/>
        <v>45939</v>
      </c>
      <c r="P6" s="55">
        <f ca="1"/>
        <v>100.4609375</v>
      </c>
      <c r="Q6" s="78">
        <f ca="1"/>
        <v>45939</v>
      </c>
      <c r="R6" s="55">
        <f ca="1"/>
        <v>83.825000000000003</v>
      </c>
      <c r="S6" s="54">
        <f ca="1"/>
        <v>45939</v>
      </c>
      <c r="T6" s="55">
        <f ca="1"/>
        <v>99.7578125</v>
      </c>
      <c r="V6" s="98" t="s">
        <v>80</v>
      </c>
      <c r="W6" s="76" t="s">
        <v>68</v>
      </c>
      <c r="X6" s="94" t="s">
        <v>75</v>
      </c>
    </row>
    <row r="7" spans="1:31" ht="15" thickBot="1" x14ac:dyDescent="0.35">
      <c r="A7" s="15" t="s">
        <v>12</v>
      </c>
      <c r="B7" s="71">
        <v>4.2299999999999997E-2</v>
      </c>
      <c r="C7" s="77">
        <v>4.2299999999999997E-2</v>
      </c>
      <c r="D7" s="77">
        <v>4.2299999999999997E-2</v>
      </c>
      <c r="E7" s="77">
        <v>4.2299999999999997E-2</v>
      </c>
      <c r="F7" s="77">
        <v>4.2299999999999997E-2</v>
      </c>
      <c r="G7" s="10">
        <v>4.2299999999999997E-2</v>
      </c>
      <c r="I7" s="54"/>
      <c r="J7" s="1"/>
      <c r="K7" s="54"/>
      <c r="L7" s="1"/>
      <c r="M7" s="54"/>
      <c r="N7" s="1"/>
      <c r="O7" s="54"/>
      <c r="P7" s="1"/>
      <c r="Q7" s="54"/>
      <c r="R7" s="1"/>
      <c r="S7" s="54"/>
      <c r="T7" s="1"/>
      <c r="V7" s="82"/>
      <c r="W7" s="21">
        <v>0.41</v>
      </c>
      <c r="X7" s="95">
        <v>0.32600000000000001</v>
      </c>
    </row>
    <row r="8" spans="1:31" ht="15" thickBot="1" x14ac:dyDescent="0.35">
      <c r="A8" s="15" t="s">
        <v>14</v>
      </c>
      <c r="B8" s="4" t="s">
        <v>24</v>
      </c>
      <c r="C8" s="1" t="s">
        <v>24</v>
      </c>
      <c r="D8" s="1" t="s">
        <v>24</v>
      </c>
      <c r="E8" s="1" t="s">
        <v>24</v>
      </c>
      <c r="F8" s="1" t="s">
        <v>24</v>
      </c>
      <c r="G8" s="5" t="s">
        <v>24</v>
      </c>
      <c r="I8" s="54"/>
      <c r="J8" s="1"/>
      <c r="K8" s="54"/>
      <c r="L8" s="1"/>
      <c r="M8" s="54"/>
      <c r="N8" s="1"/>
      <c r="O8" s="54"/>
      <c r="P8" s="1"/>
      <c r="Q8" s="54"/>
      <c r="R8" s="1"/>
      <c r="S8" s="54"/>
      <c r="T8" s="1"/>
      <c r="V8" s="78"/>
    </row>
    <row r="9" spans="1:31" ht="15" thickBot="1" x14ac:dyDescent="0.35">
      <c r="A9" s="15" t="s">
        <v>15</v>
      </c>
      <c r="B9" s="4" t="s">
        <v>24</v>
      </c>
      <c r="C9" s="1" t="s">
        <v>24</v>
      </c>
      <c r="D9" s="1"/>
      <c r="E9" s="1"/>
      <c r="F9" s="1"/>
      <c r="G9" s="5" t="s">
        <v>24</v>
      </c>
      <c r="I9" s="54"/>
      <c r="J9" s="1"/>
      <c r="K9" s="54"/>
      <c r="L9" s="1"/>
      <c r="M9" s="54"/>
      <c r="N9" s="1"/>
      <c r="O9" s="54"/>
      <c r="P9" s="1"/>
      <c r="Q9" s="54"/>
      <c r="R9" s="1"/>
      <c r="S9" s="54"/>
      <c r="T9" s="1"/>
      <c r="V9" s="99" t="s">
        <v>82</v>
      </c>
      <c r="W9" s="96">
        <f>W4*W7-X4*X7</f>
        <v>-62372.824267299176</v>
      </c>
    </row>
    <row r="10" spans="1:31" ht="15" thickBot="1" x14ac:dyDescent="0.35">
      <c r="A10" s="16" t="s">
        <v>29</v>
      </c>
      <c r="B10" s="11" cm="1">
        <f t="array" ref="B10">_xll.BDP(B4,"px_last")</f>
        <v>111.125</v>
      </c>
      <c r="C10" s="21" cm="1">
        <f t="array" ref="C10">_xll.BDP(C4,"px_last")</f>
        <v>99.53125</v>
      </c>
      <c r="D10" s="21" cm="1">
        <f t="array" ref="D10">_xll.BDP(D4,"px_last")</f>
        <v>100.9375</v>
      </c>
      <c r="E10" s="21" cm="1">
        <f t="array" ref="E10">_xll.BDP(E4,"px_last")</f>
        <v>100.46875</v>
      </c>
      <c r="F10" s="21" cm="1">
        <f t="array" ref="F10">_xll.BDP(F4,"px_last")</f>
        <v>83.825000000000003</v>
      </c>
      <c r="G10" s="22" cm="1">
        <f t="array" ref="G10">_xll.BDP(G4,"px_last")</f>
        <v>99.765625</v>
      </c>
      <c r="H10" s="1"/>
      <c r="I10" s="54"/>
      <c r="J10" s="1"/>
      <c r="K10" s="54"/>
      <c r="L10" s="1"/>
      <c r="M10" s="54"/>
      <c r="N10" s="1"/>
      <c r="O10" s="54"/>
      <c r="P10" s="1"/>
      <c r="Q10" s="54"/>
      <c r="R10" s="1"/>
      <c r="S10" s="54"/>
      <c r="T10" s="1"/>
      <c r="V10" s="78"/>
    </row>
    <row r="11" spans="1:31" ht="15" thickBot="1" x14ac:dyDescent="0.35">
      <c r="C11" s="1"/>
      <c r="D11" s="1"/>
      <c r="E11" s="1"/>
      <c r="F11" s="1"/>
      <c r="G11" s="1"/>
      <c r="H11" s="1"/>
      <c r="I11" s="54"/>
      <c r="J11" s="1"/>
      <c r="K11" s="54"/>
      <c r="L11" s="1"/>
      <c r="M11" s="54"/>
      <c r="N11" s="1"/>
      <c r="O11" s="54"/>
      <c r="P11" s="1"/>
      <c r="Q11" s="54"/>
      <c r="R11" s="1"/>
      <c r="S11" s="54"/>
      <c r="T11" s="1"/>
      <c r="V11" s="78"/>
    </row>
    <row r="12" spans="1:31" ht="15" thickBot="1" x14ac:dyDescent="0.35">
      <c r="A12" s="40" t="s">
        <v>23</v>
      </c>
      <c r="B12" s="100" t="s">
        <v>0</v>
      </c>
      <c r="C12" s="101"/>
      <c r="D12" s="101"/>
      <c r="E12" s="106" t="s">
        <v>1</v>
      </c>
      <c r="F12" s="107"/>
      <c r="G12" s="108"/>
      <c r="H12" s="103" t="s">
        <v>1</v>
      </c>
      <c r="I12" s="114"/>
      <c r="J12" s="105"/>
      <c r="K12" s="115" t="s">
        <v>1</v>
      </c>
      <c r="L12" s="116"/>
      <c r="M12" s="117"/>
      <c r="N12" s="103" t="s">
        <v>1</v>
      </c>
      <c r="O12" s="114"/>
      <c r="P12" s="105"/>
      <c r="Q12" s="112" t="s">
        <v>0</v>
      </c>
      <c r="R12" s="110"/>
      <c r="S12" s="113"/>
      <c r="T12" s="40" t="s">
        <v>16</v>
      </c>
      <c r="V12" s="78"/>
    </row>
    <row r="13" spans="1:31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81" t="s">
        <v>21</v>
      </c>
      <c r="J13" s="22" t="s">
        <v>20</v>
      </c>
      <c r="K13" s="82" t="s">
        <v>17</v>
      </c>
      <c r="L13" s="21" t="s">
        <v>21</v>
      </c>
      <c r="M13" s="83" t="s">
        <v>20</v>
      </c>
      <c r="N13" s="11" t="s">
        <v>17</v>
      </c>
      <c r="O13" s="81" t="s">
        <v>21</v>
      </c>
      <c r="P13" s="22" t="s">
        <v>20</v>
      </c>
      <c r="Q13" s="82" t="s">
        <v>17</v>
      </c>
      <c r="R13" s="21" t="s">
        <v>21</v>
      </c>
      <c r="S13" s="83" t="s">
        <v>20</v>
      </c>
      <c r="T13" s="16"/>
    </row>
    <row r="14" spans="1:31" x14ac:dyDescent="0.3">
      <c r="A14" s="37">
        <v>45925</v>
      </c>
      <c r="B14" s="46">
        <v>110.955</v>
      </c>
      <c r="C14" s="47"/>
      <c r="D14" s="47"/>
      <c r="E14" s="46">
        <f>99+12/32+3/8*1/32</f>
        <v>99.38671875</v>
      </c>
      <c r="F14" s="47"/>
      <c r="G14" s="48"/>
      <c r="H14" s="46">
        <f>100+18/32+3/4*1/32</f>
        <v>100.5859375</v>
      </c>
      <c r="I14" s="47"/>
      <c r="J14" s="48"/>
      <c r="K14" s="46">
        <f>99+24/32</f>
        <v>99.75</v>
      </c>
      <c r="L14" s="47"/>
      <c r="M14" s="48"/>
      <c r="N14" s="46">
        <v>83.814999999999998</v>
      </c>
      <c r="O14" s="47"/>
      <c r="P14" s="48"/>
      <c r="Q14" s="46">
        <f>99+18/32+3/4*1/32</f>
        <v>99.5859375</v>
      </c>
      <c r="R14" s="47"/>
      <c r="S14" s="48"/>
      <c r="T14" s="15"/>
    </row>
    <row r="15" spans="1:31" x14ac:dyDescent="0.3">
      <c r="A15" s="37">
        <v>45926</v>
      </c>
      <c r="B15" s="46">
        <v>111.21</v>
      </c>
      <c r="C15" s="47">
        <f>(B15/$B$14-1)*$B$5</f>
        <v>82161.687170472404</v>
      </c>
      <c r="D15" s="47">
        <f>-1*(A15-$A$14)/360*$B$7*$B$5</f>
        <v>-4200.625</v>
      </c>
      <c r="E15" s="46">
        <v>99.36328125</v>
      </c>
      <c r="F15" s="47">
        <f>(E15-$E$14)/100*$C$5</f>
        <v>-3925.78125</v>
      </c>
      <c r="G15" s="48">
        <f>(A15-$A$14)/360*$C$6*$C$5-(A15-$A$14)/360*$C$7*$C$5*$E$14/100</f>
        <v>-269.4229139539932</v>
      </c>
      <c r="H15" s="46">
        <v>100.5859375</v>
      </c>
      <c r="I15" s="47">
        <f>(H15-$H$14)/100*$D$5</f>
        <v>0</v>
      </c>
      <c r="J15" s="48">
        <f>(A15-$A$14)/360*$D$6*$D$5-(A15-$A$14)/360*$D$7*$D$5*$H$14/100</f>
        <v>-0.99690755208325754</v>
      </c>
      <c r="K15" s="46">
        <v>100</v>
      </c>
      <c r="L15" s="47">
        <f>(K15-$K$14)/100*$E$5</f>
        <v>26250</v>
      </c>
      <c r="M15" s="48">
        <f>(A15-$A$14)/360*$E$6*$E$5-(A15-$A$14)/360*$E$7*$E$5*$K$14/100</f>
        <v>154.75104166666665</v>
      </c>
      <c r="N15" s="46">
        <v>83.93</v>
      </c>
      <c r="O15" s="47">
        <f>(N15/$N$14-1)*$F$5</f>
        <v>68603.471932238142</v>
      </c>
      <c r="P15" s="48">
        <f>-1*(A15-$A$14)/360*$F$7*$F$5</f>
        <v>-5875</v>
      </c>
      <c r="Q15" s="46">
        <v>99.4921875</v>
      </c>
      <c r="R15" s="47">
        <f>(Q15-$Q$14)/100*$G$5</f>
        <v>-47578.125</v>
      </c>
      <c r="S15" s="48">
        <f>(A15-$A$14)/360*$G$6*$G$5-(A15-$A$14)/360*$G$7*$G$5*$Q$14/100</f>
        <v>-828.19087999131898</v>
      </c>
      <c r="T15" s="85">
        <f>C15+D15-F15-G15-I15-J15-L15-M15-O15-P15+R15+S15</f>
        <v>-55382.275611917656</v>
      </c>
    </row>
    <row r="16" spans="1:31" x14ac:dyDescent="0.3">
      <c r="A16" s="37">
        <v>45929</v>
      </c>
      <c r="B16" s="46">
        <v>111.58</v>
      </c>
      <c r="C16" s="47">
        <f t="shared" ref="C16:C23" si="0">(B16/$B$14-1)*$B$5</f>
        <v>201376.68424135796</v>
      </c>
      <c r="D16" s="47">
        <f t="shared" ref="D16:D23" si="1">-1*(A16-$A$14)/360*$B$7*$B$5</f>
        <v>-16802.5</v>
      </c>
      <c r="E16" s="46">
        <v>99.50390625</v>
      </c>
      <c r="F16" s="47">
        <f t="shared" ref="F16:F23" si="2">(E16-$E$14)/100*$C$5</f>
        <v>19628.90625</v>
      </c>
      <c r="G16" s="48">
        <f t="shared" ref="G16:G23" si="3">(A16-$A$14)/360*$C$6*$C$5-(A16-$A$14)/360*$C$7*$C$5*$E$14/100</f>
        <v>-1077.6916558159728</v>
      </c>
      <c r="H16" s="46">
        <v>100.8828125</v>
      </c>
      <c r="I16" s="47">
        <f t="shared" ref="I16:I23" si="4">(H16-$H$14)/100*$D$5</f>
        <v>22265.625</v>
      </c>
      <c r="J16" s="48">
        <f t="shared" ref="J16:J23" si="5">(A16-$A$14)/360*$D$6*$D$5-(A16-$A$14)/360*$D$7*$D$5*$H$14/100</f>
        <v>-3.9876302083330302</v>
      </c>
      <c r="K16" s="46">
        <v>100.71875</v>
      </c>
      <c r="L16" s="47">
        <f t="shared" ref="L16:L23" si="6">(K16-$K$14)/100*$E$5</f>
        <v>101718.75</v>
      </c>
      <c r="M16" s="48">
        <f t="shared" ref="M16:M23" si="7">(A16-$A$14)/360*$E$6*$E$5-(A16-$A$14)/360*$E$7*$E$5*$K$14/100</f>
        <v>619.00416666666661</v>
      </c>
      <c r="N16" s="46">
        <v>84.11</v>
      </c>
      <c r="O16" s="47">
        <f t="shared" ref="O16:O23" si="8">(N16/$N$14-1)*$F$5</f>
        <v>175982.81930442105</v>
      </c>
      <c r="P16" s="48">
        <f t="shared" ref="P16:P23" si="9">-1*(A16-$A$14)/360*$F$7*$F$5</f>
        <v>-23500</v>
      </c>
      <c r="Q16" s="46">
        <v>99.7265625</v>
      </c>
      <c r="R16" s="47">
        <f t="shared" ref="R16:R23" si="10">(Q16-$Q$14)/100*$G$5</f>
        <v>71367.1875</v>
      </c>
      <c r="S16" s="48">
        <f t="shared" ref="S16:S23" si="11">(A16-$A$14)/360*$G$6*$G$5-(A16-$A$14)/360*$G$7*$G$5*$Q$14/100</f>
        <v>-3312.7635199652759</v>
      </c>
      <c r="T16" s="85">
        <f t="shared" ref="T16:T17" si="12">C16+D16-F16-G16-I16-J16-L16-M16-O16-P16+R16+S16</f>
        <v>-43004.817213670685</v>
      </c>
    </row>
    <row r="17" spans="1:20" x14ac:dyDescent="0.3">
      <c r="A17" s="37">
        <v>45930</v>
      </c>
      <c r="B17" s="46">
        <v>111.47</v>
      </c>
      <c r="C17" s="47">
        <f t="shared" si="0"/>
        <v>165934.38781487718</v>
      </c>
      <c r="D17" s="47">
        <f t="shared" si="1"/>
        <v>-21003.124999999996</v>
      </c>
      <c r="E17" s="46">
        <v>99.47265625</v>
      </c>
      <c r="F17" s="47">
        <f t="shared" si="2"/>
        <v>14394.53125</v>
      </c>
      <c r="G17" s="48">
        <f t="shared" si="3"/>
        <v>-1347.1145697699631</v>
      </c>
      <c r="H17" s="46">
        <v>100.7890625</v>
      </c>
      <c r="I17" s="47">
        <f t="shared" si="4"/>
        <v>15234.375</v>
      </c>
      <c r="J17" s="48">
        <f t="shared" si="5"/>
        <v>-4.9845377604160603</v>
      </c>
      <c r="K17" s="46">
        <v>100.28125</v>
      </c>
      <c r="L17" s="47">
        <f t="shared" si="6"/>
        <v>55781.250000000007</v>
      </c>
      <c r="M17" s="48">
        <f t="shared" si="7"/>
        <v>773.75520833333485</v>
      </c>
      <c r="N17" s="46">
        <v>84.11</v>
      </c>
      <c r="O17" s="47">
        <f t="shared" si="8"/>
        <v>175982.81930442105</v>
      </c>
      <c r="P17" s="48">
        <f t="shared" si="9"/>
        <v>-29374.999999999996</v>
      </c>
      <c r="Q17" s="46">
        <v>99.6640625</v>
      </c>
      <c r="R17" s="47">
        <f t="shared" si="10"/>
        <v>39648.4375</v>
      </c>
      <c r="S17" s="48">
        <f t="shared" si="11"/>
        <v>-4140.954399956594</v>
      </c>
      <c r="T17" s="85">
        <f t="shared" si="12"/>
        <v>-51000.88574030342</v>
      </c>
    </row>
    <row r="18" spans="1:20" x14ac:dyDescent="0.3">
      <c r="A18" s="37">
        <v>45931</v>
      </c>
      <c r="B18" s="46">
        <v>111.51</v>
      </c>
      <c r="C18" s="47">
        <f t="shared" si="0"/>
        <v>178822.49560632836</v>
      </c>
      <c r="D18" s="47">
        <f t="shared" si="1"/>
        <v>-25203.749999999996</v>
      </c>
      <c r="E18" s="46">
        <v>99.78515625</v>
      </c>
      <c r="F18" s="47">
        <f t="shared" si="2"/>
        <v>66738.28125</v>
      </c>
      <c r="G18" s="48">
        <f t="shared" si="3"/>
        <v>-1616.537483723956</v>
      </c>
      <c r="H18" s="46">
        <v>101.2109375</v>
      </c>
      <c r="I18" s="47">
        <f t="shared" si="4"/>
        <v>46875</v>
      </c>
      <c r="J18" s="48">
        <f t="shared" si="5"/>
        <v>-5.9814453124990905</v>
      </c>
      <c r="K18" s="46">
        <v>100.6328125</v>
      </c>
      <c r="L18" s="47">
        <f t="shared" si="6"/>
        <v>92695.312499999985</v>
      </c>
      <c r="M18" s="48">
        <f t="shared" si="7"/>
        <v>928.50625000000127</v>
      </c>
      <c r="N18" s="46">
        <v>84.07</v>
      </c>
      <c r="O18" s="47">
        <f t="shared" si="8"/>
        <v>152120.74211059522</v>
      </c>
      <c r="P18" s="48">
        <f t="shared" si="9"/>
        <v>-35249.999999999993</v>
      </c>
      <c r="Q18" s="46">
        <v>100.0390625</v>
      </c>
      <c r="R18" s="47">
        <f t="shared" si="10"/>
        <v>229960.93749999997</v>
      </c>
      <c r="S18" s="48">
        <f t="shared" si="11"/>
        <v>-4969.1452799479157</v>
      </c>
      <c r="T18" s="85">
        <f>C18+D18-F18-G18-I18-J18-L18-M18-O18-P18+R18+S18+$W$9</f>
        <v>-6247.6096224775101</v>
      </c>
    </row>
    <row r="19" spans="1:20" x14ac:dyDescent="0.3">
      <c r="A19" s="37">
        <v>45932</v>
      </c>
      <c r="B19" s="46">
        <v>111.69</v>
      </c>
      <c r="C19" s="47">
        <f t="shared" si="0"/>
        <v>236818.98066783874</v>
      </c>
      <c r="D19" s="47">
        <f t="shared" si="1"/>
        <v>-29404.375</v>
      </c>
      <c r="E19" s="46">
        <v>99.79296875</v>
      </c>
      <c r="F19" s="47">
        <f t="shared" si="2"/>
        <v>68046.875</v>
      </c>
      <c r="G19" s="48">
        <f t="shared" si="3"/>
        <v>-1885.9603976779508</v>
      </c>
      <c r="H19" s="46">
        <v>101.3359375</v>
      </c>
      <c r="I19" s="47">
        <f t="shared" si="4"/>
        <v>56250</v>
      </c>
      <c r="J19" s="48">
        <f t="shared" si="5"/>
        <v>-6.9783528645830302</v>
      </c>
      <c r="K19" s="46">
        <v>100.96875</v>
      </c>
      <c r="L19" s="47">
        <f t="shared" si="6"/>
        <v>127968.75</v>
      </c>
      <c r="M19" s="48">
        <f t="shared" si="7"/>
        <v>1083.2572916666686</v>
      </c>
      <c r="N19" s="46">
        <v>84.16</v>
      </c>
      <c r="O19" s="47">
        <f t="shared" si="8"/>
        <v>205810.41579669225</v>
      </c>
      <c r="P19" s="48">
        <f t="shared" si="9"/>
        <v>-41125</v>
      </c>
      <c r="Q19" s="46">
        <v>100.0859375</v>
      </c>
      <c r="R19" s="47">
        <f t="shared" si="10"/>
        <v>253750</v>
      </c>
      <c r="S19" s="48">
        <f t="shared" si="11"/>
        <v>-5797.3361599392374</v>
      </c>
      <c r="T19" s="85">
        <f t="shared" ref="T19:T23" si="13">C19+D19-F19-G19-I19-J19-L19-M19-O19-P19+R19+S19+$W$9</f>
        <v>-23146.914097216068</v>
      </c>
    </row>
    <row r="20" spans="1:20" x14ac:dyDescent="0.3">
      <c r="A20" s="37">
        <v>45933</v>
      </c>
      <c r="B20" s="46">
        <v>111.55</v>
      </c>
      <c r="C20" s="47">
        <f t="shared" si="0"/>
        <v>191710.60339777157</v>
      </c>
      <c r="D20" s="47">
        <f t="shared" si="1"/>
        <v>-33605</v>
      </c>
      <c r="E20" s="46">
        <v>99.58984375</v>
      </c>
      <c r="F20" s="47">
        <f t="shared" si="2"/>
        <v>34023.4375</v>
      </c>
      <c r="G20" s="48">
        <f t="shared" si="3"/>
        <v>-2155.3833116319456</v>
      </c>
      <c r="H20" s="46">
        <v>101.0390625</v>
      </c>
      <c r="I20" s="47">
        <f t="shared" si="4"/>
        <v>33984.375</v>
      </c>
      <c r="J20" s="48">
        <f t="shared" si="5"/>
        <v>-7.9752604166660603</v>
      </c>
      <c r="K20" s="46">
        <v>100.59375</v>
      </c>
      <c r="L20" s="47">
        <f t="shared" si="6"/>
        <v>88593.75</v>
      </c>
      <c r="M20" s="48">
        <f t="shared" si="7"/>
        <v>1238.0083333333332</v>
      </c>
      <c r="N20" s="46">
        <v>84.06</v>
      </c>
      <c r="O20" s="47">
        <f t="shared" si="8"/>
        <v>146155.22281214988</v>
      </c>
      <c r="P20" s="48">
        <f t="shared" si="9"/>
        <v>-47000</v>
      </c>
      <c r="Q20" s="46">
        <v>99.8203125</v>
      </c>
      <c r="R20" s="47">
        <f t="shared" si="10"/>
        <v>118945.3125</v>
      </c>
      <c r="S20" s="48">
        <f t="shared" si="11"/>
        <v>-6625.5270399305518</v>
      </c>
      <c r="T20" s="85">
        <f t="shared" si="13"/>
        <v>-46778.870482892766</v>
      </c>
    </row>
    <row r="21" spans="1:20" x14ac:dyDescent="0.3">
      <c r="A21" s="37">
        <v>45936</v>
      </c>
      <c r="B21" s="46">
        <v>111.19</v>
      </c>
      <c r="C21" s="47">
        <f t="shared" si="0"/>
        <v>75717.633274750784</v>
      </c>
      <c r="D21" s="47">
        <f t="shared" si="1"/>
        <v>-46206.874999999993</v>
      </c>
      <c r="E21" s="46">
        <v>99.50390625</v>
      </c>
      <c r="F21" s="47">
        <f t="shared" si="2"/>
        <v>19628.90625</v>
      </c>
      <c r="G21" s="48">
        <f t="shared" si="3"/>
        <v>-2963.6520534939227</v>
      </c>
      <c r="H21" s="46">
        <v>100.765625</v>
      </c>
      <c r="I21" s="47">
        <f t="shared" si="4"/>
        <v>13476.5625</v>
      </c>
      <c r="J21" s="48">
        <f t="shared" si="5"/>
        <v>-10.96598307291606</v>
      </c>
      <c r="K21" s="46">
        <v>100.015625</v>
      </c>
      <c r="L21" s="47">
        <f t="shared" si="6"/>
        <v>27890.625000000004</v>
      </c>
      <c r="M21" s="48">
        <f t="shared" si="7"/>
        <v>1702.2614583333343</v>
      </c>
      <c r="N21" s="46">
        <v>83.89</v>
      </c>
      <c r="O21" s="47">
        <f t="shared" si="8"/>
        <v>44741.394738412324</v>
      </c>
      <c r="P21" s="48">
        <f t="shared" si="9"/>
        <v>-64624.999999999993</v>
      </c>
      <c r="Q21" s="46">
        <v>99.6484375</v>
      </c>
      <c r="R21" s="47">
        <f t="shared" si="10"/>
        <v>31718.75</v>
      </c>
      <c r="S21" s="48">
        <f t="shared" si="11"/>
        <v>-9110.0996799045024</v>
      </c>
      <c r="T21" s="85">
        <f t="shared" si="13"/>
        <v>-50093.547582631712</v>
      </c>
    </row>
    <row r="22" spans="1:20" x14ac:dyDescent="0.3">
      <c r="A22" s="37">
        <v>45937</v>
      </c>
      <c r="B22" s="46">
        <v>111.4</v>
      </c>
      <c r="C22" s="47">
        <f t="shared" si="0"/>
        <v>143380.19917984758</v>
      </c>
      <c r="D22" s="47">
        <f t="shared" si="1"/>
        <v>-50407.499999999993</v>
      </c>
      <c r="E22" s="46">
        <v>99.65234375</v>
      </c>
      <c r="F22" s="47">
        <f t="shared" si="2"/>
        <v>44492.1875</v>
      </c>
      <c r="G22" s="48">
        <f t="shared" si="3"/>
        <v>-3233.0749674479121</v>
      </c>
      <c r="H22" s="46">
        <v>101.0078125</v>
      </c>
      <c r="I22" s="47">
        <f t="shared" si="4"/>
        <v>31640.625000000004</v>
      </c>
      <c r="J22" s="48">
        <f t="shared" si="5"/>
        <v>-11.962890624998181</v>
      </c>
      <c r="K22" s="46">
        <v>100.40625</v>
      </c>
      <c r="L22" s="47">
        <f t="shared" si="6"/>
        <v>68906.25</v>
      </c>
      <c r="M22" s="48">
        <f t="shared" si="7"/>
        <v>1857.0125000000025</v>
      </c>
      <c r="N22" s="46">
        <v>84</v>
      </c>
      <c r="O22" s="47">
        <f t="shared" si="8"/>
        <v>110362.10702142224</v>
      </c>
      <c r="P22" s="48">
        <f t="shared" si="9"/>
        <v>-70499.999999999985</v>
      </c>
      <c r="Q22" s="46">
        <v>99.8671875</v>
      </c>
      <c r="R22" s="47">
        <f t="shared" si="10"/>
        <v>142734.375</v>
      </c>
      <c r="S22" s="48">
        <f t="shared" si="11"/>
        <v>-9938.2905598958314</v>
      </c>
      <c r="T22" s="85">
        <f t="shared" si="13"/>
        <v>-20117.184810696766</v>
      </c>
    </row>
    <row r="23" spans="1:20" x14ac:dyDescent="0.3">
      <c r="A23" s="37">
        <v>45938</v>
      </c>
      <c r="B23" s="46">
        <v>111.26</v>
      </c>
      <c r="C23" s="47">
        <f t="shared" si="0"/>
        <v>98271.821909788341</v>
      </c>
      <c r="D23" s="47">
        <f t="shared" si="1"/>
        <v>-54608.124999999993</v>
      </c>
      <c r="E23" s="47">
        <v>99.58984375</v>
      </c>
      <c r="F23" s="47">
        <f t="shared" si="2"/>
        <v>34023.4375</v>
      </c>
      <c r="G23" s="48">
        <f t="shared" si="3"/>
        <v>-3502.497881401905</v>
      </c>
      <c r="H23" s="46">
        <v>101.046875</v>
      </c>
      <c r="I23" s="47">
        <f t="shared" si="4"/>
        <v>34570.3125</v>
      </c>
      <c r="J23" s="48">
        <f t="shared" si="5"/>
        <v>-12.959798177082121</v>
      </c>
      <c r="K23" s="46">
        <v>100.6484375</v>
      </c>
      <c r="L23" s="47">
        <f t="shared" si="6"/>
        <v>94335.937499999985</v>
      </c>
      <c r="M23" s="48">
        <f t="shared" si="7"/>
        <v>2011.7635416666672</v>
      </c>
      <c r="N23" s="46">
        <v>83.9</v>
      </c>
      <c r="O23" s="47">
        <f t="shared" si="8"/>
        <v>50706.91403686878</v>
      </c>
      <c r="P23" s="48">
        <f t="shared" si="9"/>
        <v>-76374.999999999985</v>
      </c>
      <c r="Q23" s="46">
        <v>99.84375</v>
      </c>
      <c r="R23" s="47">
        <f t="shared" si="10"/>
        <v>130839.84375</v>
      </c>
      <c r="S23" s="48">
        <f t="shared" si="11"/>
        <v>-10766.481439887139</v>
      </c>
      <c r="T23" s="85">
        <f t="shared" si="13"/>
        <v>-34393.672446354423</v>
      </c>
    </row>
    <row r="24" spans="1:20" x14ac:dyDescent="0.3">
      <c r="A24" s="37">
        <v>45939</v>
      </c>
      <c r="B24" s="46">
        <v>111.0587</v>
      </c>
      <c r="C24" s="47">
        <f t="shared" ref="C24" si="14">(B24/$B$14-1)*$B$5</f>
        <v>33412.41944933121</v>
      </c>
      <c r="D24" s="47">
        <f t="shared" ref="D24" si="15">-1*(A24-$A$14)/360*$B$7*$B$5</f>
        <v>-58808.75</v>
      </c>
      <c r="E24" s="47">
        <v>99.49609375</v>
      </c>
      <c r="F24" s="47">
        <f t="shared" ref="F24" si="16">(E24-$E$14)/100*$C$5</f>
        <v>18320.3125</v>
      </c>
      <c r="G24" s="48">
        <f t="shared" ref="G24" si="17">(A24-$A$14)/360*$C$6*$C$5-(A24-$A$14)/360*$C$7*$C$5*$E$14/100</f>
        <v>-3771.9207953559016</v>
      </c>
      <c r="H24" s="46">
        <v>100.8515625</v>
      </c>
      <c r="I24" s="47">
        <f t="shared" ref="I24" si="18">(H24-$H$14)/100*$D$5</f>
        <v>19921.875</v>
      </c>
      <c r="J24" s="48">
        <f t="shared" ref="J24" si="19">(A24-$A$14)/360*$D$6*$D$5-(A24-$A$14)/360*$D$7*$D$5*$H$14/100</f>
        <v>-13.95670572916606</v>
      </c>
      <c r="K24" s="46">
        <v>100.3046875</v>
      </c>
      <c r="L24" s="47">
        <f t="shared" ref="L24" si="20">(K24-$K$14)/100*$E$5</f>
        <v>58242.1875</v>
      </c>
      <c r="M24" s="48">
        <f t="shared" ref="M24" si="21">(A24-$A$14)/360*$E$6*$E$5-(A24-$A$14)/360*$E$7*$E$5*$K$14/100</f>
        <v>2166.5145833333372</v>
      </c>
      <c r="N24" s="46">
        <v>83.795000000000002</v>
      </c>
      <c r="O24" s="47">
        <f t="shared" ref="O24" si="22">(N24/$N$14-1)*$F$5</f>
        <v>-11931.038596907361</v>
      </c>
      <c r="P24" s="48">
        <f t="shared" ref="P24" si="23">-1*(A24-$A$14)/360*$F$7*$F$5</f>
        <v>-82250</v>
      </c>
      <c r="Q24" s="46">
        <v>99.7109375</v>
      </c>
      <c r="R24" s="47">
        <f t="shared" ref="R24" si="24">(Q24-$Q$14)/100*$G$5</f>
        <v>63437.5</v>
      </c>
      <c r="S24" s="48">
        <f t="shared" ref="S24" si="25">(A24-$A$14)/360*$G$6*$G$5-(A24-$A$14)/360*$G$7*$G$5*$Q$14/100</f>
        <v>-11594.672319878475</v>
      </c>
      <c r="T24" s="85">
        <f t="shared" ref="T24" si="26">C24+D24-F24-G24-I24-J24-L24-M24-O24-P24+R24+S24+$W$9</f>
        <v>-36610.300623187359</v>
      </c>
    </row>
    <row r="25" spans="1:20" x14ac:dyDescent="0.3">
      <c r="A25" s="37">
        <v>45940</v>
      </c>
      <c r="B25" s="46"/>
      <c r="C25" s="47"/>
      <c r="D25" s="47"/>
      <c r="E25" s="46"/>
      <c r="F25" s="47"/>
      <c r="G25" s="48"/>
      <c r="H25" s="46"/>
      <c r="I25" s="47"/>
      <c r="J25" s="48"/>
      <c r="K25" s="46"/>
      <c r="L25" s="47"/>
      <c r="M25" s="48"/>
      <c r="N25" s="46"/>
      <c r="O25" s="47"/>
      <c r="P25" s="48"/>
      <c r="Q25" s="46"/>
      <c r="R25" s="47"/>
      <c r="S25" s="48"/>
      <c r="T25" s="85"/>
    </row>
    <row r="26" spans="1:20" x14ac:dyDescent="0.3">
      <c r="A26" s="37">
        <v>45941</v>
      </c>
      <c r="B26" s="46"/>
      <c r="C26" s="47"/>
      <c r="D26" s="47"/>
      <c r="E26" s="46"/>
      <c r="F26" s="47"/>
      <c r="G26" s="48"/>
      <c r="H26" s="46"/>
      <c r="I26" s="47"/>
      <c r="J26" s="48"/>
      <c r="K26" s="46"/>
      <c r="L26" s="47"/>
      <c r="M26" s="48"/>
      <c r="N26" s="46"/>
      <c r="O26" s="47"/>
      <c r="P26" s="48"/>
      <c r="Q26" s="46"/>
      <c r="R26" s="47"/>
      <c r="S26" s="48"/>
      <c r="T26" s="85"/>
    </row>
    <row r="27" spans="1:20" x14ac:dyDescent="0.3">
      <c r="B27" s="57"/>
      <c r="C27" s="47"/>
      <c r="D27" s="47"/>
      <c r="E27" s="46"/>
      <c r="F27" s="47"/>
      <c r="G27" s="48"/>
      <c r="H27" s="46"/>
      <c r="I27" s="47"/>
      <c r="J27" s="48"/>
      <c r="K27" s="46"/>
      <c r="L27" s="47"/>
      <c r="M27" s="48"/>
      <c r="N27" s="46"/>
      <c r="O27" s="47"/>
      <c r="P27" s="48"/>
      <c r="Q27" s="46"/>
      <c r="R27" s="47"/>
      <c r="S27" s="48"/>
      <c r="T27" s="85"/>
    </row>
    <row r="28" spans="1:20" x14ac:dyDescent="0.3">
      <c r="B28" s="46"/>
      <c r="C28" s="47"/>
      <c r="D28" s="47"/>
      <c r="E28" s="46"/>
      <c r="F28" s="47"/>
      <c r="G28" s="48"/>
      <c r="H28" s="46"/>
      <c r="I28" s="47"/>
      <c r="J28" s="48"/>
      <c r="K28" s="46"/>
      <c r="L28" s="47"/>
      <c r="M28" s="48"/>
      <c r="N28" s="46"/>
      <c r="O28" s="47"/>
      <c r="P28" s="48"/>
      <c r="Q28" s="46"/>
      <c r="R28" s="47"/>
      <c r="S28" s="48"/>
      <c r="T28" s="85"/>
    </row>
    <row r="29" spans="1:20" x14ac:dyDescent="0.3">
      <c r="B29" s="46"/>
      <c r="C29" s="47"/>
      <c r="D29" s="47"/>
      <c r="E29" s="46"/>
      <c r="F29" s="47"/>
      <c r="G29" s="48"/>
      <c r="H29" s="46"/>
      <c r="I29" s="47"/>
      <c r="J29" s="48"/>
      <c r="K29" s="46"/>
      <c r="L29" s="47"/>
      <c r="M29" s="48"/>
      <c r="N29" s="46"/>
      <c r="O29" s="47"/>
      <c r="P29" s="48"/>
      <c r="Q29" s="46"/>
      <c r="R29" s="47"/>
      <c r="S29" s="48"/>
      <c r="T29" s="85"/>
    </row>
    <row r="30" spans="1:20" x14ac:dyDescent="0.3">
      <c r="B30" s="46"/>
      <c r="C30" s="47"/>
      <c r="D30" s="47"/>
      <c r="E30" s="46"/>
      <c r="F30" s="47"/>
      <c r="G30" s="48"/>
      <c r="H30" s="46"/>
      <c r="I30" s="47"/>
      <c r="J30" s="48"/>
      <c r="K30" s="46"/>
      <c r="L30" s="47"/>
      <c r="M30" s="48"/>
      <c r="N30" s="46"/>
      <c r="O30" s="47"/>
      <c r="P30" s="48"/>
      <c r="Q30" s="46"/>
      <c r="R30" s="47"/>
      <c r="S30" s="48"/>
      <c r="T30" s="85"/>
    </row>
    <row r="31" spans="1:20" x14ac:dyDescent="0.3">
      <c r="B31" s="46"/>
      <c r="C31" s="47"/>
      <c r="D31" s="47"/>
      <c r="E31" s="46"/>
      <c r="F31" s="47"/>
      <c r="G31" s="48"/>
      <c r="H31" s="46"/>
      <c r="I31" s="47"/>
      <c r="J31" s="48"/>
      <c r="K31" s="46"/>
      <c r="L31" s="47"/>
      <c r="M31" s="48"/>
      <c r="N31" s="46"/>
      <c r="O31" s="47"/>
      <c r="P31" s="48"/>
      <c r="Q31" s="46"/>
      <c r="R31" s="47"/>
      <c r="S31" s="48"/>
      <c r="T31" s="85"/>
    </row>
    <row r="32" spans="1:20" x14ac:dyDescent="0.3">
      <c r="A32" s="37"/>
      <c r="B32" s="46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4"/>
      <c r="O32" s="31"/>
      <c r="P32" s="32"/>
      <c r="Q32" s="4"/>
      <c r="R32" s="31"/>
      <c r="S32" s="32"/>
      <c r="T32" s="39"/>
    </row>
    <row r="33" spans="1:20" x14ac:dyDescent="0.3">
      <c r="A33" s="37"/>
      <c r="B33" s="46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4"/>
      <c r="O33" s="31"/>
      <c r="P33" s="32"/>
      <c r="Q33" s="4"/>
      <c r="R33" s="31"/>
      <c r="S33" s="32"/>
      <c r="T33" s="39"/>
    </row>
    <row r="34" spans="1:20" x14ac:dyDescent="0.3">
      <c r="A34" s="37"/>
      <c r="B34" s="46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4"/>
      <c r="O34" s="31"/>
      <c r="P34" s="32"/>
      <c r="Q34" s="4"/>
      <c r="R34" s="31"/>
      <c r="S34" s="32"/>
      <c r="T34" s="39"/>
    </row>
    <row r="35" spans="1:20" x14ac:dyDescent="0.3">
      <c r="A35" s="37"/>
      <c r="B35" s="46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4"/>
      <c r="O35" s="31"/>
      <c r="P35" s="32"/>
      <c r="Q35" s="4"/>
      <c r="R35" s="31"/>
      <c r="S35" s="32"/>
      <c r="T35" s="39"/>
    </row>
    <row r="36" spans="1:20" x14ac:dyDescent="0.3">
      <c r="A36" s="37"/>
      <c r="B36" s="46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4"/>
      <c r="O36" s="31"/>
      <c r="P36" s="32"/>
      <c r="Q36" s="4"/>
      <c r="R36" s="31"/>
      <c r="S36" s="32"/>
      <c r="T36" s="39"/>
    </row>
    <row r="37" spans="1:20" x14ac:dyDescent="0.3">
      <c r="A37" s="37"/>
      <c r="B37" s="46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4"/>
      <c r="O37" s="31"/>
      <c r="P37" s="32"/>
      <c r="Q37" s="4"/>
      <c r="R37" s="31"/>
      <c r="S37" s="32"/>
      <c r="T37" s="39"/>
    </row>
    <row r="38" spans="1:20" x14ac:dyDescent="0.3">
      <c r="A38" s="37"/>
      <c r="B38" s="46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4"/>
      <c r="O38" s="31"/>
      <c r="P38" s="32"/>
      <c r="Q38" s="4"/>
      <c r="R38" s="31"/>
      <c r="S38" s="32"/>
      <c r="T38" s="39"/>
    </row>
    <row r="39" spans="1:20" x14ac:dyDescent="0.3">
      <c r="A39" s="15"/>
      <c r="B39" s="46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39"/>
    </row>
    <row r="40" spans="1:20" x14ac:dyDescent="0.3">
      <c r="A40" s="15"/>
      <c r="B40" s="46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9"/>
    </row>
    <row r="41" spans="1:20" ht="15" thickBot="1" x14ac:dyDescent="0.35">
      <c r="A41" s="16"/>
      <c r="B41" s="49"/>
      <c r="C41" s="50"/>
      <c r="D41" s="50"/>
      <c r="E41" s="11"/>
      <c r="F41" s="50"/>
      <c r="G41" s="51"/>
      <c r="H41" s="11"/>
      <c r="I41" s="50"/>
      <c r="J41" s="51"/>
      <c r="K41" s="11"/>
      <c r="L41" s="50"/>
      <c r="M41" s="51"/>
      <c r="N41" s="11"/>
      <c r="O41" s="50"/>
      <c r="P41" s="51"/>
      <c r="Q41" s="11"/>
      <c r="R41" s="50"/>
      <c r="S41" s="51"/>
      <c r="T41" s="52"/>
    </row>
    <row r="42" spans="1:20" x14ac:dyDescent="0.3">
      <c r="B42" s="60"/>
      <c r="C42" s="60"/>
      <c r="D42" s="60"/>
      <c r="E42" s="60"/>
      <c r="F42" s="60"/>
      <c r="H42" s="58"/>
      <c r="I42" s="58"/>
      <c r="K42" s="60"/>
      <c r="L42" s="60"/>
      <c r="N42" s="58"/>
      <c r="O42" s="58"/>
      <c r="R42" s="58"/>
      <c r="S42" s="58"/>
      <c r="T42" s="58"/>
    </row>
    <row r="43" spans="1:20" ht="15" thickBot="1" x14ac:dyDescent="0.35">
      <c r="B43" s="54">
        <f ca="1">TODAY()-12</f>
        <v>45927</v>
      </c>
      <c r="C43" s="1"/>
      <c r="D43" s="1"/>
      <c r="E43" s="1"/>
      <c r="F43" s="1"/>
      <c r="G43" s="1"/>
      <c r="H43" s="1"/>
      <c r="I43" s="1"/>
      <c r="J43" s="1"/>
      <c r="K43" s="1"/>
      <c r="L43" s="1"/>
      <c r="R43" s="58"/>
      <c r="S43" s="58"/>
      <c r="T43" s="58"/>
    </row>
    <row r="44" spans="1:20" ht="15" thickBot="1" x14ac:dyDescent="0.35">
      <c r="B44" s="27" t="s">
        <v>0</v>
      </c>
      <c r="C44" s="1"/>
      <c r="D44" s="45" t="s">
        <v>1</v>
      </c>
      <c r="E44" s="2"/>
      <c r="F44" s="28" t="s">
        <v>1</v>
      </c>
      <c r="G44" s="1"/>
      <c r="H44" s="80" t="s">
        <v>0</v>
      </c>
      <c r="J44" s="74" t="s">
        <v>0</v>
      </c>
      <c r="L44" s="75" t="s">
        <v>0</v>
      </c>
      <c r="R44" s="58"/>
      <c r="S44" s="58"/>
      <c r="T44" s="58"/>
    </row>
    <row r="45" spans="1:20" x14ac:dyDescent="0.3">
      <c r="B45" s="53" cm="1">
        <f t="array" aca="1" ref="B45:C53" ca="1">_xll.BDH($B$4, "PX_LAST, ", B43, "")</f>
        <v>45929</v>
      </c>
      <c r="C45" s="1">
        <f ca="1"/>
        <v>111.58</v>
      </c>
      <c r="D45" s="53" cm="1">
        <f t="array" aca="1" ref="D45:E53" ca="1">_xll.BDH($C$4, "PX_LAST, ", B43, "")</f>
        <v>45929</v>
      </c>
      <c r="E45" s="47">
        <f ca="1"/>
        <v>99.50390625</v>
      </c>
      <c r="F45" s="53" cm="1">
        <f t="array" aca="1" ref="F45:G53" ca="1">_xll.BDH($D$4, "PX_LAST, ", B43, "")</f>
        <v>45929</v>
      </c>
      <c r="G45" s="1">
        <f ca="1"/>
        <v>100.8828125</v>
      </c>
      <c r="H45" s="53" cm="1">
        <f t="array" aca="1" ref="H45:I53" ca="1">_xll.BDH($E$4, "PX_LAST, ", B43, "")</f>
        <v>45929</v>
      </c>
      <c r="I45" s="55">
        <f ca="1"/>
        <v>100.71875</v>
      </c>
      <c r="J45" s="53" cm="1">
        <f t="array" aca="1" ref="J45:K53" ca="1">_xll.BDH($F$4, "PX_LAST, ", B43, "")</f>
        <v>45929</v>
      </c>
      <c r="K45" s="55">
        <f ca="1"/>
        <v>84.11</v>
      </c>
      <c r="L45" s="53" cm="1">
        <f t="array" aca="1" ref="L45:M53" ca="1">_xll.BDH($G$4, "PX_LAST, ", B43, "")</f>
        <v>45929</v>
      </c>
      <c r="M45" s="55">
        <f ca="1"/>
        <v>99.7265625</v>
      </c>
      <c r="R45" s="58"/>
      <c r="S45" s="58"/>
      <c r="T45" s="58"/>
    </row>
    <row r="46" spans="1:20" x14ac:dyDescent="0.3">
      <c r="B46" s="78">
        <f ca="1"/>
        <v>45930</v>
      </c>
      <c r="C46" s="60">
        <f ca="1"/>
        <v>111.47</v>
      </c>
      <c r="D46" s="78">
        <f ca="1"/>
        <v>45930</v>
      </c>
      <c r="E46" s="60">
        <f ca="1"/>
        <v>99.47265625</v>
      </c>
      <c r="F46" s="78">
        <f ca="1"/>
        <v>45930</v>
      </c>
      <c r="G46" s="55">
        <f ca="1"/>
        <v>100.7890625</v>
      </c>
      <c r="H46" s="78">
        <f ca="1"/>
        <v>45930</v>
      </c>
      <c r="I46" s="55">
        <f ca="1"/>
        <v>100.28125</v>
      </c>
      <c r="J46" s="78">
        <f ca="1"/>
        <v>45930</v>
      </c>
      <c r="K46" s="60">
        <f ca="1"/>
        <v>84.11</v>
      </c>
      <c r="L46" s="78">
        <f ca="1"/>
        <v>45930</v>
      </c>
      <c r="M46" s="55">
        <f ca="1"/>
        <v>99.6640625</v>
      </c>
    </row>
    <row r="47" spans="1:20" x14ac:dyDescent="0.3">
      <c r="B47" s="78">
        <f ca="1"/>
        <v>45931</v>
      </c>
      <c r="C47" s="60">
        <f ca="1"/>
        <v>111.51</v>
      </c>
      <c r="D47" s="78">
        <f ca="1"/>
        <v>45931</v>
      </c>
      <c r="E47" s="60">
        <f ca="1"/>
        <v>99.78515625</v>
      </c>
      <c r="F47" s="78">
        <f ca="1"/>
        <v>45931</v>
      </c>
      <c r="G47" s="55">
        <f ca="1"/>
        <v>101.2109375</v>
      </c>
      <c r="H47" s="78">
        <f ca="1"/>
        <v>45931</v>
      </c>
      <c r="I47" s="55">
        <f ca="1"/>
        <v>100.6328125</v>
      </c>
      <c r="J47" s="78">
        <f ca="1"/>
        <v>45931</v>
      </c>
      <c r="K47" s="60">
        <f ca="1"/>
        <v>84.07</v>
      </c>
      <c r="L47" s="78">
        <f ca="1"/>
        <v>45931</v>
      </c>
      <c r="M47" s="55">
        <f ca="1"/>
        <v>100.0390625</v>
      </c>
    </row>
    <row r="48" spans="1:20" x14ac:dyDescent="0.3">
      <c r="B48" s="78">
        <f ca="1"/>
        <v>45932</v>
      </c>
      <c r="C48" s="60">
        <f ca="1"/>
        <v>111.69</v>
      </c>
      <c r="D48" s="78">
        <f ca="1"/>
        <v>45932</v>
      </c>
      <c r="E48" s="60">
        <f ca="1"/>
        <v>99.79296875</v>
      </c>
      <c r="F48" s="78">
        <f ca="1"/>
        <v>45932</v>
      </c>
      <c r="G48" s="55">
        <f ca="1"/>
        <v>101.3359375</v>
      </c>
      <c r="H48" s="78">
        <f ca="1"/>
        <v>45932</v>
      </c>
      <c r="I48" s="55">
        <f ca="1"/>
        <v>100.96875</v>
      </c>
      <c r="J48" s="78">
        <f ca="1"/>
        <v>45932</v>
      </c>
      <c r="K48" s="60">
        <f ca="1"/>
        <v>84.16</v>
      </c>
      <c r="L48" s="78">
        <f ca="1"/>
        <v>45932</v>
      </c>
      <c r="M48" s="55">
        <f ca="1"/>
        <v>100.0859375</v>
      </c>
    </row>
    <row r="49" spans="2:13" x14ac:dyDescent="0.3">
      <c r="B49" s="78">
        <f ca="1"/>
        <v>45933</v>
      </c>
      <c r="C49" s="60">
        <f ca="1"/>
        <v>111.55</v>
      </c>
      <c r="D49" s="78">
        <f ca="1"/>
        <v>45933</v>
      </c>
      <c r="E49" s="60">
        <f ca="1"/>
        <v>99.58984375</v>
      </c>
      <c r="F49" s="78">
        <f ca="1"/>
        <v>45933</v>
      </c>
      <c r="G49" s="55">
        <f ca="1"/>
        <v>101.0390625</v>
      </c>
      <c r="H49" s="78">
        <f ca="1"/>
        <v>45933</v>
      </c>
      <c r="I49" s="55">
        <f ca="1"/>
        <v>100.59375</v>
      </c>
      <c r="J49" s="78">
        <f ca="1"/>
        <v>45933</v>
      </c>
      <c r="K49" s="60">
        <f ca="1"/>
        <v>84.06</v>
      </c>
      <c r="L49" s="78">
        <f ca="1"/>
        <v>45933</v>
      </c>
      <c r="M49" s="55">
        <f ca="1"/>
        <v>99.8203125</v>
      </c>
    </row>
    <row r="50" spans="2:13" x14ac:dyDescent="0.3">
      <c r="B50" s="78">
        <f ca="1"/>
        <v>45936</v>
      </c>
      <c r="C50" s="60">
        <f ca="1"/>
        <v>111.19</v>
      </c>
      <c r="D50" s="78">
        <f ca="1"/>
        <v>45936</v>
      </c>
      <c r="E50" s="60">
        <f ca="1"/>
        <v>99.50390625</v>
      </c>
      <c r="F50" s="78">
        <f ca="1"/>
        <v>45936</v>
      </c>
      <c r="G50" s="55">
        <f ca="1"/>
        <v>100.765625</v>
      </c>
      <c r="H50" s="78">
        <f ca="1"/>
        <v>45936</v>
      </c>
      <c r="I50" s="55">
        <f ca="1"/>
        <v>100.015625</v>
      </c>
      <c r="J50" s="78">
        <f ca="1"/>
        <v>45936</v>
      </c>
      <c r="K50" s="60">
        <f ca="1"/>
        <v>83.89</v>
      </c>
      <c r="L50" s="78">
        <f ca="1"/>
        <v>45936</v>
      </c>
      <c r="M50" s="55">
        <f ca="1"/>
        <v>99.6484375</v>
      </c>
    </row>
    <row r="51" spans="2:13" x14ac:dyDescent="0.3">
      <c r="B51" s="78">
        <f ca="1"/>
        <v>45937</v>
      </c>
      <c r="C51" s="60">
        <f ca="1"/>
        <v>111.4</v>
      </c>
      <c r="D51" s="78">
        <f ca="1"/>
        <v>45937</v>
      </c>
      <c r="E51" s="60">
        <f ca="1"/>
        <v>99.65234375</v>
      </c>
      <c r="F51" s="78">
        <f ca="1"/>
        <v>45937</v>
      </c>
      <c r="G51" s="55">
        <f ca="1"/>
        <v>101.0078125</v>
      </c>
      <c r="H51" s="78">
        <f ca="1"/>
        <v>45937</v>
      </c>
      <c r="I51" s="55">
        <f ca="1"/>
        <v>100.40625</v>
      </c>
      <c r="J51" s="78">
        <f ca="1"/>
        <v>45937</v>
      </c>
      <c r="K51" s="60">
        <f ca="1"/>
        <v>84</v>
      </c>
      <c r="L51" s="78">
        <f ca="1"/>
        <v>45937</v>
      </c>
      <c r="M51" s="55">
        <f ca="1"/>
        <v>99.8671875</v>
      </c>
    </row>
    <row r="52" spans="2:13" x14ac:dyDescent="0.3">
      <c r="B52" s="78">
        <f ca="1"/>
        <v>45938</v>
      </c>
      <c r="C52" s="60">
        <f ca="1"/>
        <v>111.26</v>
      </c>
      <c r="D52" s="78">
        <f ca="1"/>
        <v>45938</v>
      </c>
      <c r="E52" s="60">
        <f ca="1"/>
        <v>99.58984375</v>
      </c>
      <c r="F52" s="78">
        <f ca="1"/>
        <v>45938</v>
      </c>
      <c r="G52" s="55">
        <f ca="1"/>
        <v>101.046875</v>
      </c>
      <c r="H52" s="78">
        <f ca="1"/>
        <v>45938</v>
      </c>
      <c r="I52" s="55">
        <f ca="1"/>
        <v>100.6484375</v>
      </c>
      <c r="J52" s="78">
        <f ca="1"/>
        <v>45938</v>
      </c>
      <c r="K52" s="60">
        <f ca="1"/>
        <v>83.9</v>
      </c>
      <c r="L52" s="78">
        <f ca="1"/>
        <v>45938</v>
      </c>
      <c r="M52" s="55">
        <f ca="1"/>
        <v>99.84375</v>
      </c>
    </row>
    <row r="53" spans="2:13" x14ac:dyDescent="0.3">
      <c r="B53" s="78">
        <f ca="1"/>
        <v>45939</v>
      </c>
      <c r="C53" s="60">
        <f ca="1"/>
        <v>111.125</v>
      </c>
      <c r="D53" s="78">
        <f ca="1"/>
        <v>45939</v>
      </c>
      <c r="E53" s="60">
        <f ca="1"/>
        <v>99.53515625</v>
      </c>
      <c r="F53" s="78">
        <f ca="1"/>
        <v>45939</v>
      </c>
      <c r="G53" s="55">
        <f ca="1"/>
        <v>100.9296875</v>
      </c>
      <c r="H53" s="78">
        <f ca="1"/>
        <v>45939</v>
      </c>
      <c r="I53" s="55">
        <f ca="1"/>
        <v>100.4765625</v>
      </c>
      <c r="J53" s="78">
        <f ca="1"/>
        <v>45939</v>
      </c>
      <c r="K53" s="60">
        <f ca="1"/>
        <v>83.825500000000005</v>
      </c>
      <c r="L53" s="78">
        <f ca="1"/>
        <v>45939</v>
      </c>
      <c r="M53" s="55">
        <f ca="1"/>
        <v>99.7578125</v>
      </c>
    </row>
    <row r="54" spans="2:13" x14ac:dyDescent="0.3">
      <c r="B54" s="78"/>
      <c r="D54" s="78"/>
      <c r="F54" s="78"/>
      <c r="H54" s="78"/>
      <c r="J54" s="78"/>
      <c r="L54" s="78"/>
    </row>
    <row r="55" spans="2:13" x14ac:dyDescent="0.3">
      <c r="B55" s="78"/>
      <c r="D55" s="78"/>
      <c r="F55" s="78"/>
      <c r="H55" s="78"/>
      <c r="J55" s="78"/>
      <c r="L55" s="78"/>
    </row>
    <row r="56" spans="2:13" x14ac:dyDescent="0.3">
      <c r="B56" s="78"/>
      <c r="D56" s="78"/>
      <c r="F56" s="78"/>
      <c r="H56" s="78"/>
      <c r="J56" s="78"/>
      <c r="L56" s="78"/>
    </row>
    <row r="57" spans="2:13" x14ac:dyDescent="0.3">
      <c r="B57" s="78"/>
      <c r="D57" s="78"/>
      <c r="F57" s="78"/>
      <c r="H57" s="78"/>
      <c r="J57" s="78"/>
      <c r="L57" s="78"/>
    </row>
    <row r="58" spans="2:13" x14ac:dyDescent="0.3">
      <c r="B58" s="78"/>
      <c r="D58" s="78"/>
      <c r="F58" s="78"/>
      <c r="H58" s="78"/>
      <c r="J58" s="78"/>
      <c r="L58" s="78"/>
    </row>
    <row r="59" spans="2:13" x14ac:dyDescent="0.3">
      <c r="B59" s="78"/>
      <c r="D59" s="78"/>
      <c r="F59" s="78"/>
      <c r="H59" s="78"/>
      <c r="J59" s="78"/>
      <c r="L59" s="78"/>
    </row>
    <row r="60" spans="2:13" x14ac:dyDescent="0.3">
      <c r="B60" s="78"/>
      <c r="D60" s="78"/>
      <c r="F60" s="78"/>
      <c r="H60" s="78"/>
      <c r="J60" s="78"/>
      <c r="L60" s="78"/>
    </row>
    <row r="61" spans="2:13" x14ac:dyDescent="0.3">
      <c r="B61" s="78"/>
      <c r="D61" s="78"/>
      <c r="F61" s="78"/>
      <c r="H61" s="78"/>
      <c r="J61" s="78"/>
      <c r="L61" s="78"/>
    </row>
    <row r="62" spans="2:13" x14ac:dyDescent="0.3">
      <c r="H62" s="78"/>
      <c r="J62" s="78"/>
      <c r="L62" s="78"/>
    </row>
    <row r="63" spans="2:13" x14ac:dyDescent="0.3">
      <c r="H63" s="78"/>
      <c r="J63" s="78"/>
    </row>
    <row r="64" spans="2:13" x14ac:dyDescent="0.3">
      <c r="H64" s="78"/>
      <c r="J64" s="78"/>
    </row>
    <row r="65" spans="8:10" x14ac:dyDescent="0.3">
      <c r="H65" s="78"/>
      <c r="J65" s="78"/>
    </row>
    <row r="66" spans="8:10" x14ac:dyDescent="0.3">
      <c r="H66" s="78"/>
      <c r="J66" s="78"/>
    </row>
    <row r="67" spans="8:10" x14ac:dyDescent="0.3">
      <c r="H67" s="78"/>
      <c r="J67" s="78"/>
    </row>
    <row r="68" spans="8:10" x14ac:dyDescent="0.3">
      <c r="H68" s="78"/>
      <c r="J68" s="78"/>
    </row>
    <row r="69" spans="8:10" x14ac:dyDescent="0.3">
      <c r="H69" s="78"/>
      <c r="J69" s="78"/>
    </row>
    <row r="70" spans="8:10" x14ac:dyDescent="0.3">
      <c r="H70" s="78"/>
    </row>
    <row r="71" spans="8:10" x14ac:dyDescent="0.3">
      <c r="H71" s="78"/>
    </row>
    <row r="72" spans="8:10" x14ac:dyDescent="0.3">
      <c r="H72" s="78"/>
    </row>
    <row r="73" spans="8:10" x14ac:dyDescent="0.3">
      <c r="H73" s="78"/>
    </row>
  </sheetData>
  <mergeCells count="6">
    <mergeCell ref="Q12:S12"/>
    <mergeCell ref="B12:D12"/>
    <mergeCell ref="E12:G12"/>
    <mergeCell ref="H12:J12"/>
    <mergeCell ref="K12:M12"/>
    <mergeCell ref="N12:P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ACAFP Basis</vt:lpstr>
      <vt:lpstr>EU Defence vs Oil</vt:lpstr>
      <vt:lpstr>EU Insurance CDS RV</vt:lpstr>
      <vt:lpstr>Barclays</vt:lpstr>
      <vt:lpstr>KSA RV</vt:lpstr>
      <vt:lpstr>EU Banks CDS RV</vt:lpstr>
      <vt:lpstr>EU ETF Compression</vt:lpstr>
      <vt:lpstr>US ETF Compression</vt:lpstr>
      <vt:lpstr>US IG Cash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2025-10-09T16:06:10Z</dcterms:modified>
</cp:coreProperties>
</file>