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9020" windowHeight="12585" tabRatio="682" activeTab="2"/>
  </bookViews>
  <sheets>
    <sheet name="Definitions" sheetId="1" r:id="rId1"/>
    <sheet name="Data" sheetId="2" r:id="rId2"/>
    <sheet name="Charts" sheetId="3" r:id="rId3"/>
  </sheets>
  <definedNames>
    <definedName name="_xlnm.Print_Area" localSheetId="1">Data!$B$2:$V$25</definedName>
    <definedName name="_xlnm.Print_Area" localSheetId="0">Definitions!$A$1:$E$22</definedName>
  </definedNames>
  <calcPr calcId="125725"/>
</workbook>
</file>

<file path=xl/calcChain.xml><?xml version="1.0" encoding="utf-8"?>
<calcChain xmlns="http://schemas.openxmlformats.org/spreadsheetml/2006/main">
  <c r="H24" i="2"/>
  <c r="F24"/>
  <c r="G24"/>
  <c r="M24"/>
  <c r="P24" s="1"/>
  <c r="S24"/>
  <c r="N24"/>
  <c r="H23"/>
  <c r="G23"/>
  <c r="F23"/>
  <c r="S23"/>
  <c r="H22"/>
  <c r="G22"/>
  <c r="F22"/>
  <c r="M22"/>
  <c r="P22" s="1"/>
  <c r="S22"/>
  <c r="N22"/>
  <c r="H19"/>
  <c r="I19" s="1"/>
  <c r="J19" s="1"/>
  <c r="H20"/>
  <c r="H21"/>
  <c r="G21"/>
  <c r="G20"/>
  <c r="G19"/>
  <c r="F21"/>
  <c r="F20"/>
  <c r="F19"/>
  <c r="S21"/>
  <c r="M20"/>
  <c r="P20" s="1"/>
  <c r="S20"/>
  <c r="T19"/>
  <c r="M19"/>
  <c r="P19" s="1"/>
  <c r="N19"/>
  <c r="H18"/>
  <c r="I18" s="1"/>
  <c r="G18"/>
  <c r="F18"/>
  <c r="M18"/>
  <c r="P18" s="1"/>
  <c r="G17"/>
  <c r="H17"/>
  <c r="F17"/>
  <c r="S9"/>
  <c r="T9"/>
  <c r="T10"/>
  <c r="T11"/>
  <c r="T12"/>
  <c r="T13"/>
  <c r="T14"/>
  <c r="T15"/>
  <c r="T16"/>
  <c r="S10"/>
  <c r="S11"/>
  <c r="S12"/>
  <c r="S13"/>
  <c r="S14"/>
  <c r="S15"/>
  <c r="S16"/>
  <c r="T8"/>
  <c r="S8"/>
  <c r="G16"/>
  <c r="H16"/>
  <c r="M16" s="1"/>
  <c r="P16" s="1"/>
  <c r="H15"/>
  <c r="F16"/>
  <c r="G15"/>
  <c r="K15" s="1"/>
  <c r="L15" s="1"/>
  <c r="F15"/>
  <c r="F14"/>
  <c r="K14" s="1"/>
  <c r="L14" s="1"/>
  <c r="G14"/>
  <c r="G13"/>
  <c r="H14"/>
  <c r="I14"/>
  <c r="H13"/>
  <c r="F13"/>
  <c r="I8"/>
  <c r="M12"/>
  <c r="P12" s="1"/>
  <c r="K12"/>
  <c r="L12" s="1"/>
  <c r="I12"/>
  <c r="J12" s="1"/>
  <c r="H12"/>
  <c r="H11"/>
  <c r="F12"/>
  <c r="F11"/>
  <c r="N11" s="1"/>
  <c r="G12"/>
  <c r="N12" s="1"/>
  <c r="U12" s="1"/>
  <c r="V12" s="1"/>
  <c r="G11"/>
  <c r="M11" s="1"/>
  <c r="P11" s="1"/>
  <c r="H10"/>
  <c r="G10"/>
  <c r="F10"/>
  <c r="U8"/>
  <c r="V8" s="1"/>
  <c r="H9"/>
  <c r="G9"/>
  <c r="F9"/>
  <c r="M9"/>
  <c r="P9" s="1"/>
  <c r="O9" s="1"/>
  <c r="N8"/>
  <c r="M8"/>
  <c r="P8" s="1"/>
  <c r="K8"/>
  <c r="L8" s="1"/>
  <c r="J8"/>
  <c r="O24" l="1"/>
  <c r="R24"/>
  <c r="Q24" s="1"/>
  <c r="U24"/>
  <c r="V24" s="1"/>
  <c r="I24"/>
  <c r="J24" s="1"/>
  <c r="T24"/>
  <c r="K24"/>
  <c r="L24" s="1"/>
  <c r="N23"/>
  <c r="I23"/>
  <c r="J23" s="1"/>
  <c r="M23"/>
  <c r="P23" s="1"/>
  <c r="T23"/>
  <c r="K23"/>
  <c r="L23" s="1"/>
  <c r="O22"/>
  <c r="R22"/>
  <c r="Q22" s="1"/>
  <c r="U22"/>
  <c r="V22" s="1"/>
  <c r="I22"/>
  <c r="J22" s="1"/>
  <c r="T22"/>
  <c r="K22"/>
  <c r="L22" s="1"/>
  <c r="T20"/>
  <c r="U19"/>
  <c r="V19" s="1"/>
  <c r="N21"/>
  <c r="I21"/>
  <c r="J21" s="1"/>
  <c r="M21"/>
  <c r="P21" s="1"/>
  <c r="T21"/>
  <c r="K21"/>
  <c r="L21" s="1"/>
  <c r="O20"/>
  <c r="R20"/>
  <c r="Q20" s="1"/>
  <c r="N20"/>
  <c r="U20" s="1"/>
  <c r="V20" s="1"/>
  <c r="I20"/>
  <c r="J20" s="1"/>
  <c r="K20"/>
  <c r="L20" s="1"/>
  <c r="R19"/>
  <c r="Q19" s="1"/>
  <c r="O19"/>
  <c r="K19"/>
  <c r="L19" s="1"/>
  <c r="S19"/>
  <c r="S18"/>
  <c r="N18"/>
  <c r="U18" s="1"/>
  <c r="V18" s="1"/>
  <c r="O18"/>
  <c r="R18"/>
  <c r="Q18" s="1"/>
  <c r="T18"/>
  <c r="J18"/>
  <c r="K18"/>
  <c r="L18" s="1"/>
  <c r="S17"/>
  <c r="K17"/>
  <c r="L17" s="1"/>
  <c r="N17"/>
  <c r="I17"/>
  <c r="J17" s="1"/>
  <c r="M17"/>
  <c r="P17" s="1"/>
  <c r="T17"/>
  <c r="O11"/>
  <c r="R11"/>
  <c r="Q11" s="1"/>
  <c r="U11"/>
  <c r="V11" s="1"/>
  <c r="R12"/>
  <c r="Q12" s="1"/>
  <c r="O12"/>
  <c r="M13"/>
  <c r="P13" s="1"/>
  <c r="M15"/>
  <c r="P15" s="1"/>
  <c r="O15" s="1"/>
  <c r="I11"/>
  <c r="J11" s="1"/>
  <c r="K11"/>
  <c r="L11" s="1"/>
  <c r="I13"/>
  <c r="M14"/>
  <c r="P14" s="1"/>
  <c r="O14" s="1"/>
  <c r="I15"/>
  <c r="J15" s="1"/>
  <c r="R16"/>
  <c r="Q16" s="1"/>
  <c r="O16"/>
  <c r="K16"/>
  <c r="L16" s="1"/>
  <c r="N16"/>
  <c r="U16" s="1"/>
  <c r="V16" s="1"/>
  <c r="I16"/>
  <c r="J16" s="1"/>
  <c r="N15"/>
  <c r="R15"/>
  <c r="Q15" s="1"/>
  <c r="J14"/>
  <c r="N14"/>
  <c r="K13"/>
  <c r="L13" s="1"/>
  <c r="N13"/>
  <c r="U13" s="1"/>
  <c r="V13" s="1"/>
  <c r="R13"/>
  <c r="Q13" s="1"/>
  <c r="O13"/>
  <c r="J13"/>
  <c r="M10"/>
  <c r="P10" s="1"/>
  <c r="R10" s="1"/>
  <c r="Q10" s="1"/>
  <c r="K10"/>
  <c r="L10" s="1"/>
  <c r="N10"/>
  <c r="I10"/>
  <c r="J10" s="1"/>
  <c r="I9"/>
  <c r="J9" s="1"/>
  <c r="K9"/>
  <c r="L9" s="1"/>
  <c r="N9"/>
  <c r="U9" s="1"/>
  <c r="V9" s="1"/>
  <c r="R9"/>
  <c r="Q9" s="1"/>
  <c r="R8"/>
  <c r="Q8" s="1"/>
  <c r="O8"/>
  <c r="U23" l="1"/>
  <c r="V23" s="1"/>
  <c r="O23"/>
  <c r="R23"/>
  <c r="Q23" s="1"/>
  <c r="U21"/>
  <c r="V21" s="1"/>
  <c r="O21"/>
  <c r="R21"/>
  <c r="Q21" s="1"/>
  <c r="U17"/>
  <c r="V17" s="1"/>
  <c r="R17"/>
  <c r="Q17" s="1"/>
  <c r="O17"/>
  <c r="R14"/>
  <c r="Q14" s="1"/>
  <c r="U14"/>
  <c r="V14" s="1"/>
  <c r="U15"/>
  <c r="V15" s="1"/>
  <c r="U10"/>
  <c r="V10" s="1"/>
  <c r="O10"/>
</calcChain>
</file>

<file path=xl/sharedStrings.xml><?xml version="1.0" encoding="utf-8"?>
<sst xmlns="http://schemas.openxmlformats.org/spreadsheetml/2006/main" count="137" uniqueCount="92">
  <si>
    <t>S#</t>
  </si>
  <si>
    <t>Metric</t>
  </si>
  <si>
    <t>Description</t>
  </si>
  <si>
    <t>Actual Cost</t>
  </si>
  <si>
    <t>Earned Value</t>
  </si>
  <si>
    <t>Planned Value</t>
  </si>
  <si>
    <t>Cost Performance Index</t>
  </si>
  <si>
    <t>Cost Variance</t>
  </si>
  <si>
    <t>Schedule Variance</t>
  </si>
  <si>
    <t>Schedule Performance Index</t>
  </si>
  <si>
    <t>BAC</t>
  </si>
  <si>
    <t>AC</t>
  </si>
  <si>
    <t>EV</t>
  </si>
  <si>
    <t>PV</t>
  </si>
  <si>
    <t>EAC</t>
  </si>
  <si>
    <t>ETC</t>
  </si>
  <si>
    <t>CPI</t>
  </si>
  <si>
    <t>VAC</t>
  </si>
  <si>
    <t>CV</t>
  </si>
  <si>
    <t>SV</t>
  </si>
  <si>
    <t>SPI</t>
  </si>
  <si>
    <t>Status</t>
  </si>
  <si>
    <t>&lt;0.65</t>
  </si>
  <si>
    <t>Budget</t>
  </si>
  <si>
    <t>Earned</t>
  </si>
  <si>
    <t>Actual</t>
  </si>
  <si>
    <t>Forecast</t>
  </si>
  <si>
    <t>Average Index</t>
  </si>
  <si>
    <t>Project Performance Report</t>
  </si>
  <si>
    <t>VAC (%)</t>
  </si>
  <si>
    <t>VAC ($)</t>
  </si>
  <si>
    <t>GREEN = On track</t>
  </si>
  <si>
    <t>YELLOW = Slightly behind schedule/budget</t>
  </si>
  <si>
    <t>RED = Needs immediate attention</t>
  </si>
  <si>
    <t>Cost efficiency ratio</t>
  </si>
  <si>
    <t>Status color key:</t>
  </si>
  <si>
    <t>Average of CPI and SPI</t>
  </si>
  <si>
    <t>EV-AC</t>
  </si>
  <si>
    <t>EV/AC</t>
  </si>
  <si>
    <t>EV-PV</t>
  </si>
  <si>
    <t>EV/PV</t>
  </si>
  <si>
    <t>EAC-AC</t>
  </si>
  <si>
    <t>BAC/CPI</t>
  </si>
  <si>
    <t>BAC-EAC</t>
  </si>
  <si>
    <t>(CPI+SPI)/2</t>
  </si>
  <si>
    <t>Estimate at Completion</t>
  </si>
  <si>
    <t>Variance at Completion</t>
  </si>
  <si>
    <t>Budget at Completion</t>
  </si>
  <si>
    <t>Estimate to Completion</t>
  </si>
  <si>
    <t>Schedule efficiency ratio</t>
  </si>
  <si>
    <t>Expected additional cost needed</t>
  </si>
  <si>
    <t>Expected total cost</t>
  </si>
  <si>
    <t>Estimated cost overrun at end of project</t>
  </si>
  <si>
    <t>n/a</t>
  </si>
  <si>
    <t>Baseline project cost</t>
  </si>
  <si>
    <t>Physical work scheduled for completion during a given period</t>
  </si>
  <si>
    <r>
      <t>³</t>
    </r>
    <r>
      <rPr>
        <sz val="10"/>
        <rFont val="Arial"/>
      </rPr>
      <t>1.0</t>
    </r>
  </si>
  <si>
    <r>
      <t>³</t>
    </r>
    <r>
      <rPr>
        <sz val="10"/>
        <rFont val="Arial"/>
      </rPr>
      <t xml:space="preserve">0.85 but </t>
    </r>
    <r>
      <rPr>
        <sz val="10"/>
        <rFont val="Symbol"/>
        <family val="1"/>
        <charset val="2"/>
      </rPr>
      <t>&lt;</t>
    </r>
    <r>
      <rPr>
        <sz val="10"/>
        <rFont val="Arial"/>
      </rPr>
      <t>1.0</t>
    </r>
  </si>
  <si>
    <r>
      <t>³</t>
    </r>
    <r>
      <rPr>
        <sz val="10"/>
        <rFont val="Arial"/>
      </rPr>
      <t xml:space="preserve">0.65 but </t>
    </r>
    <r>
      <rPr>
        <sz val="10"/>
        <rFont val="Symbol"/>
        <family val="1"/>
        <charset val="2"/>
      </rPr>
      <t>&lt;</t>
    </r>
    <r>
      <rPr>
        <sz val="10"/>
        <rFont val="Arial"/>
      </rPr>
      <t>0.85</t>
    </r>
  </si>
  <si>
    <t>BLACK = Needs to be killed or restored</t>
  </si>
  <si>
    <t>Physical work completed during a given period</t>
  </si>
  <si>
    <t>Total costs incurred in completing work during a given period</t>
  </si>
  <si>
    <t>Formula/Value</t>
  </si>
  <si>
    <t>Schedule slipped during a given period</t>
  </si>
  <si>
    <t>Cost overrun during a given period</t>
  </si>
  <si>
    <t>Abbrev.</t>
  </si>
  <si>
    <t>Project Performance Metric Definitions</t>
  </si>
  <si>
    <t>ID</t>
  </si>
  <si>
    <t>Project Name</t>
  </si>
  <si>
    <t>FSEP</t>
  </si>
  <si>
    <t>Formal SE Processes</t>
  </si>
  <si>
    <t xml:space="preserve">PV </t>
  </si>
  <si>
    <t>$</t>
  </si>
  <si>
    <t>%</t>
  </si>
  <si>
    <t>Date</t>
  </si>
  <si>
    <t>Project: Formal Software Engineering Processes</t>
  </si>
  <si>
    <t>Project Manager: Vasu V</t>
  </si>
  <si>
    <t>TCPI</t>
  </si>
  <si>
    <t>Cost</t>
  </si>
  <si>
    <t>Sched</t>
  </si>
  <si>
    <t xml:space="preserve">Performance </t>
  </si>
  <si>
    <t>To-Complete Performance Index</t>
  </si>
  <si>
    <t>TCPI-C</t>
  </si>
  <si>
    <t>BAC-EV)/(BAC-AC)</t>
  </si>
  <si>
    <t>TCPI-S</t>
  </si>
  <si>
    <t>(BAC-EV)/(BAC-PV)</t>
  </si>
  <si>
    <t>Ratio of remaining work and remaining funds</t>
  </si>
  <si>
    <t>Ratio of remaing work and remaining time</t>
  </si>
  <si>
    <t xml:space="preserve">    TCPI Cost</t>
  </si>
  <si>
    <t>Ratio of remaining work and remaining resources</t>
  </si>
  <si>
    <t xml:space="preserve">    TCPI Schedule*</t>
  </si>
  <si>
    <t>*Note: TCPI-S is not a standard and is not defined in literature.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</si>
</sst>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3" formatCode="_(* #,##0.00_);_(* \(#,##0.00\);_(* &quot;-&quot;??_);_(@_)"/>
    <numFmt numFmtId="164" formatCode="0_);[Red]\(0\)"/>
    <numFmt numFmtId="165" formatCode="&quot;$&quot;#,##0.00;[Red]&quot;$&quot;#,##0.00"/>
    <numFmt numFmtId="166" formatCode="&quot;$&quot;#,##0.00"/>
    <numFmt numFmtId="167" formatCode="0.00_);[Red]\(0.00\)"/>
  </numFmts>
  <fonts count="1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55"/>
      </top>
      <bottom style="thin">
        <color indexed="55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55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8"/>
      </left>
      <right style="thin">
        <color indexed="64"/>
      </right>
      <top style="thin">
        <color indexed="55"/>
      </top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55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55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left" indent="2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164" fontId="0" fillId="0" borderId="1" xfId="0" applyNumberFormat="1" applyFill="1" applyBorder="1"/>
    <xf numFmtId="9" fontId="0" fillId="0" borderId="1" xfId="0" applyNumberFormat="1" applyFill="1" applyBorder="1"/>
    <xf numFmtId="2" fontId="0" fillId="0" borderId="1" xfId="0" applyNumberFormat="1" applyFill="1" applyBorder="1"/>
    <xf numFmtId="164" fontId="3" fillId="0" borderId="1" xfId="0" applyNumberFormat="1" applyFont="1" applyFill="1" applyBorder="1"/>
    <xf numFmtId="0" fontId="7" fillId="4" borderId="22" xfId="0" applyFont="1" applyFill="1" applyBorder="1" applyAlignment="1">
      <alignment horizontal="center"/>
    </xf>
    <xf numFmtId="2" fontId="7" fillId="3" borderId="22" xfId="0" applyNumberFormat="1" applyFont="1" applyFill="1" applyBorder="1" applyAlignment="1">
      <alignment horizontal="center" vertical="center" wrapText="1"/>
    </xf>
    <xf numFmtId="164" fontId="7" fillId="3" borderId="22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10" fillId="0" borderId="4" xfId="0" applyFont="1" applyFill="1" applyBorder="1"/>
    <xf numFmtId="165" fontId="10" fillId="0" borderId="4" xfId="0" applyNumberFormat="1" applyFont="1" applyFill="1" applyBorder="1"/>
    <xf numFmtId="166" fontId="10" fillId="0" borderId="4" xfId="0" applyNumberFormat="1" applyFont="1" applyFill="1" applyBorder="1"/>
    <xf numFmtId="166" fontId="10" fillId="0" borderId="8" xfId="0" applyNumberFormat="1" applyFont="1" applyFill="1" applyBorder="1"/>
    <xf numFmtId="166" fontId="10" fillId="0" borderId="7" xfId="0" applyNumberFormat="1" applyFont="1" applyFill="1" applyBorder="1"/>
    <xf numFmtId="9" fontId="10" fillId="0" borderId="4" xfId="0" applyNumberFormat="1" applyFont="1" applyFill="1" applyBorder="1"/>
    <xf numFmtId="6" fontId="10" fillId="0" borderId="4" xfId="0" applyNumberFormat="1" applyFont="1" applyFill="1" applyBorder="1"/>
    <xf numFmtId="2" fontId="10" fillId="0" borderId="4" xfId="0" applyNumberFormat="1" applyFont="1" applyFill="1" applyBorder="1"/>
    <xf numFmtId="164" fontId="10" fillId="0" borderId="4" xfId="0" applyNumberFormat="1" applyFont="1" applyFill="1" applyBorder="1"/>
    <xf numFmtId="0" fontId="4" fillId="0" borderId="0" xfId="0" applyFont="1"/>
    <xf numFmtId="0" fontId="0" fillId="0" borderId="0" xfId="0" applyFill="1" applyBorder="1" applyAlignment="1"/>
    <xf numFmtId="0" fontId="9" fillId="0" borderId="0" xfId="0" applyFont="1" applyFill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10" fillId="0" borderId="4" xfId="0" applyNumberFormat="1" applyFont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7" fontId="10" fillId="0" borderId="4" xfId="0" applyNumberFormat="1" applyFont="1" applyFill="1" applyBorder="1"/>
    <xf numFmtId="43" fontId="10" fillId="0" borderId="4" xfId="0" applyNumberFormat="1" applyFont="1" applyFill="1" applyBorder="1"/>
    <xf numFmtId="0" fontId="7" fillId="3" borderId="22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left" vertical="center"/>
    </xf>
    <xf numFmtId="0" fontId="0" fillId="0" borderId="0" xfId="0" applyAlignment="1"/>
    <xf numFmtId="0" fontId="7" fillId="8" borderId="23" xfId="0" applyFont="1" applyFill="1" applyBorder="1" applyAlignment="1">
      <alignment horizontal="center" wrapText="1"/>
    </xf>
    <xf numFmtId="0" fontId="7" fillId="8" borderId="25" xfId="0" applyFont="1" applyFill="1" applyBorder="1" applyAlignment="1">
      <alignment horizontal="center" wrapText="1"/>
    </xf>
    <xf numFmtId="0" fontId="7" fillId="4" borderId="22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left" vertical="center" shrinkToFit="1"/>
    </xf>
    <xf numFmtId="0" fontId="8" fillId="7" borderId="24" xfId="0" applyFont="1" applyFill="1" applyBorder="1" applyAlignment="1">
      <alignment horizontal="left" vertical="center" shrinkToFit="1"/>
    </xf>
    <xf numFmtId="0" fontId="8" fillId="7" borderId="25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0"/>
              <a:t>Cumulative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Data!$M$8:$M$25</c:f>
              <c:numCache>
                <c:formatCode>0.00</c:formatCode>
                <c:ptCount val="18"/>
                <c:pt idx="0">
                  <c:v>1.1512</c:v>
                </c:pt>
                <c:pt idx="1">
                  <c:v>1.0249999999999999</c:v>
                </c:pt>
                <c:pt idx="2">
                  <c:v>1.0684182305630028</c:v>
                </c:pt>
                <c:pt idx="3">
                  <c:v>1.2329782082324454</c:v>
                </c:pt>
                <c:pt idx="4">
                  <c:v>1.2596061269146608</c:v>
                </c:pt>
                <c:pt idx="5">
                  <c:v>1.3257485029940119</c:v>
                </c:pt>
                <c:pt idx="6">
                  <c:v>1.4376623376623376</c:v>
                </c:pt>
                <c:pt idx="7">
                  <c:v>1.5035653650254668</c:v>
                </c:pt>
                <c:pt idx="8">
                  <c:v>1.5788654781199352</c:v>
                </c:pt>
                <c:pt idx="9">
                  <c:v>1.6133023255813954</c:v>
                </c:pt>
                <c:pt idx="10">
                  <c:v>1.520343347639485</c:v>
                </c:pt>
                <c:pt idx="11">
                  <c:v>1.5375000000000001</c:v>
                </c:pt>
                <c:pt idx="12">
                  <c:v>1.5188390501319262</c:v>
                </c:pt>
                <c:pt idx="13">
                  <c:v>1.5240300375469336</c:v>
                </c:pt>
                <c:pt idx="14">
                  <c:v>1.5446511627906976</c:v>
                </c:pt>
                <c:pt idx="15">
                  <c:v>1.5181714285714285</c:v>
                </c:pt>
                <c:pt idx="16">
                  <c:v>1.5154652406417113</c:v>
                </c:pt>
              </c:numCache>
            </c:numRef>
          </c:val>
        </c:ser>
        <c:ser>
          <c:idx val="1"/>
          <c:order val="1"/>
          <c:tx>
            <c:v>SPI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Data!$N$8:$N$25</c:f>
              <c:numCache>
                <c:formatCode>0.00</c:formatCode>
                <c:ptCount val="18"/>
                <c:pt idx="0">
                  <c:v>1.6411952554744527</c:v>
                </c:pt>
                <c:pt idx="1">
                  <c:v>1.2051136363636363</c:v>
                </c:pt>
                <c:pt idx="2">
                  <c:v>1.2236538461538462</c:v>
                </c:pt>
                <c:pt idx="3">
                  <c:v>1.3113709677419356</c:v>
                </c:pt>
                <c:pt idx="4">
                  <c:v>1.2765277777777779</c:v>
                </c:pt>
                <c:pt idx="5">
                  <c:v>1.2932926829268294</c:v>
                </c:pt>
                <c:pt idx="6">
                  <c:v>1.3448369565217393</c:v>
                </c:pt>
                <c:pt idx="7">
                  <c:v>1.3862745098039215</c:v>
                </c:pt>
                <c:pt idx="8">
                  <c:v>1.3887499999999999</c:v>
                </c:pt>
                <c:pt idx="9">
                  <c:v>1.3618442622950819</c:v>
                </c:pt>
                <c:pt idx="10">
                  <c:v>1.2854545454545454</c:v>
                </c:pt>
                <c:pt idx="11">
                  <c:v>1.244718309859155</c:v>
                </c:pt>
                <c:pt idx="12">
                  <c:v>1.2093421052631579</c:v>
                </c:pt>
                <c:pt idx="13">
                  <c:v>1.2001543209876544</c:v>
                </c:pt>
                <c:pt idx="14">
                  <c:v>1.1714825581395349</c:v>
                </c:pt>
                <c:pt idx="15">
                  <c:v>1.1653846153846155</c:v>
                </c:pt>
                <c:pt idx="16">
                  <c:v>1.1200000000000001</c:v>
                </c:pt>
              </c:numCache>
            </c:numRef>
          </c:val>
        </c:ser>
        <c:marker val="1"/>
        <c:axId val="68634112"/>
        <c:axId val="68635648"/>
      </c:lineChart>
      <c:dateAx>
        <c:axId val="68634112"/>
        <c:scaling>
          <c:orientation val="minMax"/>
        </c:scaling>
        <c:axPos val="b"/>
        <c:numFmt formatCode="m/d/yyyy" sourceLinked="1"/>
        <c:majorTickMark val="none"/>
        <c:tickLblPos val="nextTo"/>
        <c:crossAx val="68635648"/>
        <c:crosses val="autoZero"/>
        <c:auto val="1"/>
        <c:lblOffset val="100"/>
        <c:majorUnit val="7"/>
        <c:majorTimeUnit val="days"/>
      </c:dateAx>
      <c:valAx>
        <c:axId val="686356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  </a:t>
                </a:r>
                <a:endParaRPr lang="en-US"/>
              </a:p>
            </c:rich>
          </c:tx>
          <c:layout/>
        </c:title>
        <c:numFmt formatCode="0.00" sourceLinked="1"/>
        <c:majorTickMark val="none"/>
        <c:tickLblPos val="nextTo"/>
        <c:crossAx val="6863411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0"/>
              <a:t>Variance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Cost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Data!$J$8:$J$25</c:f>
              <c:numCache>
                <c:formatCode>0%</c:formatCode>
                <c:ptCount val="18"/>
                <c:pt idx="0">
                  <c:v>0.21555656934306569</c:v>
                </c:pt>
                <c:pt idx="1">
                  <c:v>2.9393015521064301E-2</c:v>
                </c:pt>
                <c:pt idx="2">
                  <c:v>7.8359043846848719E-2</c:v>
                </c:pt>
                <c:pt idx="3">
                  <c:v>0.24779096366232481</c:v>
                </c:pt>
                <c:pt idx="4">
                  <c:v>0.26309369667770754</c:v>
                </c:pt>
                <c:pt idx="5">
                  <c:v>0.3177738118844603</c:v>
                </c:pt>
                <c:pt idx="6">
                  <c:v>0.40940384313263423</c:v>
                </c:pt>
                <c:pt idx="7">
                  <c:v>0.46428299413713092</c:v>
                </c:pt>
                <c:pt idx="8">
                  <c:v>0.50916271454381212</c:v>
                </c:pt>
                <c:pt idx="9">
                  <c:v>0.5177096939002177</c:v>
                </c:pt>
                <c:pt idx="10">
                  <c:v>0.43995175330541181</c:v>
                </c:pt>
                <c:pt idx="11">
                  <c:v>0.43514542539791595</c:v>
                </c:pt>
                <c:pt idx="12">
                  <c:v>0.41311415394855699</c:v>
                </c:pt>
                <c:pt idx="13">
                  <c:v>0.41266700681410107</c:v>
                </c:pt>
                <c:pt idx="14">
                  <c:v>0.4130701823491103</c:v>
                </c:pt>
                <c:pt idx="15">
                  <c:v>0.39776075324855814</c:v>
                </c:pt>
                <c:pt idx="16">
                  <c:v>0.38095302619692867</c:v>
                </c:pt>
              </c:numCache>
            </c:numRef>
          </c:val>
        </c:ser>
        <c:ser>
          <c:idx val="1"/>
          <c:order val="1"/>
          <c:tx>
            <c:v>Schedule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Data!$L$8:$L$25</c:f>
              <c:numCache>
                <c:formatCode>0%</c:formatCode>
                <c:ptCount val="18"/>
                <c:pt idx="0">
                  <c:v>0.64119525547445255</c:v>
                </c:pt>
                <c:pt idx="1">
                  <c:v>0.20511363636363636</c:v>
                </c:pt>
                <c:pt idx="2">
                  <c:v>0.22365384615384609</c:v>
                </c:pt>
                <c:pt idx="3">
                  <c:v>0.31137096774193557</c:v>
                </c:pt>
                <c:pt idx="4">
                  <c:v>0.27652777777777787</c:v>
                </c:pt>
                <c:pt idx="5">
                  <c:v>0.29329268292682931</c:v>
                </c:pt>
                <c:pt idx="6">
                  <c:v>0.34483695652173918</c:v>
                </c:pt>
                <c:pt idx="7">
                  <c:v>0.38627450980392164</c:v>
                </c:pt>
                <c:pt idx="8">
                  <c:v>0.38874999999999993</c:v>
                </c:pt>
                <c:pt idx="9">
                  <c:v>0.36184426229508204</c:v>
                </c:pt>
                <c:pt idx="10">
                  <c:v>0.28545454545454541</c:v>
                </c:pt>
                <c:pt idx="11">
                  <c:v>0.24471830985915496</c:v>
                </c:pt>
                <c:pt idx="12">
                  <c:v>0.20934210526315786</c:v>
                </c:pt>
                <c:pt idx="13">
                  <c:v>0.20015432098765437</c:v>
                </c:pt>
                <c:pt idx="14">
                  <c:v>0.17148255813953484</c:v>
                </c:pt>
                <c:pt idx="15">
                  <c:v>0.16538461538461544</c:v>
                </c:pt>
                <c:pt idx="16">
                  <c:v>0.12000000000000004</c:v>
                </c:pt>
              </c:numCache>
            </c:numRef>
          </c:val>
        </c:ser>
        <c:marker val="1"/>
        <c:axId val="68669824"/>
        <c:axId val="68671360"/>
      </c:lineChart>
      <c:dateAx>
        <c:axId val="68669824"/>
        <c:scaling>
          <c:orientation val="minMax"/>
        </c:scaling>
        <c:axPos val="b"/>
        <c:numFmt formatCode="m/d/yyyy" sourceLinked="1"/>
        <c:majorTickMark val="none"/>
        <c:tickLblPos val="nextTo"/>
        <c:crossAx val="68671360"/>
        <c:crosses val="autoZero"/>
        <c:auto val="1"/>
        <c:lblOffset val="100"/>
        <c:majorUnit val="7"/>
        <c:majorTimeUnit val="days"/>
      </c:dateAx>
      <c:valAx>
        <c:axId val="686713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0%" sourceLinked="1"/>
        <c:majorTickMark val="none"/>
        <c:tickLblPos val="nextTo"/>
        <c:crossAx val="68669824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0"/>
              <a:t>Values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EV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Data!$G$8:$G$25</c:f>
              <c:numCache>
                <c:formatCode>"$"#,##0.00</c:formatCode>
                <c:ptCount val="18"/>
                <c:pt idx="0">
                  <c:v>7195</c:v>
                </c:pt>
                <c:pt idx="1">
                  <c:v>8302.5</c:v>
                </c:pt>
                <c:pt idx="2">
                  <c:v>9963</c:v>
                </c:pt>
                <c:pt idx="3">
                  <c:v>12730.5</c:v>
                </c:pt>
                <c:pt idx="4">
                  <c:v>14391</c:v>
                </c:pt>
                <c:pt idx="5">
                  <c:v>16605</c:v>
                </c:pt>
                <c:pt idx="6">
                  <c:v>19372.5</c:v>
                </c:pt>
                <c:pt idx="7">
                  <c:v>22140</c:v>
                </c:pt>
                <c:pt idx="8">
                  <c:v>24354</c:v>
                </c:pt>
                <c:pt idx="9">
                  <c:v>26014.5</c:v>
                </c:pt>
                <c:pt idx="10">
                  <c:v>26568</c:v>
                </c:pt>
                <c:pt idx="11">
                  <c:v>27675</c:v>
                </c:pt>
                <c:pt idx="12">
                  <c:v>28782</c:v>
                </c:pt>
                <c:pt idx="13">
                  <c:v>30442.5</c:v>
                </c:pt>
                <c:pt idx="14">
                  <c:v>31549.5</c:v>
                </c:pt>
                <c:pt idx="15">
                  <c:v>33210</c:v>
                </c:pt>
                <c:pt idx="16">
                  <c:v>35424</c:v>
                </c:pt>
              </c:numCache>
            </c:numRef>
          </c:val>
        </c:ser>
        <c:ser>
          <c:idx val="1"/>
          <c:order val="1"/>
          <c:tx>
            <c:v>PV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Data!$F$8:$F$25</c:f>
              <c:numCache>
                <c:formatCode>"$"#,##0.00</c:formatCode>
                <c:ptCount val="18"/>
                <c:pt idx="0">
                  <c:v>4384</c:v>
                </c:pt>
                <c:pt idx="1">
                  <c:v>6889.3917963224894</c:v>
                </c:pt>
                <c:pt idx="2">
                  <c:v>8142.0084865629424</c:v>
                </c:pt>
                <c:pt idx="3">
                  <c:v>9707.7793493635072</c:v>
                </c:pt>
                <c:pt idx="4">
                  <c:v>11273.550212164073</c:v>
                </c:pt>
                <c:pt idx="5">
                  <c:v>12839.321074964639</c:v>
                </c:pt>
                <c:pt idx="6">
                  <c:v>14405.091937765204</c:v>
                </c:pt>
                <c:pt idx="7">
                  <c:v>15970.86280056577</c:v>
                </c:pt>
                <c:pt idx="8">
                  <c:v>17536.633663366338</c:v>
                </c:pt>
                <c:pt idx="9">
                  <c:v>19102.404526166902</c:v>
                </c:pt>
                <c:pt idx="10">
                  <c:v>20668.175388967469</c:v>
                </c:pt>
                <c:pt idx="11">
                  <c:v>22233.946251768033</c:v>
                </c:pt>
                <c:pt idx="12">
                  <c:v>23799.717114568601</c:v>
                </c:pt>
                <c:pt idx="13">
                  <c:v>25365.487977369165</c:v>
                </c:pt>
                <c:pt idx="14">
                  <c:v>26931.258840169732</c:v>
                </c:pt>
                <c:pt idx="15">
                  <c:v>28497.029702970296</c:v>
                </c:pt>
                <c:pt idx="16">
                  <c:v>31628.571428571428</c:v>
                </c:pt>
              </c:numCache>
            </c:numRef>
          </c:val>
        </c:ser>
        <c:ser>
          <c:idx val="2"/>
          <c:order val="2"/>
          <c:tx>
            <c:v>AC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Data!$H$8:$H$25</c:f>
              <c:numCache>
                <c:formatCode>"$"#,##0.00</c:formatCode>
                <c:ptCount val="18"/>
                <c:pt idx="0">
                  <c:v>6250</c:v>
                </c:pt>
                <c:pt idx="1">
                  <c:v>8100</c:v>
                </c:pt>
                <c:pt idx="2">
                  <c:v>9325</c:v>
                </c:pt>
                <c:pt idx="3">
                  <c:v>10325</c:v>
                </c:pt>
                <c:pt idx="4">
                  <c:v>11425</c:v>
                </c:pt>
                <c:pt idx="5">
                  <c:v>12525</c:v>
                </c:pt>
                <c:pt idx="6">
                  <c:v>13475</c:v>
                </c:pt>
                <c:pt idx="7">
                  <c:v>14725</c:v>
                </c:pt>
                <c:pt idx="8">
                  <c:v>15425</c:v>
                </c:pt>
                <c:pt idx="9">
                  <c:v>16125</c:v>
                </c:pt>
                <c:pt idx="10">
                  <c:v>17475</c:v>
                </c:pt>
                <c:pt idx="11">
                  <c:v>18000</c:v>
                </c:pt>
                <c:pt idx="12">
                  <c:v>18950</c:v>
                </c:pt>
                <c:pt idx="13">
                  <c:v>19975</c:v>
                </c:pt>
                <c:pt idx="14">
                  <c:v>20425</c:v>
                </c:pt>
                <c:pt idx="15">
                  <c:v>21875</c:v>
                </c:pt>
                <c:pt idx="16">
                  <c:v>23375</c:v>
                </c:pt>
              </c:numCache>
            </c:numRef>
          </c:val>
        </c:ser>
        <c:gapWidth val="75"/>
        <c:overlap val="-25"/>
        <c:axId val="68177280"/>
        <c:axId val="68199552"/>
      </c:barChart>
      <c:dateAx>
        <c:axId val="68177280"/>
        <c:scaling>
          <c:orientation val="minMax"/>
        </c:scaling>
        <c:axPos val="b"/>
        <c:numFmt formatCode="m/d/yyyy" sourceLinked="1"/>
        <c:majorTickMark val="none"/>
        <c:tickLblPos val="nextTo"/>
        <c:crossAx val="68199552"/>
        <c:crosses val="autoZero"/>
        <c:auto val="1"/>
        <c:lblOffset val="100"/>
        <c:majorUnit val="7"/>
        <c:majorTimeUnit val="days"/>
        <c:minorUnit val="7"/>
        <c:minorTimeUnit val="days"/>
      </c:dateAx>
      <c:valAx>
        <c:axId val="68199552"/>
        <c:scaling>
          <c:orientation val="minMax"/>
        </c:scaling>
        <c:axPos val="l"/>
        <c:majorGridlines/>
        <c:numFmt formatCode="&quot;$&quot;#,##0" sourceLinked="0"/>
        <c:majorTickMark val="none"/>
        <c:tickLblPos val="nextTo"/>
        <c:crossAx val="68177280"/>
        <c:crosses val="autoZero"/>
        <c:crossBetween val="between"/>
      </c:valAx>
    </c:plotArea>
    <c:legend>
      <c:legendPos val="b"/>
      <c:layout/>
    </c:legend>
    <c:plotVisOnly val="1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0"/>
              <a:t>Forecast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EAC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Data!$P$8:$P$25</c:f>
              <c:numCache>
                <c:formatCode>"$"#,##0_);[Red]\("$"#,##0\)</c:formatCode>
                <c:ptCount val="18"/>
                <c:pt idx="0">
                  <c:v>48080.26407227241</c:v>
                </c:pt>
                <c:pt idx="1">
                  <c:v>54000.000000000007</c:v>
                </c:pt>
                <c:pt idx="2">
                  <c:v>51805.555555555547</c:v>
                </c:pt>
                <c:pt idx="3">
                  <c:v>44891.304347826088</c:v>
                </c:pt>
                <c:pt idx="4">
                  <c:v>43942.307692307695</c:v>
                </c:pt>
                <c:pt idx="5">
                  <c:v>41750</c:v>
                </c:pt>
                <c:pt idx="6">
                  <c:v>38500</c:v>
                </c:pt>
                <c:pt idx="7">
                  <c:v>36812.5</c:v>
                </c:pt>
                <c:pt idx="8">
                  <c:v>35056.818181818184</c:v>
                </c:pt>
                <c:pt idx="9">
                  <c:v>34308.51063829787</c:v>
                </c:pt>
                <c:pt idx="10">
                  <c:v>36406.25</c:v>
                </c:pt>
                <c:pt idx="11">
                  <c:v>36000</c:v>
                </c:pt>
                <c:pt idx="12">
                  <c:v>36442.307692307688</c:v>
                </c:pt>
                <c:pt idx="13">
                  <c:v>36318.181818181823</c:v>
                </c:pt>
                <c:pt idx="14">
                  <c:v>35833.333333333336</c:v>
                </c:pt>
                <c:pt idx="15">
                  <c:v>36458.333333333336</c:v>
                </c:pt>
                <c:pt idx="16">
                  <c:v>36523.4375</c:v>
                </c:pt>
              </c:numCache>
            </c:numRef>
          </c:val>
        </c:ser>
        <c:ser>
          <c:idx val="1"/>
          <c:order val="1"/>
          <c:tx>
            <c:v>ETC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Data!$O$8:$O$25</c:f>
              <c:numCache>
                <c:formatCode>"$"#,##0_);[Red]\("$"#,##0\)</c:formatCode>
                <c:ptCount val="18"/>
                <c:pt idx="0">
                  <c:v>41830.26407227241</c:v>
                </c:pt>
                <c:pt idx="1">
                  <c:v>45900.000000000007</c:v>
                </c:pt>
                <c:pt idx="2">
                  <c:v>42480.555555555547</c:v>
                </c:pt>
                <c:pt idx="3">
                  <c:v>34566.304347826088</c:v>
                </c:pt>
                <c:pt idx="4">
                  <c:v>32517.307692307695</c:v>
                </c:pt>
                <c:pt idx="5">
                  <c:v>29225</c:v>
                </c:pt>
                <c:pt idx="6">
                  <c:v>25025</c:v>
                </c:pt>
                <c:pt idx="7">
                  <c:v>22087.5</c:v>
                </c:pt>
                <c:pt idx="8">
                  <c:v>19631.818181818184</c:v>
                </c:pt>
                <c:pt idx="9">
                  <c:v>18183.51063829787</c:v>
                </c:pt>
                <c:pt idx="10">
                  <c:v>18931.25</c:v>
                </c:pt>
                <c:pt idx="11">
                  <c:v>18000</c:v>
                </c:pt>
                <c:pt idx="12">
                  <c:v>17492.307692307688</c:v>
                </c:pt>
                <c:pt idx="13">
                  <c:v>16343.181818181823</c:v>
                </c:pt>
                <c:pt idx="14">
                  <c:v>15408.333333333336</c:v>
                </c:pt>
                <c:pt idx="15">
                  <c:v>14583.333333333336</c:v>
                </c:pt>
                <c:pt idx="16">
                  <c:v>13148.4375</c:v>
                </c:pt>
              </c:numCache>
            </c:numRef>
          </c:val>
        </c:ser>
        <c:ser>
          <c:idx val="2"/>
          <c:order val="2"/>
          <c:tx>
            <c:v>BAC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Data!$E$8:$E$25</c:f>
              <c:numCache>
                <c:formatCode>"$"#,##0.00;[Red]"$"#,##0.00</c:formatCode>
                <c:ptCount val="18"/>
                <c:pt idx="0">
                  <c:v>55350</c:v>
                </c:pt>
                <c:pt idx="1">
                  <c:v>55350</c:v>
                </c:pt>
                <c:pt idx="2">
                  <c:v>55350</c:v>
                </c:pt>
                <c:pt idx="3">
                  <c:v>55350</c:v>
                </c:pt>
                <c:pt idx="4">
                  <c:v>55350</c:v>
                </c:pt>
                <c:pt idx="5">
                  <c:v>55350</c:v>
                </c:pt>
                <c:pt idx="6">
                  <c:v>55350</c:v>
                </c:pt>
                <c:pt idx="7">
                  <c:v>55350</c:v>
                </c:pt>
                <c:pt idx="8">
                  <c:v>55350</c:v>
                </c:pt>
                <c:pt idx="9">
                  <c:v>55350</c:v>
                </c:pt>
                <c:pt idx="10">
                  <c:v>55350</c:v>
                </c:pt>
                <c:pt idx="11">
                  <c:v>55350</c:v>
                </c:pt>
                <c:pt idx="12">
                  <c:v>55350</c:v>
                </c:pt>
                <c:pt idx="13">
                  <c:v>55350</c:v>
                </c:pt>
                <c:pt idx="14">
                  <c:v>55350</c:v>
                </c:pt>
                <c:pt idx="15">
                  <c:v>55350</c:v>
                </c:pt>
                <c:pt idx="16">
                  <c:v>55350</c:v>
                </c:pt>
              </c:numCache>
            </c:numRef>
          </c:val>
        </c:ser>
        <c:marker val="1"/>
        <c:axId val="68757760"/>
        <c:axId val="68763648"/>
      </c:lineChart>
      <c:dateAx>
        <c:axId val="68757760"/>
        <c:scaling>
          <c:orientation val="minMax"/>
        </c:scaling>
        <c:axPos val="b"/>
        <c:numFmt formatCode="m/d/yyyy" sourceLinked="1"/>
        <c:majorTickMark val="none"/>
        <c:tickLblPos val="nextTo"/>
        <c:crossAx val="68763648"/>
        <c:crosses val="autoZero"/>
        <c:auto val="1"/>
        <c:lblOffset val="100"/>
        <c:majorUnit val="7"/>
        <c:majorTimeUnit val="days"/>
      </c:dateAx>
      <c:valAx>
        <c:axId val="687636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layout/>
        </c:title>
        <c:numFmt formatCode="&quot;$&quot;#,##0_);[Red]\(&quot;$&quot;#,##0\)" sourceLinked="1"/>
        <c:majorTickMark val="none"/>
        <c:tickLblPos val="nextTo"/>
        <c:crossAx val="6875776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0"/>
              <a:t>TCPI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Cost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Data!$S$8:$S$25</c:f>
              <c:numCache>
                <c:formatCode>_(* #,##0.00_);_(* \(#,##0.00\);_(* "-"??_);_(@_)</c:formatCode>
                <c:ptCount val="18"/>
                <c:pt idx="0">
                  <c:v>0.98075356415478621</c:v>
                </c:pt>
                <c:pt idx="1">
                  <c:v>0.99571428571428566</c:v>
                </c:pt>
                <c:pt idx="2" formatCode="0.00_);[Red]\(0.00\)">
                  <c:v>0.98613796849538293</c:v>
                </c:pt>
                <c:pt idx="3" formatCode="0.00_);[Red]\(0.00\)">
                  <c:v>0.94657412548584119</c:v>
                </c:pt>
                <c:pt idx="4" formatCode="0.00_);[Red]\(0.00\)">
                  <c:v>0.93247581104154809</c:v>
                </c:pt>
                <c:pt idx="5" formatCode="0.00_);[Red]\(0.00\)">
                  <c:v>0.90472854640980738</c:v>
                </c:pt>
                <c:pt idx="6" formatCode="0.00_);[Red]\(0.00\)">
                  <c:v>0.85916417910447762</c:v>
                </c:pt>
                <c:pt idx="7" formatCode="0.00_);[Red]\(0.00\)">
                  <c:v>0.8174769230769231</c:v>
                </c:pt>
                <c:pt idx="8" formatCode="0.00_);[Red]\(0.00\)">
                  <c:v>0.77635566687539137</c:v>
                </c:pt>
                <c:pt idx="9" formatCode="0.00_);[Red]\(0.00\)">
                  <c:v>0.74787762906309752</c:v>
                </c:pt>
                <c:pt idx="10" formatCode="0.00_);[Red]\(0.00\)">
                  <c:v>0.75992079207920793</c:v>
                </c:pt>
                <c:pt idx="11" formatCode="0.00_);[Red]\(0.00\)">
                  <c:v>0.74096385542168675</c:v>
                </c:pt>
                <c:pt idx="12" formatCode="0.00_);[Red]\(0.00\)">
                  <c:v>0.72989010989010994</c:v>
                </c:pt>
                <c:pt idx="13" formatCode="0.00_);[Red]\(0.00\)">
                  <c:v>0.70409893992932859</c:v>
                </c:pt>
                <c:pt idx="14" formatCode="0.00_);[Red]\(0.00\)">
                  <c:v>0.68147458840372221</c:v>
                </c:pt>
                <c:pt idx="15" formatCode="0.00_);[Red]\(0.00\)">
                  <c:v>0.66138909634055265</c:v>
                </c:pt>
                <c:pt idx="16" formatCode="0.00_);[Red]\(0.00\)">
                  <c:v>0.62317435496481621</c:v>
                </c:pt>
              </c:numCache>
            </c:numRef>
          </c:val>
        </c:ser>
        <c:ser>
          <c:idx val="1"/>
          <c:order val="1"/>
          <c:tx>
            <c:v>Schedule</c:v>
          </c:tx>
          <c:cat>
            <c:numRef>
              <c:f>Data!$D$8:$D$25</c:f>
              <c:numCache>
                <c:formatCode>m/d/yyyy</c:formatCode>
                <c:ptCount val="18"/>
                <c:pt idx="0">
                  <c:v>40060</c:v>
                </c:pt>
                <c:pt idx="1">
                  <c:v>40067</c:v>
                </c:pt>
                <c:pt idx="2">
                  <c:v>40074</c:v>
                </c:pt>
                <c:pt idx="3">
                  <c:v>40081</c:v>
                </c:pt>
                <c:pt idx="4">
                  <c:v>40088</c:v>
                </c:pt>
                <c:pt idx="5">
                  <c:v>40095</c:v>
                </c:pt>
                <c:pt idx="6">
                  <c:v>40102</c:v>
                </c:pt>
                <c:pt idx="7">
                  <c:v>40109</c:v>
                </c:pt>
                <c:pt idx="8">
                  <c:v>40116</c:v>
                </c:pt>
                <c:pt idx="9">
                  <c:v>40123</c:v>
                </c:pt>
                <c:pt idx="10">
                  <c:v>40130</c:v>
                </c:pt>
                <c:pt idx="11">
                  <c:v>40137</c:v>
                </c:pt>
                <c:pt idx="12">
                  <c:v>40144</c:v>
                </c:pt>
                <c:pt idx="13">
                  <c:v>40151</c:v>
                </c:pt>
                <c:pt idx="14">
                  <c:v>40158</c:v>
                </c:pt>
                <c:pt idx="15">
                  <c:v>40165</c:v>
                </c:pt>
                <c:pt idx="16">
                  <c:v>40186</c:v>
                </c:pt>
              </c:numCache>
            </c:numRef>
          </c:cat>
          <c:val>
            <c:numRef>
              <c:f>Data!$T$8:$T$25</c:f>
              <c:numCache>
                <c:formatCode>0.00_);[Red]\(0.00\)</c:formatCode>
                <c:ptCount val="18"/>
                <c:pt idx="0">
                  <c:v>0.94484558333006319</c:v>
                </c:pt>
                <c:pt idx="1">
                  <c:v>0.97084006462035544</c:v>
                </c:pt>
                <c:pt idx="2">
                  <c:v>0.96142620232172471</c:v>
                </c:pt>
                <c:pt idx="3">
                  <c:v>0.93377358490566043</c:v>
                </c:pt>
                <c:pt idx="4">
                  <c:v>0.92927175843694498</c:v>
                </c:pt>
                <c:pt idx="5">
                  <c:v>0.91141804788213632</c:v>
                </c:pt>
                <c:pt idx="6">
                  <c:v>0.87868068833652002</c:v>
                </c:pt>
                <c:pt idx="7">
                  <c:v>0.8433399602385685</c:v>
                </c:pt>
                <c:pt idx="8">
                  <c:v>0.81971014492753624</c:v>
                </c:pt>
                <c:pt idx="9">
                  <c:v>0.8093088552915767</c:v>
                </c:pt>
                <c:pt idx="10">
                  <c:v>0.82988713318284435</c:v>
                </c:pt>
                <c:pt idx="11">
                  <c:v>0.8356973995271868</c:v>
                </c:pt>
                <c:pt idx="12">
                  <c:v>0.84208436724565761</c:v>
                </c:pt>
                <c:pt idx="13">
                  <c:v>0.83067885117493467</c:v>
                </c:pt>
                <c:pt idx="14">
                  <c:v>0.83749311294765838</c:v>
                </c:pt>
                <c:pt idx="15">
                  <c:v>0.82448979591836735</c:v>
                </c:pt>
                <c:pt idx="16">
                  <c:v>0.84</c:v>
                </c:pt>
              </c:numCache>
            </c:numRef>
          </c:val>
        </c:ser>
        <c:marker val="1"/>
        <c:axId val="68801280"/>
        <c:axId val="68802816"/>
      </c:lineChart>
      <c:dateAx>
        <c:axId val="68801280"/>
        <c:scaling>
          <c:orientation val="minMax"/>
        </c:scaling>
        <c:axPos val="b"/>
        <c:numFmt formatCode="m/d/yyyy" sourceLinked="1"/>
        <c:majorTickMark val="none"/>
        <c:tickLblPos val="nextTo"/>
        <c:crossAx val="68802816"/>
        <c:crosses val="autoZero"/>
        <c:auto val="1"/>
        <c:lblOffset val="100"/>
        <c:majorUnit val="7"/>
        <c:majorTimeUnit val="days"/>
      </c:dateAx>
      <c:valAx>
        <c:axId val="688028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  </a:t>
                </a:r>
                <a:endParaRPr lang="en-US"/>
              </a:p>
            </c:rich>
          </c:tx>
          <c:layout/>
        </c:title>
        <c:numFmt formatCode="_(* #,##0.00_);_(* \(#,##0.00\);_(* &quot;-&quot;??_);_(@_)" sourceLinked="1"/>
        <c:majorTickMark val="none"/>
        <c:tickLblPos val="nextTo"/>
        <c:crossAx val="6880128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</xdr:colOff>
      <xdr:row>2</xdr:row>
      <xdr:rowOff>1</xdr:rowOff>
    </xdr:from>
    <xdr:to>
      <xdr:col>9</xdr:col>
      <xdr:colOff>257176</xdr:colOff>
      <xdr:row>19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561976</xdr:colOff>
      <xdr:row>2</xdr:row>
      <xdr:rowOff>0</xdr:rowOff>
    </xdr:from>
    <xdr:to>
      <xdr:col>18</xdr:col>
      <xdr:colOff>276226</xdr:colOff>
      <xdr:row>19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9</xdr:col>
      <xdr:colOff>266701</xdr:colOff>
      <xdr:row>42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552451</xdr:colOff>
      <xdr:row>22</xdr:row>
      <xdr:rowOff>152400</xdr:rowOff>
    </xdr:from>
    <xdr:to>
      <xdr:col>18</xdr:col>
      <xdr:colOff>285751</xdr:colOff>
      <xdr:row>41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9525</xdr:colOff>
      <xdr:row>44</xdr:row>
      <xdr:rowOff>104775</xdr:rowOff>
    </xdr:from>
    <xdr:to>
      <xdr:col>9</xdr:col>
      <xdr:colOff>266699</xdr:colOff>
      <xdr:row>62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54"/>
    <pageSetUpPr fitToPage="1"/>
  </sheetPr>
  <dimension ref="A1:E42"/>
  <sheetViews>
    <sheetView workbookViewId="0">
      <selection activeCell="D29" sqref="D29"/>
    </sheetView>
  </sheetViews>
  <sheetFormatPr defaultRowHeight="12.75"/>
  <cols>
    <col min="1" max="1" width="3.28515625" style="5" customWidth="1"/>
    <col min="2" max="2" width="29.28515625" customWidth="1"/>
    <col min="3" max="3" width="9.140625" style="1"/>
    <col min="4" max="4" width="51.5703125" customWidth="1"/>
    <col min="5" max="5" width="18.140625" style="1" customWidth="1"/>
  </cols>
  <sheetData>
    <row r="1" spans="1:5" ht="28.5" customHeight="1">
      <c r="A1" s="58" t="s">
        <v>66</v>
      </c>
      <c r="B1" s="58"/>
      <c r="C1" s="58"/>
      <c r="D1" s="58"/>
      <c r="E1" s="58"/>
    </row>
    <row r="2" spans="1:5">
      <c r="A2" s="21" t="s">
        <v>0</v>
      </c>
      <c r="B2" s="22" t="s">
        <v>1</v>
      </c>
      <c r="C2" s="22" t="s">
        <v>65</v>
      </c>
      <c r="D2" s="22" t="s">
        <v>2</v>
      </c>
      <c r="E2" s="23" t="s">
        <v>62</v>
      </c>
    </row>
    <row r="3" spans="1:5">
      <c r="A3" s="18">
        <v>1</v>
      </c>
      <c r="B3" s="9" t="s">
        <v>47</v>
      </c>
      <c r="C3" s="9" t="s">
        <v>10</v>
      </c>
      <c r="D3" s="9" t="s">
        <v>54</v>
      </c>
      <c r="E3" s="11"/>
    </row>
    <row r="4" spans="1:5">
      <c r="A4" s="18">
        <v>2</v>
      </c>
      <c r="B4" s="9" t="s">
        <v>3</v>
      </c>
      <c r="C4" s="9" t="s">
        <v>11</v>
      </c>
      <c r="D4" s="9" t="s">
        <v>61</v>
      </c>
      <c r="E4" s="11"/>
    </row>
    <row r="5" spans="1:5">
      <c r="A5" s="18">
        <v>3</v>
      </c>
      <c r="B5" s="9" t="s">
        <v>4</v>
      </c>
      <c r="C5" s="9" t="s">
        <v>12</v>
      </c>
      <c r="D5" s="9" t="s">
        <v>60</v>
      </c>
      <c r="E5" s="11"/>
    </row>
    <row r="6" spans="1:5">
      <c r="A6" s="18">
        <v>4</v>
      </c>
      <c r="B6" s="9" t="s">
        <v>5</v>
      </c>
      <c r="C6" s="9" t="s">
        <v>13</v>
      </c>
      <c r="D6" s="9" t="s">
        <v>55</v>
      </c>
      <c r="E6" s="11"/>
    </row>
    <row r="7" spans="1:5">
      <c r="A7" s="18">
        <v>5</v>
      </c>
      <c r="B7" s="9" t="s">
        <v>7</v>
      </c>
      <c r="C7" s="9" t="s">
        <v>18</v>
      </c>
      <c r="D7" s="9" t="s">
        <v>64</v>
      </c>
      <c r="E7" s="11" t="s">
        <v>37</v>
      </c>
    </row>
    <row r="8" spans="1:5">
      <c r="A8" s="18">
        <v>6</v>
      </c>
      <c r="B8" s="9" t="s">
        <v>6</v>
      </c>
      <c r="C8" s="9" t="s">
        <v>16</v>
      </c>
      <c r="D8" s="9" t="s">
        <v>34</v>
      </c>
      <c r="E8" s="11" t="s">
        <v>38</v>
      </c>
    </row>
    <row r="9" spans="1:5">
      <c r="A9" s="18">
        <v>7</v>
      </c>
      <c r="B9" s="9" t="s">
        <v>8</v>
      </c>
      <c r="C9" s="9" t="s">
        <v>19</v>
      </c>
      <c r="D9" s="9" t="s">
        <v>63</v>
      </c>
      <c r="E9" s="11" t="s">
        <v>39</v>
      </c>
    </row>
    <row r="10" spans="1:5">
      <c r="A10" s="18">
        <v>8</v>
      </c>
      <c r="B10" s="9" t="s">
        <v>9</v>
      </c>
      <c r="C10" s="9" t="s">
        <v>20</v>
      </c>
      <c r="D10" s="9" t="s">
        <v>49</v>
      </c>
      <c r="E10" s="11" t="s">
        <v>40</v>
      </c>
    </row>
    <row r="11" spans="1:5">
      <c r="A11" s="18">
        <v>9</v>
      </c>
      <c r="B11" s="9" t="s">
        <v>48</v>
      </c>
      <c r="C11" s="9" t="s">
        <v>15</v>
      </c>
      <c r="D11" s="9" t="s">
        <v>50</v>
      </c>
      <c r="E11" s="11" t="s">
        <v>41</v>
      </c>
    </row>
    <row r="12" spans="1:5">
      <c r="A12" s="18">
        <v>10</v>
      </c>
      <c r="B12" s="9" t="s">
        <v>45</v>
      </c>
      <c r="C12" s="9" t="s">
        <v>14</v>
      </c>
      <c r="D12" s="9" t="s">
        <v>51</v>
      </c>
      <c r="E12" s="11" t="s">
        <v>42</v>
      </c>
    </row>
    <row r="13" spans="1:5">
      <c r="A13" s="18">
        <v>11</v>
      </c>
      <c r="B13" s="9" t="s">
        <v>46</v>
      </c>
      <c r="C13" s="9" t="s">
        <v>17</v>
      </c>
      <c r="D13" s="9" t="s">
        <v>52</v>
      </c>
      <c r="E13" s="11" t="s">
        <v>43</v>
      </c>
    </row>
    <row r="14" spans="1:5">
      <c r="A14" s="18">
        <v>12</v>
      </c>
      <c r="B14" s="9" t="s">
        <v>81</v>
      </c>
      <c r="C14" s="9" t="s">
        <v>77</v>
      </c>
      <c r="D14" s="9" t="s">
        <v>89</v>
      </c>
      <c r="E14" s="11"/>
    </row>
    <row r="15" spans="1:5">
      <c r="A15" s="18"/>
      <c r="B15" s="9" t="s">
        <v>88</v>
      </c>
      <c r="C15" s="9" t="s">
        <v>82</v>
      </c>
      <c r="D15" s="9" t="s">
        <v>86</v>
      </c>
      <c r="E15" s="11" t="s">
        <v>83</v>
      </c>
    </row>
    <row r="16" spans="1:5">
      <c r="A16" s="18"/>
      <c r="B16" s="9" t="s">
        <v>90</v>
      </c>
      <c r="C16" s="9" t="s">
        <v>84</v>
      </c>
      <c r="D16" s="9" t="s">
        <v>87</v>
      </c>
      <c r="E16" s="11" t="s">
        <v>85</v>
      </c>
    </row>
    <row r="17" spans="1:5">
      <c r="A17" s="18">
        <v>13</v>
      </c>
      <c r="B17" s="9" t="s">
        <v>21</v>
      </c>
      <c r="C17" s="9" t="s">
        <v>53</v>
      </c>
      <c r="D17" s="9" t="s">
        <v>36</v>
      </c>
      <c r="E17" s="11" t="s">
        <v>44</v>
      </c>
    </row>
    <row r="18" spans="1:5">
      <c r="A18" s="24"/>
      <c r="B18" s="9"/>
      <c r="C18" s="9"/>
      <c r="D18" s="10" t="s">
        <v>35</v>
      </c>
      <c r="E18" s="25"/>
    </row>
    <row r="19" spans="1:5">
      <c r="A19" s="19"/>
      <c r="B19" s="9"/>
      <c r="C19" s="9"/>
      <c r="D19" s="15" t="s">
        <v>31</v>
      </c>
      <c r="E19" s="12" t="s">
        <v>56</v>
      </c>
    </row>
    <row r="20" spans="1:5">
      <c r="A20" s="19"/>
      <c r="B20" s="9"/>
      <c r="C20" s="9"/>
      <c r="D20" s="16" t="s">
        <v>32</v>
      </c>
      <c r="E20" s="12" t="s">
        <v>57</v>
      </c>
    </row>
    <row r="21" spans="1:5">
      <c r="A21" s="19"/>
      <c r="B21" s="9"/>
      <c r="C21" s="9"/>
      <c r="D21" s="16" t="s">
        <v>33</v>
      </c>
      <c r="E21" s="12" t="s">
        <v>58</v>
      </c>
    </row>
    <row r="22" spans="1:5">
      <c r="A22" s="20"/>
      <c r="B22" s="13"/>
      <c r="C22" s="13"/>
      <c r="D22" s="17" t="s">
        <v>59</v>
      </c>
      <c r="E22" s="14" t="s">
        <v>22</v>
      </c>
    </row>
    <row r="24" spans="1:5">
      <c r="B24" s="59" t="s">
        <v>91</v>
      </c>
      <c r="C24" s="59"/>
      <c r="D24" s="59"/>
      <c r="E24" s="59"/>
    </row>
    <row r="25" spans="1:5">
      <c r="A25" s="1"/>
      <c r="C25"/>
      <c r="E25"/>
    </row>
    <row r="26" spans="1:5">
      <c r="A26" s="1"/>
      <c r="C26"/>
      <c r="E26"/>
    </row>
    <row r="27" spans="1:5">
      <c r="A27" s="1"/>
      <c r="C27"/>
      <c r="E27"/>
    </row>
    <row r="28" spans="1:5">
      <c r="A28" s="1"/>
      <c r="C28"/>
      <c r="E28"/>
    </row>
    <row r="29" spans="1:5">
      <c r="A29" s="1"/>
      <c r="C29"/>
      <c r="E29"/>
    </row>
    <row r="30" spans="1:5">
      <c r="A30" s="1"/>
      <c r="C30"/>
      <c r="E30"/>
    </row>
    <row r="31" spans="1:5">
      <c r="A31" s="1"/>
      <c r="C31"/>
      <c r="E31"/>
    </row>
    <row r="32" spans="1:5">
      <c r="A32" s="1"/>
      <c r="C32"/>
      <c r="E32"/>
    </row>
    <row r="33" spans="1:5">
      <c r="A33" s="1"/>
      <c r="C33"/>
      <c r="E33"/>
    </row>
    <row r="34" spans="1:5">
      <c r="A34" s="1"/>
      <c r="C34"/>
      <c r="E34"/>
    </row>
    <row r="35" spans="1:5">
      <c r="A35" s="1"/>
      <c r="C35"/>
      <c r="E35"/>
    </row>
    <row r="36" spans="1:5">
      <c r="A36" s="1"/>
      <c r="C36"/>
      <c r="E36"/>
    </row>
    <row r="37" spans="1:5">
      <c r="A37" s="1"/>
      <c r="C37"/>
      <c r="E37"/>
    </row>
    <row r="38" spans="1:5">
      <c r="A38" s="1"/>
      <c r="C38"/>
      <c r="E38"/>
    </row>
    <row r="39" spans="1:5">
      <c r="A39" s="1"/>
      <c r="C39"/>
      <c r="E39"/>
    </row>
    <row r="40" spans="1:5">
      <c r="A40" s="1"/>
      <c r="C40"/>
      <c r="E40"/>
    </row>
    <row r="41" spans="1:5">
      <c r="A41" s="1"/>
      <c r="C41"/>
      <c r="E41"/>
    </row>
    <row r="42" spans="1:5">
      <c r="A42" s="1"/>
      <c r="C42"/>
      <c r="E42"/>
    </row>
  </sheetData>
  <mergeCells count="2">
    <mergeCell ref="A1:E1"/>
    <mergeCell ref="B24:E24"/>
  </mergeCells>
  <phoneticPr fontId="1" type="noConversion"/>
  <pageMargins left="0.75" right="0.75" top="1" bottom="1" header="0.5" footer="0.5"/>
  <pageSetup scale="86" orientation="portrait" r:id="rId1"/>
  <headerFooter alignWithMargins="0">
    <oddHeader>Page &amp;P of &amp;N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44"/>
    <pageSetUpPr fitToPage="1"/>
  </sheetPr>
  <dimension ref="B2:V80"/>
  <sheetViews>
    <sheetView topLeftCell="A4" zoomScale="85" zoomScaleNormal="85" workbookViewId="0">
      <selection activeCell="D29" sqref="D29"/>
    </sheetView>
  </sheetViews>
  <sheetFormatPr defaultRowHeight="12.75"/>
  <cols>
    <col min="1" max="1" width="3.5703125" customWidth="1"/>
    <col min="2" max="2" width="5.5703125" bestFit="1" customWidth="1"/>
    <col min="3" max="3" width="20.5703125" customWidth="1"/>
    <col min="4" max="4" width="11" customWidth="1"/>
    <col min="5" max="5" width="11.42578125" customWidth="1"/>
    <col min="6" max="6" width="11" customWidth="1"/>
    <col min="7" max="7" width="11.5703125" customWidth="1"/>
    <col min="8" max="8" width="11.140625" customWidth="1"/>
    <col min="9" max="9" width="10" style="3" customWidth="1"/>
    <col min="10" max="10" width="6.28515625" style="3" customWidth="1"/>
    <col min="11" max="11" width="9.5703125" style="3" customWidth="1"/>
    <col min="12" max="12" width="9.140625" style="3" customWidth="1"/>
    <col min="13" max="13" width="5.7109375" style="2" customWidth="1"/>
    <col min="14" max="14" width="7.7109375" style="2" customWidth="1"/>
    <col min="15" max="15" width="9.7109375" style="3" bestFit="1" customWidth="1"/>
    <col min="16" max="16" width="10.140625" style="3" bestFit="1" customWidth="1"/>
    <col min="17" max="17" width="5.85546875" style="3" customWidth="1"/>
    <col min="18" max="18" width="7.5703125" style="3" customWidth="1"/>
    <col min="19" max="20" width="7" style="3" customWidth="1"/>
    <col min="21" max="21" width="9.140625" style="2" customWidth="1"/>
    <col min="22" max="22" width="7.28515625" customWidth="1"/>
  </cols>
  <sheetData>
    <row r="2" spans="2:22" s="44" customFormat="1" ht="19.5" customHeight="1">
      <c r="B2" s="65" t="s">
        <v>28</v>
      </c>
      <c r="C2" s="66"/>
      <c r="D2" s="66"/>
      <c r="E2" s="66"/>
      <c r="F2" s="67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54"/>
      <c r="T2" s="54"/>
      <c r="U2" s="33"/>
      <c r="V2" s="33"/>
    </row>
    <row r="3" spans="2:22" s="44" customFormat="1" ht="17.25" customHeight="1">
      <c r="B3" s="65" t="s">
        <v>75</v>
      </c>
      <c r="C3" s="66"/>
      <c r="D3" s="66"/>
      <c r="E3" s="66"/>
      <c r="F3" s="67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54"/>
      <c r="T3" s="54"/>
      <c r="U3" s="33"/>
      <c r="V3" s="33"/>
    </row>
    <row r="4" spans="2:22" s="44" customFormat="1" ht="16.5" customHeight="1">
      <c r="B4" s="65" t="s">
        <v>76</v>
      </c>
      <c r="C4" s="66"/>
      <c r="D4" s="66"/>
      <c r="E4" s="66"/>
      <c r="F4" s="67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54"/>
      <c r="T4" s="54"/>
      <c r="U4" s="33"/>
      <c r="V4" s="33"/>
    </row>
    <row r="5" spans="2:22" s="44" customFormat="1" ht="14.25" customHeight="1">
      <c r="B5" s="45"/>
      <c r="C5" s="46"/>
      <c r="D5" s="46"/>
      <c r="E5" s="46"/>
      <c r="F5" s="46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54"/>
      <c r="T5" s="54"/>
      <c r="U5" s="33"/>
      <c r="V5" s="33"/>
    </row>
    <row r="6" spans="2:22" s="50" customFormat="1" ht="15.75">
      <c r="B6" s="68"/>
      <c r="C6" s="68"/>
      <c r="D6" s="33"/>
      <c r="E6" s="62" t="s">
        <v>23</v>
      </c>
      <c r="F6" s="62"/>
      <c r="G6" s="30" t="s">
        <v>24</v>
      </c>
      <c r="H6" s="30" t="s">
        <v>25</v>
      </c>
      <c r="I6" s="62" t="s">
        <v>7</v>
      </c>
      <c r="J6" s="62"/>
      <c r="K6" s="62" t="s">
        <v>8</v>
      </c>
      <c r="L6" s="62"/>
      <c r="M6" s="63" t="s">
        <v>80</v>
      </c>
      <c r="N6" s="63"/>
      <c r="O6" s="64" t="s">
        <v>26</v>
      </c>
      <c r="P6" s="64"/>
      <c r="Q6" s="64"/>
      <c r="R6" s="64"/>
      <c r="S6" s="60" t="s">
        <v>77</v>
      </c>
      <c r="T6" s="61"/>
    </row>
    <row r="7" spans="2:22" s="4" customFormat="1" ht="25.5">
      <c r="B7" s="57" t="s">
        <v>67</v>
      </c>
      <c r="C7" s="57" t="s">
        <v>68</v>
      </c>
      <c r="D7" s="57" t="s">
        <v>74</v>
      </c>
      <c r="E7" s="47" t="s">
        <v>10</v>
      </c>
      <c r="F7" s="47" t="s">
        <v>71</v>
      </c>
      <c r="G7" s="47" t="s">
        <v>12</v>
      </c>
      <c r="H7" s="47" t="s">
        <v>11</v>
      </c>
      <c r="I7" s="48" t="s">
        <v>72</v>
      </c>
      <c r="J7" s="48" t="s">
        <v>73</v>
      </c>
      <c r="K7" s="48" t="s">
        <v>72</v>
      </c>
      <c r="L7" s="48" t="s">
        <v>73</v>
      </c>
      <c r="M7" s="49" t="s">
        <v>16</v>
      </c>
      <c r="N7" s="49" t="s">
        <v>20</v>
      </c>
      <c r="O7" s="48" t="s">
        <v>15</v>
      </c>
      <c r="P7" s="48" t="s">
        <v>14</v>
      </c>
      <c r="Q7" s="48" t="s">
        <v>29</v>
      </c>
      <c r="R7" s="48" t="s">
        <v>30</v>
      </c>
      <c r="S7" s="48" t="s">
        <v>78</v>
      </c>
      <c r="T7" s="48" t="s">
        <v>79</v>
      </c>
      <c r="U7" s="31" t="s">
        <v>27</v>
      </c>
      <c r="V7" s="32" t="s">
        <v>21</v>
      </c>
    </row>
    <row r="8" spans="2:22" s="43" customFormat="1">
      <c r="B8" s="34" t="s">
        <v>69</v>
      </c>
      <c r="C8" s="34" t="s">
        <v>70</v>
      </c>
      <c r="D8" s="51">
        <v>40060</v>
      </c>
      <c r="E8" s="35">
        <v>55350</v>
      </c>
      <c r="F8" s="36">
        <v>4384</v>
      </c>
      <c r="G8" s="37">
        <v>7195</v>
      </c>
      <c r="H8" s="38">
        <v>6250</v>
      </c>
      <c r="I8" s="36">
        <f>G8-H8</f>
        <v>945</v>
      </c>
      <c r="J8" s="39">
        <f t="shared" ref="J8" si="0">I8/F8</f>
        <v>0.21555656934306569</v>
      </c>
      <c r="K8" s="40">
        <f t="shared" ref="K8" si="1">G8-F8</f>
        <v>2811</v>
      </c>
      <c r="L8" s="39">
        <f t="shared" ref="L8" si="2">K8/F8</f>
        <v>0.64119525547445255</v>
      </c>
      <c r="M8" s="41">
        <f t="shared" ref="M8" si="3">G8/H8</f>
        <v>1.1512</v>
      </c>
      <c r="N8" s="41">
        <f t="shared" ref="N8" si="4">G8/F8</f>
        <v>1.6411952554744527</v>
      </c>
      <c r="O8" s="40">
        <f t="shared" ref="O8" si="5">P8-H8</f>
        <v>41830.26407227241</v>
      </c>
      <c r="P8" s="40">
        <f t="shared" ref="P8" si="6">E8/M8</f>
        <v>48080.26407227241</v>
      </c>
      <c r="Q8" s="39">
        <f t="shared" ref="Q8" si="7">R8/E8</f>
        <v>0.13134120917303685</v>
      </c>
      <c r="R8" s="42">
        <f t="shared" ref="R8" si="8">E8-P8</f>
        <v>7269.73592772759</v>
      </c>
      <c r="S8" s="56">
        <f>(E8-G8)/(E8-H8)</f>
        <v>0.98075356415478621</v>
      </c>
      <c r="T8" s="55">
        <f>(E8-G8)/(E8-F8)</f>
        <v>0.94484558333006319</v>
      </c>
      <c r="U8" s="41">
        <f>(N8+M8)/2</f>
        <v>1.3961976277372263</v>
      </c>
      <c r="V8" s="42" t="str">
        <f>IF(U8&lt;0.65,"Black",IF(U8&lt;0.85,"Red",IF(U8&lt;1,"Yellow","Green")))</f>
        <v>Green</v>
      </c>
    </row>
    <row r="9" spans="2:22" s="43" customFormat="1">
      <c r="B9" s="34" t="s">
        <v>69</v>
      </c>
      <c r="C9" s="34" t="s">
        <v>70</v>
      </c>
      <c r="D9" s="51">
        <v>40067</v>
      </c>
      <c r="E9" s="35">
        <v>55350</v>
      </c>
      <c r="F9" s="36">
        <f>E9*88/707</f>
        <v>6889.3917963224894</v>
      </c>
      <c r="G9" s="37">
        <f>E9*15/100</f>
        <v>8302.5</v>
      </c>
      <c r="H9" s="38">
        <f>162*50</f>
        <v>8100</v>
      </c>
      <c r="I9" s="36">
        <f>G9-H9</f>
        <v>202.5</v>
      </c>
      <c r="J9" s="39">
        <f t="shared" ref="J9" si="9">I9/F9</f>
        <v>2.9393015521064301E-2</v>
      </c>
      <c r="K9" s="40">
        <f t="shared" ref="K9" si="10">G9-F9</f>
        <v>1413.1082036775106</v>
      </c>
      <c r="L9" s="39">
        <f t="shared" ref="L9" si="11">K9/F9</f>
        <v>0.20511363636363636</v>
      </c>
      <c r="M9" s="41">
        <f t="shared" ref="M9" si="12">G9/H9</f>
        <v>1.0249999999999999</v>
      </c>
      <c r="N9" s="41">
        <f t="shared" ref="N9" si="13">G9/F9</f>
        <v>1.2051136363636363</v>
      </c>
      <c r="O9" s="40">
        <f t="shared" ref="O9" si="14">P9-H9</f>
        <v>45900.000000000007</v>
      </c>
      <c r="P9" s="40">
        <f t="shared" ref="P9" si="15">E9/M9</f>
        <v>54000.000000000007</v>
      </c>
      <c r="Q9" s="39">
        <f t="shared" ref="Q9" si="16">R9/E9</f>
        <v>2.4390243902438893E-2</v>
      </c>
      <c r="R9" s="42">
        <f t="shared" ref="R9" si="17">E9-P9</f>
        <v>1349.9999999999927</v>
      </c>
      <c r="S9" s="56">
        <f>(E9-G9)/(E9-H9)</f>
        <v>0.99571428571428566</v>
      </c>
      <c r="T9" s="55">
        <f t="shared" ref="T9:T16" si="18">(E9-G9)/(E9-F9)</f>
        <v>0.97084006462035544</v>
      </c>
      <c r="U9" s="41">
        <f t="shared" ref="U9" si="19">(N9+M9)/2</f>
        <v>1.1150568181818181</v>
      </c>
      <c r="V9" s="42" t="str">
        <f>IF(U9&lt;0.65,"Black",IF(U9&lt;0.85,"Red",IF(U9&lt;1,"Yellow","Green")))</f>
        <v>Green</v>
      </c>
    </row>
    <row r="10" spans="2:22" s="43" customFormat="1">
      <c r="B10" s="34" t="s">
        <v>69</v>
      </c>
      <c r="C10" s="34" t="s">
        <v>70</v>
      </c>
      <c r="D10" s="51">
        <v>40074</v>
      </c>
      <c r="E10" s="35">
        <v>55350</v>
      </c>
      <c r="F10" s="36">
        <f>E10*104/707</f>
        <v>8142.0084865629424</v>
      </c>
      <c r="G10" s="37">
        <f>E10*18/100</f>
        <v>9963</v>
      </c>
      <c r="H10" s="38">
        <f>186.5*50</f>
        <v>9325</v>
      </c>
      <c r="I10" s="36">
        <f>G10-H10</f>
        <v>638</v>
      </c>
      <c r="J10" s="39">
        <f t="shared" ref="J10:J12" si="20">I10/F10</f>
        <v>7.8359043846848719E-2</v>
      </c>
      <c r="K10" s="40">
        <f t="shared" ref="K10:K12" si="21">G10-F10</f>
        <v>1820.9915134370576</v>
      </c>
      <c r="L10" s="39">
        <f t="shared" ref="L10:L12" si="22">K10/F10</f>
        <v>0.22365384615384609</v>
      </c>
      <c r="M10" s="41">
        <f t="shared" ref="M10:M12" si="23">G10/H10</f>
        <v>1.0684182305630028</v>
      </c>
      <c r="N10" s="41">
        <f t="shared" ref="N10:N12" si="24">G10/F10</f>
        <v>1.2236538461538462</v>
      </c>
      <c r="O10" s="40">
        <f t="shared" ref="O10:O12" si="25">P10-H10</f>
        <v>42480.555555555547</v>
      </c>
      <c r="P10" s="40">
        <f t="shared" ref="P10:P12" si="26">E10/M10</f>
        <v>51805.555555555547</v>
      </c>
      <c r="Q10" s="39">
        <f t="shared" ref="Q10:Q12" si="27">R10/E10</f>
        <v>6.4036936665663097E-2</v>
      </c>
      <c r="R10" s="42">
        <f t="shared" ref="R10:R12" si="28">E10-P10</f>
        <v>3544.4444444444525</v>
      </c>
      <c r="S10" s="55">
        <f t="shared" ref="S10:S16" si="29">(E10-G10)/(E10-H10)</f>
        <v>0.98613796849538293</v>
      </c>
      <c r="T10" s="55">
        <f t="shared" si="18"/>
        <v>0.96142620232172471</v>
      </c>
      <c r="U10" s="41">
        <f t="shared" ref="U10:U12" si="30">(N10+M10)/2</f>
        <v>1.1460360383584245</v>
      </c>
      <c r="V10" s="42" t="str">
        <f>IF(U10&lt;0.65,"Black",IF(U10&lt;0.85,"Red",IF(U10&lt;1,"Yellow","Green")))</f>
        <v>Green</v>
      </c>
    </row>
    <row r="11" spans="2:22">
      <c r="B11" s="34" t="s">
        <v>69</v>
      </c>
      <c r="C11" s="34" t="s">
        <v>70</v>
      </c>
      <c r="D11" s="52">
        <v>40081</v>
      </c>
      <c r="E11" s="35">
        <v>55350</v>
      </c>
      <c r="F11" s="36">
        <f>E11*124/707</f>
        <v>9707.7793493635072</v>
      </c>
      <c r="G11" s="37">
        <f>E11*23/100</f>
        <v>12730.5</v>
      </c>
      <c r="H11" s="38">
        <f>206.5*50</f>
        <v>10325</v>
      </c>
      <c r="I11" s="36">
        <f t="shared" ref="I11:I12" si="31">G11-H11</f>
        <v>2405.5</v>
      </c>
      <c r="J11" s="39">
        <f t="shared" si="20"/>
        <v>0.24779096366232481</v>
      </c>
      <c r="K11" s="40">
        <f t="shared" si="21"/>
        <v>3022.7206506364928</v>
      </c>
      <c r="L11" s="39">
        <f t="shared" si="22"/>
        <v>0.31137096774193557</v>
      </c>
      <c r="M11" s="41">
        <f t="shared" si="23"/>
        <v>1.2329782082324454</v>
      </c>
      <c r="N11" s="41">
        <f t="shared" si="24"/>
        <v>1.3113709677419356</v>
      </c>
      <c r="O11" s="40">
        <f t="shared" si="25"/>
        <v>34566.304347826088</v>
      </c>
      <c r="P11" s="40">
        <f t="shared" si="26"/>
        <v>44891.304347826088</v>
      </c>
      <c r="Q11" s="39">
        <f t="shared" si="27"/>
        <v>0.18895565767251873</v>
      </c>
      <c r="R11" s="42">
        <f t="shared" si="28"/>
        <v>10458.695652173912</v>
      </c>
      <c r="S11" s="55">
        <f t="shared" si="29"/>
        <v>0.94657412548584119</v>
      </c>
      <c r="T11" s="55">
        <f t="shared" si="18"/>
        <v>0.93377358490566043</v>
      </c>
      <c r="U11" s="41">
        <f t="shared" si="30"/>
        <v>1.2721745879871906</v>
      </c>
      <c r="V11" s="42" t="str">
        <f t="shared" ref="V11:V12" si="32">IF(U11&lt;0.65,"Black",IF(U11&lt;0.85,"Red",IF(U11&lt;1,"Yellow","Green")))</f>
        <v>Green</v>
      </c>
    </row>
    <row r="12" spans="2:22">
      <c r="B12" s="34" t="s">
        <v>69</v>
      </c>
      <c r="C12" s="34" t="s">
        <v>70</v>
      </c>
      <c r="D12" s="53">
        <v>40088</v>
      </c>
      <c r="E12" s="35">
        <v>55350</v>
      </c>
      <c r="F12" s="36">
        <f>E12*144/707</f>
        <v>11273.550212164073</v>
      </c>
      <c r="G12" s="37">
        <f>E12*26/100</f>
        <v>14391</v>
      </c>
      <c r="H12" s="38">
        <f>228.5*50</f>
        <v>11425</v>
      </c>
      <c r="I12" s="36">
        <f t="shared" si="31"/>
        <v>2966</v>
      </c>
      <c r="J12" s="39">
        <f t="shared" si="20"/>
        <v>0.26309369667770754</v>
      </c>
      <c r="K12" s="40">
        <f t="shared" si="21"/>
        <v>3117.4497878359271</v>
      </c>
      <c r="L12" s="39">
        <f t="shared" si="22"/>
        <v>0.27652777777777787</v>
      </c>
      <c r="M12" s="41">
        <f t="shared" si="23"/>
        <v>1.2596061269146608</v>
      </c>
      <c r="N12" s="41">
        <f t="shared" si="24"/>
        <v>1.2765277777777779</v>
      </c>
      <c r="O12" s="40">
        <f t="shared" si="25"/>
        <v>32517.307692307695</v>
      </c>
      <c r="P12" s="40">
        <f t="shared" si="26"/>
        <v>43942.307692307695</v>
      </c>
      <c r="Q12" s="39">
        <f t="shared" si="27"/>
        <v>0.206101035369328</v>
      </c>
      <c r="R12" s="42">
        <f t="shared" si="28"/>
        <v>11407.692307692305</v>
      </c>
      <c r="S12" s="55">
        <f t="shared" si="29"/>
        <v>0.93247581104154809</v>
      </c>
      <c r="T12" s="55">
        <f t="shared" si="18"/>
        <v>0.92927175843694498</v>
      </c>
      <c r="U12" s="41">
        <f t="shared" si="30"/>
        <v>1.2680669523462194</v>
      </c>
      <c r="V12" s="42" t="str">
        <f t="shared" si="32"/>
        <v>Green</v>
      </c>
    </row>
    <row r="13" spans="2:22">
      <c r="B13" s="34" t="s">
        <v>69</v>
      </c>
      <c r="C13" s="34" t="s">
        <v>70</v>
      </c>
      <c r="D13" s="53">
        <v>40095</v>
      </c>
      <c r="E13" s="35">
        <v>55350</v>
      </c>
      <c r="F13" s="36">
        <f>E13*164/707</f>
        <v>12839.321074964639</v>
      </c>
      <c r="G13" s="37">
        <f>E13*30/100</f>
        <v>16605</v>
      </c>
      <c r="H13" s="38">
        <f>250.5*50</f>
        <v>12525</v>
      </c>
      <c r="I13" s="36">
        <f t="shared" ref="I13" si="33">G13-H13</f>
        <v>4080</v>
      </c>
      <c r="J13" s="39">
        <f t="shared" ref="J13" si="34">I13/F13</f>
        <v>0.3177738118844603</v>
      </c>
      <c r="K13" s="40">
        <f t="shared" ref="K13" si="35">G13-F13</f>
        <v>3765.6789250353613</v>
      </c>
      <c r="L13" s="39">
        <f t="shared" ref="L13" si="36">K13/F13</f>
        <v>0.29329268292682931</v>
      </c>
      <c r="M13" s="41">
        <f t="shared" ref="M13" si="37">G13/H13</f>
        <v>1.3257485029940119</v>
      </c>
      <c r="N13" s="41">
        <f t="shared" ref="N13" si="38">G13/F13</f>
        <v>1.2932926829268294</v>
      </c>
      <c r="O13" s="40">
        <f t="shared" ref="O13" si="39">P13-H13</f>
        <v>29225</v>
      </c>
      <c r="P13" s="40">
        <f t="shared" ref="P13" si="40">E13/M13</f>
        <v>41750</v>
      </c>
      <c r="Q13" s="39">
        <f t="shared" ref="Q13" si="41">R13/E13</f>
        <v>0.24570912375790424</v>
      </c>
      <c r="R13" s="42">
        <f t="shared" ref="R13" si="42">E13-P13</f>
        <v>13600</v>
      </c>
      <c r="S13" s="55">
        <f t="shared" si="29"/>
        <v>0.90472854640980738</v>
      </c>
      <c r="T13" s="55">
        <f t="shared" si="18"/>
        <v>0.91141804788213632</v>
      </c>
      <c r="U13" s="41">
        <f t="shared" ref="U13" si="43">(N13+M13)/2</f>
        <v>1.3095205929604208</v>
      </c>
      <c r="V13" s="42" t="str">
        <f t="shared" ref="V13" si="44">IF(U13&lt;0.65,"Black",IF(U13&lt;0.85,"Red",IF(U13&lt;1,"Yellow","Green")))</f>
        <v>Green</v>
      </c>
    </row>
    <row r="14" spans="2:22">
      <c r="B14" s="34" t="s">
        <v>69</v>
      </c>
      <c r="C14" s="34" t="s">
        <v>70</v>
      </c>
      <c r="D14" s="53">
        <v>40102</v>
      </c>
      <c r="E14" s="35">
        <v>55350</v>
      </c>
      <c r="F14" s="36">
        <f>E14*184/707</f>
        <v>14405.091937765204</v>
      </c>
      <c r="G14" s="37">
        <f>E14*35/100</f>
        <v>19372.5</v>
      </c>
      <c r="H14" s="38">
        <f>269.5*50</f>
        <v>13475</v>
      </c>
      <c r="I14" s="36">
        <f t="shared" ref="I14" si="45">G14-H14</f>
        <v>5897.5</v>
      </c>
      <c r="J14" s="39">
        <f t="shared" ref="J14" si="46">I14/F14</f>
        <v>0.40940384313263423</v>
      </c>
      <c r="K14" s="40">
        <f t="shared" ref="K14" si="47">G14-F14</f>
        <v>4967.4080622347956</v>
      </c>
      <c r="L14" s="39">
        <f t="shared" ref="L14" si="48">K14/F14</f>
        <v>0.34483695652173918</v>
      </c>
      <c r="M14" s="41">
        <f t="shared" ref="M14" si="49">G14/H14</f>
        <v>1.4376623376623376</v>
      </c>
      <c r="N14" s="41">
        <f t="shared" ref="N14" si="50">G14/F14</f>
        <v>1.3448369565217393</v>
      </c>
      <c r="O14" s="40">
        <f t="shared" ref="O14" si="51">P14-H14</f>
        <v>25025</v>
      </c>
      <c r="P14" s="40">
        <f t="shared" ref="P14" si="52">E14/M14</f>
        <v>38500</v>
      </c>
      <c r="Q14" s="39">
        <f t="shared" ref="Q14" si="53">R14/E14</f>
        <v>0.30442637759710928</v>
      </c>
      <c r="R14" s="42">
        <f t="shared" ref="R14" si="54">E14-P14</f>
        <v>16850</v>
      </c>
      <c r="S14" s="55">
        <f t="shared" si="29"/>
        <v>0.85916417910447762</v>
      </c>
      <c r="T14" s="55">
        <f t="shared" si="18"/>
        <v>0.87868068833652002</v>
      </c>
      <c r="U14" s="41">
        <f t="shared" ref="U14" si="55">(N14+M14)/2</f>
        <v>1.3912496470920384</v>
      </c>
      <c r="V14" s="42" t="str">
        <f t="shared" ref="V14" si="56">IF(U14&lt;0.65,"Black",IF(U14&lt;0.85,"Red",IF(U14&lt;1,"Yellow","Green")))</f>
        <v>Green</v>
      </c>
    </row>
    <row r="15" spans="2:22">
      <c r="B15" s="34" t="s">
        <v>69</v>
      </c>
      <c r="C15" s="34" t="s">
        <v>70</v>
      </c>
      <c r="D15" s="53">
        <v>40109</v>
      </c>
      <c r="E15" s="35">
        <v>55350</v>
      </c>
      <c r="F15" s="36">
        <f>E15*204/707</f>
        <v>15970.86280056577</v>
      </c>
      <c r="G15" s="37">
        <f>E15*40/100</f>
        <v>22140</v>
      </c>
      <c r="H15" s="38">
        <f>294.5*50</f>
        <v>14725</v>
      </c>
      <c r="I15" s="36">
        <f t="shared" ref="I15" si="57">G15-H15</f>
        <v>7415</v>
      </c>
      <c r="J15" s="39">
        <f t="shared" ref="J15" si="58">I15/F15</f>
        <v>0.46428299413713092</v>
      </c>
      <c r="K15" s="40">
        <f t="shared" ref="K15" si="59">G15-F15</f>
        <v>6169.1371994342298</v>
      </c>
      <c r="L15" s="39">
        <f t="shared" ref="L15" si="60">K15/F15</f>
        <v>0.38627450980392164</v>
      </c>
      <c r="M15" s="41">
        <f t="shared" ref="M15" si="61">G15/H15</f>
        <v>1.5035653650254668</v>
      </c>
      <c r="N15" s="41">
        <f t="shared" ref="N15" si="62">G15/F15</f>
        <v>1.3862745098039215</v>
      </c>
      <c r="O15" s="40">
        <f t="shared" ref="O15" si="63">P15-H15</f>
        <v>22087.5</v>
      </c>
      <c r="P15" s="40">
        <f t="shared" ref="P15" si="64">E15/M15</f>
        <v>36812.5</v>
      </c>
      <c r="Q15" s="39">
        <f t="shared" ref="Q15" si="65">R15/E15</f>
        <v>0.33491418247515808</v>
      </c>
      <c r="R15" s="42">
        <f t="shared" ref="R15" si="66">E15-P15</f>
        <v>18537.5</v>
      </c>
      <c r="S15" s="55">
        <f t="shared" si="29"/>
        <v>0.8174769230769231</v>
      </c>
      <c r="T15" s="55">
        <f t="shared" si="18"/>
        <v>0.8433399602385685</v>
      </c>
      <c r="U15" s="41">
        <f t="shared" ref="U15" si="67">(N15+M15)/2</f>
        <v>1.4449199374146942</v>
      </c>
      <c r="V15" s="42" t="str">
        <f t="shared" ref="V15" si="68">IF(U15&lt;0.65,"Black",IF(U15&lt;0.85,"Red",IF(U15&lt;1,"Yellow","Green")))</f>
        <v>Green</v>
      </c>
    </row>
    <row r="16" spans="2:22">
      <c r="B16" s="34" t="s">
        <v>69</v>
      </c>
      <c r="C16" s="34" t="s">
        <v>70</v>
      </c>
      <c r="D16" s="53">
        <v>40116</v>
      </c>
      <c r="E16" s="35">
        <v>55350</v>
      </c>
      <c r="F16" s="36">
        <f>E16*224/707</f>
        <v>17536.633663366338</v>
      </c>
      <c r="G16" s="37">
        <f>E16*44/100</f>
        <v>24354</v>
      </c>
      <c r="H16" s="38">
        <f>308.5*50</f>
        <v>15425</v>
      </c>
      <c r="I16" s="36">
        <f t="shared" ref="I16" si="69">G16-H16</f>
        <v>8929</v>
      </c>
      <c r="J16" s="39">
        <f t="shared" ref="J16" si="70">I16/F16</f>
        <v>0.50916271454381212</v>
      </c>
      <c r="K16" s="40">
        <f t="shared" ref="K16" si="71">G16-F16</f>
        <v>6817.3663366336623</v>
      </c>
      <c r="L16" s="39">
        <f t="shared" ref="L16" si="72">K16/F16</f>
        <v>0.38874999999999993</v>
      </c>
      <c r="M16" s="41">
        <f t="shared" ref="M16" si="73">G16/H16</f>
        <v>1.5788654781199352</v>
      </c>
      <c r="N16" s="41">
        <f t="shared" ref="N16" si="74">G16/F16</f>
        <v>1.3887499999999999</v>
      </c>
      <c r="O16" s="40">
        <f t="shared" ref="O16" si="75">P16-H16</f>
        <v>19631.818181818184</v>
      </c>
      <c r="P16" s="40">
        <f t="shared" ref="P16" si="76">E16/M16</f>
        <v>35056.818181818184</v>
      </c>
      <c r="Q16" s="39">
        <f t="shared" ref="Q16" si="77">R16/E16</f>
        <v>0.36663381785332999</v>
      </c>
      <c r="R16" s="42">
        <f t="shared" ref="R16" si="78">E16-P16</f>
        <v>20293.181818181816</v>
      </c>
      <c r="S16" s="55">
        <f t="shared" si="29"/>
        <v>0.77635566687539137</v>
      </c>
      <c r="T16" s="55">
        <f t="shared" si="18"/>
        <v>0.81971014492753624</v>
      </c>
      <c r="U16" s="41">
        <f t="shared" ref="U16" si="79">(N16+M16)/2</f>
        <v>1.4838077390599675</v>
      </c>
      <c r="V16" s="42" t="str">
        <f t="shared" ref="V16" si="80">IF(U16&lt;0.65,"Black",IF(U16&lt;0.85,"Red",IF(U16&lt;1,"Yellow","Green")))</f>
        <v>Green</v>
      </c>
    </row>
    <row r="17" spans="2:22" s="6" customFormat="1">
      <c r="B17" s="34" t="s">
        <v>69</v>
      </c>
      <c r="C17" s="34" t="s">
        <v>70</v>
      </c>
      <c r="D17" s="53">
        <v>40123</v>
      </c>
      <c r="E17" s="35">
        <v>55350</v>
      </c>
      <c r="F17" s="36">
        <f>E17*244/707</f>
        <v>19102.404526166902</v>
      </c>
      <c r="G17" s="37">
        <f>E17*47/100</f>
        <v>26014.5</v>
      </c>
      <c r="H17" s="38">
        <f>322.5*50</f>
        <v>16125</v>
      </c>
      <c r="I17" s="36">
        <f t="shared" ref="I17" si="81">G17-H17</f>
        <v>9889.5</v>
      </c>
      <c r="J17" s="39">
        <f t="shared" ref="J17" si="82">I17/F17</f>
        <v>0.5177096939002177</v>
      </c>
      <c r="K17" s="40">
        <f t="shared" ref="K17" si="83">G17-F17</f>
        <v>6912.0954738330984</v>
      </c>
      <c r="L17" s="39">
        <f t="shared" ref="L17" si="84">K17/F17</f>
        <v>0.36184426229508204</v>
      </c>
      <c r="M17" s="41">
        <f t="shared" ref="M17" si="85">G17/H17</f>
        <v>1.6133023255813954</v>
      </c>
      <c r="N17" s="41">
        <f t="shared" ref="N17" si="86">G17/F17</f>
        <v>1.3618442622950819</v>
      </c>
      <c r="O17" s="40">
        <f t="shared" ref="O17" si="87">P17-H17</f>
        <v>18183.51063829787</v>
      </c>
      <c r="P17" s="40">
        <f t="shared" ref="P17" si="88">E17/M17</f>
        <v>34308.51063829787</v>
      </c>
      <c r="Q17" s="39">
        <f t="shared" ref="Q17" si="89">R17/E17</f>
        <v>0.38015337600184518</v>
      </c>
      <c r="R17" s="42">
        <f t="shared" ref="R17" si="90">E17-P17</f>
        <v>21041.48936170213</v>
      </c>
      <c r="S17" s="55">
        <f t="shared" ref="S17" si="91">(E17-G17)/(E17-H17)</f>
        <v>0.74787762906309752</v>
      </c>
      <c r="T17" s="55">
        <f t="shared" ref="T17" si="92">(E17-G17)/(E17-F17)</f>
        <v>0.8093088552915767</v>
      </c>
      <c r="U17" s="41">
        <f t="shared" ref="U17" si="93">(N17+M17)/2</f>
        <v>1.4875732939382387</v>
      </c>
      <c r="V17" s="42" t="str">
        <f t="shared" ref="V17" si="94">IF(U17&lt;0.65,"Black",IF(U17&lt;0.85,"Red",IF(U17&lt;1,"Yellow","Green")))</f>
        <v>Green</v>
      </c>
    </row>
    <row r="18" spans="2:22" s="6" customFormat="1">
      <c r="B18" s="34" t="s">
        <v>69</v>
      </c>
      <c r="C18" s="34" t="s">
        <v>70</v>
      </c>
      <c r="D18" s="53">
        <v>40130</v>
      </c>
      <c r="E18" s="35">
        <v>55350</v>
      </c>
      <c r="F18" s="36">
        <f>E18*264/707</f>
        <v>20668.175388967469</v>
      </c>
      <c r="G18" s="37">
        <f>E18*48/100</f>
        <v>26568</v>
      </c>
      <c r="H18" s="38">
        <f>349.5*50</f>
        <v>17475</v>
      </c>
      <c r="I18" s="36">
        <f t="shared" ref="I18" si="95">G18-H18</f>
        <v>9093</v>
      </c>
      <c r="J18" s="39">
        <f t="shared" ref="J18" si="96">I18/F18</f>
        <v>0.43995175330541181</v>
      </c>
      <c r="K18" s="40">
        <f t="shared" ref="K18" si="97">G18-F18</f>
        <v>5899.8246110325308</v>
      </c>
      <c r="L18" s="39">
        <f t="shared" ref="L18" si="98">K18/F18</f>
        <v>0.28545454545454541</v>
      </c>
      <c r="M18" s="41">
        <f t="shared" ref="M18" si="99">G18/H18</f>
        <v>1.520343347639485</v>
      </c>
      <c r="N18" s="41">
        <f t="shared" ref="N18" si="100">G18/F18</f>
        <v>1.2854545454545454</v>
      </c>
      <c r="O18" s="40">
        <f t="shared" ref="O18" si="101">P18-H18</f>
        <v>18931.25</v>
      </c>
      <c r="P18" s="40">
        <f t="shared" ref="P18" si="102">E18/M18</f>
        <v>36406.25</v>
      </c>
      <c r="Q18" s="39">
        <f t="shared" ref="Q18" si="103">R18/E18</f>
        <v>0.3422538392050587</v>
      </c>
      <c r="R18" s="42">
        <f t="shared" ref="R18" si="104">E18-P18</f>
        <v>18943.75</v>
      </c>
      <c r="S18" s="55">
        <f t="shared" ref="S18" si="105">(E18-G18)/(E18-H18)</f>
        <v>0.75992079207920793</v>
      </c>
      <c r="T18" s="55">
        <f t="shared" ref="T18" si="106">(E18-G18)/(E18-F18)</f>
        <v>0.82988713318284435</v>
      </c>
      <c r="U18" s="41">
        <f t="shared" ref="U18" si="107">(N18+M18)/2</f>
        <v>1.4028989465470152</v>
      </c>
      <c r="V18" s="42" t="str">
        <f t="shared" ref="V18" si="108">IF(U18&lt;0.65,"Black",IF(U18&lt;0.85,"Red",IF(U18&lt;1,"Yellow","Green")))</f>
        <v>Green</v>
      </c>
    </row>
    <row r="19" spans="2:22" s="6" customFormat="1">
      <c r="B19" s="34" t="s">
        <v>69</v>
      </c>
      <c r="C19" s="34" t="s">
        <v>70</v>
      </c>
      <c r="D19" s="53">
        <v>40137</v>
      </c>
      <c r="E19" s="35">
        <v>55350</v>
      </c>
      <c r="F19" s="36">
        <f>E19*284/707</f>
        <v>22233.946251768033</v>
      </c>
      <c r="G19" s="37">
        <f>E19*50/100</f>
        <v>27675</v>
      </c>
      <c r="H19" s="38">
        <f>360*50</f>
        <v>18000</v>
      </c>
      <c r="I19" s="36">
        <f t="shared" ref="I19:I20" si="109">G19-H19</f>
        <v>9675</v>
      </c>
      <c r="J19" s="39">
        <f t="shared" ref="J19:J20" si="110">I19/F19</f>
        <v>0.43514542539791595</v>
      </c>
      <c r="K19" s="40">
        <f t="shared" ref="K19:K20" si="111">G19-F19</f>
        <v>5441.0537482319669</v>
      </c>
      <c r="L19" s="39">
        <f t="shared" ref="L19:L20" si="112">K19/F19</f>
        <v>0.24471830985915496</v>
      </c>
      <c r="M19" s="41">
        <f t="shared" ref="M19:M20" si="113">G19/H19</f>
        <v>1.5375000000000001</v>
      </c>
      <c r="N19" s="41">
        <f t="shared" ref="N19:N20" si="114">G19/F19</f>
        <v>1.244718309859155</v>
      </c>
      <c r="O19" s="40">
        <f t="shared" ref="O19:O20" si="115">P19-H19</f>
        <v>18000</v>
      </c>
      <c r="P19" s="40">
        <f t="shared" ref="P19:P20" si="116">E19/M19</f>
        <v>36000</v>
      </c>
      <c r="Q19" s="39">
        <f t="shared" ref="Q19:Q20" si="117">R19/E19</f>
        <v>0.34959349593495936</v>
      </c>
      <c r="R19" s="42">
        <f t="shared" ref="R19:R20" si="118">E19-P19</f>
        <v>19350</v>
      </c>
      <c r="S19" s="55">
        <f t="shared" ref="S19:S20" si="119">(E19-G19)/(E19-H19)</f>
        <v>0.74096385542168675</v>
      </c>
      <c r="T19" s="55">
        <f t="shared" ref="T19:T20" si="120">(E19-G19)/(E19-F19)</f>
        <v>0.8356973995271868</v>
      </c>
      <c r="U19" s="41">
        <f t="shared" ref="U19:U20" si="121">(N19+M19)/2</f>
        <v>1.3911091549295775</v>
      </c>
      <c r="V19" s="42" t="str">
        <f t="shared" ref="V19:V20" si="122">IF(U19&lt;0.65,"Black",IF(U19&lt;0.85,"Red",IF(U19&lt;1,"Yellow","Green")))</f>
        <v>Green</v>
      </c>
    </row>
    <row r="20" spans="2:22" s="6" customFormat="1">
      <c r="B20" s="34" t="s">
        <v>69</v>
      </c>
      <c r="C20" s="34" t="s">
        <v>70</v>
      </c>
      <c r="D20" s="53">
        <v>40144</v>
      </c>
      <c r="E20" s="35">
        <v>55350</v>
      </c>
      <c r="F20" s="36">
        <f>E20*304/707</f>
        <v>23799.717114568601</v>
      </c>
      <c r="G20" s="37">
        <f>E20*52/100</f>
        <v>28782</v>
      </c>
      <c r="H20" s="38">
        <f>379*50</f>
        <v>18950</v>
      </c>
      <c r="I20" s="36">
        <f t="shared" si="109"/>
        <v>9832</v>
      </c>
      <c r="J20" s="39">
        <f t="shared" si="110"/>
        <v>0.41311415394855699</v>
      </c>
      <c r="K20" s="40">
        <f t="shared" si="111"/>
        <v>4982.2828854313993</v>
      </c>
      <c r="L20" s="39">
        <f t="shared" si="112"/>
        <v>0.20934210526315786</v>
      </c>
      <c r="M20" s="41">
        <f t="shared" si="113"/>
        <v>1.5188390501319262</v>
      </c>
      <c r="N20" s="41">
        <f t="shared" si="114"/>
        <v>1.2093421052631579</v>
      </c>
      <c r="O20" s="40">
        <f t="shared" si="115"/>
        <v>17492.307692307688</v>
      </c>
      <c r="P20" s="40">
        <f t="shared" si="116"/>
        <v>36442.307692307688</v>
      </c>
      <c r="Q20" s="39">
        <f t="shared" si="117"/>
        <v>0.34160239038287826</v>
      </c>
      <c r="R20" s="42">
        <f t="shared" si="118"/>
        <v>18907.692307692312</v>
      </c>
      <c r="S20" s="55">
        <f t="shared" si="119"/>
        <v>0.72989010989010994</v>
      </c>
      <c r="T20" s="55">
        <f t="shared" si="120"/>
        <v>0.84208436724565761</v>
      </c>
      <c r="U20" s="41">
        <f t="shared" si="121"/>
        <v>1.3640905776975421</v>
      </c>
      <c r="V20" s="42" t="str">
        <f t="shared" si="122"/>
        <v>Green</v>
      </c>
    </row>
    <row r="21" spans="2:22" s="6" customFormat="1">
      <c r="B21" s="34" t="s">
        <v>69</v>
      </c>
      <c r="C21" s="34" t="s">
        <v>70</v>
      </c>
      <c r="D21" s="53">
        <v>40151</v>
      </c>
      <c r="E21" s="35">
        <v>55350</v>
      </c>
      <c r="F21" s="36">
        <f>E21*324/707</f>
        <v>25365.487977369165</v>
      </c>
      <c r="G21" s="37">
        <f>E21*55/100</f>
        <v>30442.5</v>
      </c>
      <c r="H21" s="38">
        <f>399.5*50</f>
        <v>19975</v>
      </c>
      <c r="I21" s="36">
        <f t="shared" ref="I21" si="123">G21-H21</f>
        <v>10467.5</v>
      </c>
      <c r="J21" s="39">
        <f t="shared" ref="J21" si="124">I21/F21</f>
        <v>0.41266700681410107</v>
      </c>
      <c r="K21" s="40">
        <f t="shared" ref="K21" si="125">G21-F21</f>
        <v>5077.0120226308354</v>
      </c>
      <c r="L21" s="39">
        <f t="shared" ref="L21" si="126">K21/F21</f>
        <v>0.20015432098765437</v>
      </c>
      <c r="M21" s="41">
        <f t="shared" ref="M21" si="127">G21/H21</f>
        <v>1.5240300375469336</v>
      </c>
      <c r="N21" s="41">
        <f t="shared" ref="N21" si="128">G21/F21</f>
        <v>1.2001543209876544</v>
      </c>
      <c r="O21" s="40">
        <f t="shared" ref="O21" si="129">P21-H21</f>
        <v>16343.181818181823</v>
      </c>
      <c r="P21" s="40">
        <f t="shared" ref="P21" si="130">E21/M21</f>
        <v>36318.181818181823</v>
      </c>
      <c r="Q21" s="39">
        <f t="shared" ref="Q21" si="131">R21/E21</f>
        <v>0.34384495360105105</v>
      </c>
      <c r="R21" s="42">
        <f t="shared" ref="R21" si="132">E21-P21</f>
        <v>19031.818181818177</v>
      </c>
      <c r="S21" s="55">
        <f t="shared" ref="S21" si="133">(E21-G21)/(E21-H21)</f>
        <v>0.70409893992932859</v>
      </c>
      <c r="T21" s="55">
        <f t="shared" ref="T21" si="134">(E21-G21)/(E21-F21)</f>
        <v>0.83067885117493467</v>
      </c>
      <c r="U21" s="41">
        <f t="shared" ref="U21" si="135">(N21+M21)/2</f>
        <v>1.362092179267294</v>
      </c>
      <c r="V21" s="42" t="str">
        <f t="shared" ref="V21" si="136">IF(U21&lt;0.65,"Black",IF(U21&lt;0.85,"Red",IF(U21&lt;1,"Yellow","Green")))</f>
        <v>Green</v>
      </c>
    </row>
    <row r="22" spans="2:22" s="6" customFormat="1">
      <c r="B22" s="34" t="s">
        <v>69</v>
      </c>
      <c r="C22" s="34" t="s">
        <v>70</v>
      </c>
      <c r="D22" s="53">
        <v>40158</v>
      </c>
      <c r="E22" s="35">
        <v>55350</v>
      </c>
      <c r="F22" s="36">
        <f>E22*344/707</f>
        <v>26931.258840169732</v>
      </c>
      <c r="G22" s="37">
        <f>E22*57/100</f>
        <v>31549.5</v>
      </c>
      <c r="H22" s="38">
        <f>408.5*50</f>
        <v>20425</v>
      </c>
      <c r="I22" s="36">
        <f t="shared" ref="I22" si="137">G22-H22</f>
        <v>11124.5</v>
      </c>
      <c r="J22" s="39">
        <f t="shared" ref="J22" si="138">I22/F22</f>
        <v>0.4130701823491103</v>
      </c>
      <c r="K22" s="40">
        <f t="shared" ref="K22" si="139">G22-F22</f>
        <v>4618.2411598302679</v>
      </c>
      <c r="L22" s="39">
        <f t="shared" ref="L22" si="140">K22/F22</f>
        <v>0.17148255813953484</v>
      </c>
      <c r="M22" s="41">
        <f t="shared" ref="M22" si="141">G22/H22</f>
        <v>1.5446511627906976</v>
      </c>
      <c r="N22" s="41">
        <f t="shared" ref="N22" si="142">G22/F22</f>
        <v>1.1714825581395349</v>
      </c>
      <c r="O22" s="40">
        <f t="shared" ref="O22" si="143">P22-H22</f>
        <v>15408.333333333336</v>
      </c>
      <c r="P22" s="40">
        <f t="shared" ref="P22" si="144">E22/M22</f>
        <v>35833.333333333336</v>
      </c>
      <c r="Q22" s="39">
        <f t="shared" ref="Q22" si="145">R22/E22</f>
        <v>0.35260463715748264</v>
      </c>
      <c r="R22" s="42">
        <f t="shared" ref="R22" si="146">E22-P22</f>
        <v>19516.666666666664</v>
      </c>
      <c r="S22" s="55">
        <f t="shared" ref="S22" si="147">(E22-G22)/(E22-H22)</f>
        <v>0.68147458840372221</v>
      </c>
      <c r="T22" s="55">
        <f t="shared" ref="T22" si="148">(E22-G22)/(E22-F22)</f>
        <v>0.83749311294765838</v>
      </c>
      <c r="U22" s="41">
        <f t="shared" ref="U22" si="149">(N22+M22)/2</f>
        <v>1.3580668604651163</v>
      </c>
      <c r="V22" s="42" t="str">
        <f t="shared" ref="V22" si="150">IF(U22&lt;0.65,"Black",IF(U22&lt;0.85,"Red",IF(U22&lt;1,"Yellow","Green")))</f>
        <v>Green</v>
      </c>
    </row>
    <row r="23" spans="2:22" s="6" customFormat="1">
      <c r="B23" s="34" t="s">
        <v>69</v>
      </c>
      <c r="C23" s="34" t="s">
        <v>70</v>
      </c>
      <c r="D23" s="53">
        <v>40165</v>
      </c>
      <c r="E23" s="35">
        <v>55350</v>
      </c>
      <c r="F23" s="36">
        <f>E23*364/707</f>
        <v>28497.029702970296</v>
      </c>
      <c r="G23" s="37">
        <f>E23*60/100</f>
        <v>33210</v>
      </c>
      <c r="H23" s="38">
        <f>437.5*50</f>
        <v>21875</v>
      </c>
      <c r="I23" s="36">
        <f t="shared" ref="I23" si="151">G23-H23</f>
        <v>11335</v>
      </c>
      <c r="J23" s="39">
        <f t="shared" ref="J23" si="152">I23/F23</f>
        <v>0.39776075324855814</v>
      </c>
      <c r="K23" s="40">
        <f t="shared" ref="K23" si="153">G23-F23</f>
        <v>4712.9702970297039</v>
      </c>
      <c r="L23" s="39">
        <f t="shared" ref="L23" si="154">K23/F23</f>
        <v>0.16538461538461544</v>
      </c>
      <c r="M23" s="41">
        <f t="shared" ref="M23" si="155">G23/H23</f>
        <v>1.5181714285714285</v>
      </c>
      <c r="N23" s="41">
        <f t="shared" ref="N23" si="156">G23/F23</f>
        <v>1.1653846153846155</v>
      </c>
      <c r="O23" s="40">
        <f t="shared" ref="O23" si="157">P23-H23</f>
        <v>14583.333333333336</v>
      </c>
      <c r="P23" s="40">
        <f t="shared" ref="P23" si="158">E23/M23</f>
        <v>36458.333333333336</v>
      </c>
      <c r="Q23" s="39">
        <f t="shared" ref="Q23" si="159">R23/E23</f>
        <v>0.34131285757302016</v>
      </c>
      <c r="R23" s="42">
        <f t="shared" ref="R23" si="160">E23-P23</f>
        <v>18891.666666666664</v>
      </c>
      <c r="S23" s="55">
        <f t="shared" ref="S23" si="161">(E23-G23)/(E23-H23)</f>
        <v>0.66138909634055265</v>
      </c>
      <c r="T23" s="55">
        <f t="shared" ref="T23" si="162">(E23-G23)/(E23-F23)</f>
        <v>0.82448979591836735</v>
      </c>
      <c r="U23" s="41">
        <f t="shared" ref="U23" si="163">(N23+M23)/2</f>
        <v>1.341778021978022</v>
      </c>
      <c r="V23" s="42" t="str">
        <f t="shared" ref="V23" si="164">IF(U23&lt;0.65,"Black",IF(U23&lt;0.85,"Red",IF(U23&lt;1,"Yellow","Green")))</f>
        <v>Green</v>
      </c>
    </row>
    <row r="24" spans="2:22" s="6" customFormat="1">
      <c r="B24" s="34" t="s">
        <v>69</v>
      </c>
      <c r="C24" s="34" t="s">
        <v>70</v>
      </c>
      <c r="D24" s="53">
        <v>40186</v>
      </c>
      <c r="E24" s="35">
        <v>55350</v>
      </c>
      <c r="F24" s="36">
        <f>E24*404/707</f>
        <v>31628.571428571428</v>
      </c>
      <c r="G24" s="37">
        <f>E24*64/100</f>
        <v>35424</v>
      </c>
      <c r="H24" s="38">
        <f>467.5*50</f>
        <v>23375</v>
      </c>
      <c r="I24" s="36">
        <f t="shared" ref="I24" si="165">G24-H24</f>
        <v>12049</v>
      </c>
      <c r="J24" s="39">
        <f t="shared" ref="J24" si="166">I24/F24</f>
        <v>0.38095302619692867</v>
      </c>
      <c r="K24" s="40">
        <f t="shared" ref="K24" si="167">G24-F24</f>
        <v>3795.4285714285725</v>
      </c>
      <c r="L24" s="39">
        <f t="shared" ref="L24" si="168">K24/F24</f>
        <v>0.12000000000000004</v>
      </c>
      <c r="M24" s="41">
        <f t="shared" ref="M24" si="169">G24/H24</f>
        <v>1.5154652406417113</v>
      </c>
      <c r="N24" s="41">
        <f t="shared" ref="N24" si="170">G24/F24</f>
        <v>1.1200000000000001</v>
      </c>
      <c r="O24" s="40">
        <f t="shared" ref="O24" si="171">P24-H24</f>
        <v>13148.4375</v>
      </c>
      <c r="P24" s="40">
        <f t="shared" ref="P24" si="172">E24/M24</f>
        <v>36523.4375</v>
      </c>
      <c r="Q24" s="39">
        <f t="shared" ref="Q24" si="173">R24/E24</f>
        <v>0.340136630532972</v>
      </c>
      <c r="R24" s="42">
        <f t="shared" ref="R24" si="174">E24-P24</f>
        <v>18826.5625</v>
      </c>
      <c r="S24" s="55">
        <f t="shared" ref="S24" si="175">(E24-G24)/(E24-H24)</f>
        <v>0.62317435496481621</v>
      </c>
      <c r="T24" s="55">
        <f t="shared" ref="T24" si="176">(E24-G24)/(E24-F24)</f>
        <v>0.84</v>
      </c>
      <c r="U24" s="41">
        <f t="shared" ref="U24" si="177">(N24+M24)/2</f>
        <v>1.3177326203208557</v>
      </c>
      <c r="V24" s="42" t="str">
        <f t="shared" ref="V24" si="178">IF(U24&lt;0.65,"Black",IF(U24&lt;0.85,"Red",IF(U24&lt;1,"Yellow","Green")))</f>
        <v>Green</v>
      </c>
    </row>
    <row r="25" spans="2:22">
      <c r="B25" s="7"/>
      <c r="C25" s="8"/>
      <c r="D25" s="8"/>
      <c r="E25" s="7"/>
      <c r="F25" s="7"/>
      <c r="G25" s="7"/>
      <c r="H25" s="7"/>
      <c r="I25" s="26"/>
      <c r="J25" s="27"/>
      <c r="K25" s="26"/>
      <c r="L25" s="27"/>
      <c r="M25" s="28"/>
      <c r="N25" s="28"/>
      <c r="O25" s="26"/>
      <c r="P25" s="26"/>
      <c r="Q25" s="27"/>
      <c r="R25" s="26"/>
      <c r="S25" s="26"/>
      <c r="T25" s="26"/>
      <c r="U25" s="28"/>
      <c r="V25" s="29"/>
    </row>
    <row r="27" spans="2:22" ht="12" customHeight="1"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2"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2"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2"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2"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2:22"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9:21"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9:21"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9:21"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9:21"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9:21"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9:21"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9:21"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9:21"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9:21"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9:21"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9:21"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9:21"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9:21"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9:21"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9:21"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9:21"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9:21"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9:21"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9:21"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9:21"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9:21"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9:21"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9:21"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9:21"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9:21"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9:21"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9:21"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9:21"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9:21"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9:21"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9:21"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9:21"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9:21"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9:21"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9:21"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9:21"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9:21"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9:21"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9:21"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9:21"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9:21"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9:21"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9:21"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9:21"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9:21"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9:21"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9:21"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9:21">
      <c r="I80"/>
      <c r="J80"/>
      <c r="K80"/>
      <c r="L80"/>
      <c r="M80"/>
      <c r="N80"/>
      <c r="O80"/>
      <c r="P80"/>
      <c r="Q80"/>
      <c r="R80"/>
      <c r="S80"/>
      <c r="T80"/>
      <c r="U80"/>
    </row>
  </sheetData>
  <mergeCells count="10">
    <mergeCell ref="B2:F2"/>
    <mergeCell ref="B3:F3"/>
    <mergeCell ref="B4:F4"/>
    <mergeCell ref="B6:C6"/>
    <mergeCell ref="E6:F6"/>
    <mergeCell ref="S6:T6"/>
    <mergeCell ref="I6:J6"/>
    <mergeCell ref="K6:L6"/>
    <mergeCell ref="M6:N6"/>
    <mergeCell ref="O6:R6"/>
  </mergeCells>
  <phoneticPr fontId="1" type="noConversion"/>
  <conditionalFormatting sqref="V26 V81:V65540 U6:V6">
    <cfRule type="cellIs" dxfId="10" priority="1" stopIfTrue="1" operator="equal">
      <formula>"GREEN"</formula>
    </cfRule>
    <cfRule type="cellIs" dxfId="9" priority="2" stopIfTrue="1" operator="equal">
      <formula>"YELLOW"</formula>
    </cfRule>
    <cfRule type="cellIs" dxfId="8" priority="3" stopIfTrue="1" operator="equal">
      <formula>"RED"</formula>
    </cfRule>
  </conditionalFormatting>
  <conditionalFormatting sqref="J8:J25 L8:L25 Q8:Q25">
    <cfRule type="cellIs" dxfId="7" priority="4" stopIfTrue="1" operator="lessThan">
      <formula>0</formula>
    </cfRule>
  </conditionalFormatting>
  <conditionalFormatting sqref="V8:V25">
    <cfRule type="cellIs" dxfId="6" priority="5" stopIfTrue="1" operator="equal">
      <formula>"GREEN"</formula>
    </cfRule>
    <cfRule type="cellIs" dxfId="5" priority="6" stopIfTrue="1" operator="equal">
      <formula>"YELLOW"</formula>
    </cfRule>
    <cfRule type="cellIs" dxfId="4" priority="7" stopIfTrue="1" operator="equal">
      <formula>"RED"</formula>
    </cfRule>
  </conditionalFormatting>
  <pageMargins left="0.75" right="0.75" top="1" bottom="1" header="0.5" footer="0.5"/>
  <pageSetup scale="64" orientation="landscape" r:id="rId1"/>
  <headerFooter alignWithMargins="0">
    <oddHeader>Page &amp;P of &amp;N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55" sqref="L55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Definitions</vt:lpstr>
      <vt:lpstr>Data</vt:lpstr>
      <vt:lpstr>Charts</vt:lpstr>
      <vt:lpstr>Data!Print_Area</vt:lpstr>
      <vt:lpstr>Definitions!Print_Area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vuppala</cp:lastModifiedBy>
  <cp:lastPrinted>2004-07-06T23:52:03Z</cp:lastPrinted>
  <dcterms:created xsi:type="dcterms:W3CDTF">2004-04-27T16:32:13Z</dcterms:created>
  <dcterms:modified xsi:type="dcterms:W3CDTF">2010-01-14T17:49:00Z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TC011412731033</vt:lpwstr>
  </property>
</Properties>
</file>