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yler\Downloads\"/>
    </mc:Choice>
  </mc:AlternateContent>
  <xr:revisionPtr revIDLastSave="0" documentId="13_ncr:1_{6EE0E37C-C3C8-4B9F-ACFD-1C5DD7F4B0E8}" xr6:coauthVersionLast="47" xr6:coauthVersionMax="47" xr10:uidLastSave="{00000000-0000-0000-0000-000000000000}"/>
  <bookViews>
    <workbookView xWindow="2430" yWindow="32280" windowWidth="51840" windowHeight="21120" activeTab="2" xr2:uid="{00000000-000D-0000-FFFF-FFFF00000000}"/>
  </bookViews>
  <sheets>
    <sheet name="Individual Sites" sheetId="1" r:id="rId1"/>
    <sheet name="Grouped Sites" sheetId="2" r:id="rId2"/>
    <sheet name="Sorted Group Sites" sheetId="3" r:id="rId3"/>
    <sheet name="Data Dictionary" sheetId="4" r:id="rId4"/>
  </sheets>
  <definedNames>
    <definedName name="_xlnm._FilterDatabase" localSheetId="0" hidden="1">'Individual Sites'!$A$1:$R$980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B1KxfKeVvEqV9Y8X7E+yXMMo/Jwqe2KJaKUo8nW5W4c="/>
    </ext>
  </extLst>
</workbook>
</file>

<file path=xl/calcChain.xml><?xml version="1.0" encoding="utf-8"?>
<calcChain xmlns="http://schemas.openxmlformats.org/spreadsheetml/2006/main">
  <c r="A74" i="2" l="1"/>
  <c r="B74" i="2" s="1"/>
  <c r="A73" i="2"/>
  <c r="H73" i="2" s="1"/>
  <c r="A72" i="2"/>
  <c r="H72" i="2" s="1"/>
  <c r="A71" i="2"/>
  <c r="H71" i="2" s="1"/>
  <c r="A70" i="2"/>
  <c r="H70" i="2" s="1"/>
  <c r="A69" i="2"/>
  <c r="H69" i="2" s="1"/>
  <c r="A68" i="2"/>
  <c r="H68" i="2" s="1"/>
  <c r="A67" i="2"/>
  <c r="H67" i="2" s="1"/>
  <c r="A66" i="2"/>
  <c r="H66" i="2" s="1"/>
  <c r="A65" i="2"/>
  <c r="H65" i="2" s="1"/>
  <c r="A64" i="2"/>
  <c r="H64" i="2" s="1"/>
  <c r="A63" i="2"/>
  <c r="H63" i="2" s="1"/>
  <c r="A62" i="2"/>
  <c r="H62" i="2" s="1"/>
  <c r="A61" i="2"/>
  <c r="H61" i="2" s="1"/>
  <c r="A60" i="2"/>
  <c r="H60" i="2" s="1"/>
  <c r="A59" i="2"/>
  <c r="H59" i="2" s="1"/>
  <c r="A58" i="2"/>
  <c r="H58" i="2" s="1"/>
  <c r="A57" i="2"/>
  <c r="H57" i="2" s="1"/>
  <c r="A56" i="2"/>
  <c r="H56" i="2" s="1"/>
  <c r="A55" i="2"/>
  <c r="H55" i="2" s="1"/>
  <c r="A54" i="2"/>
  <c r="H54" i="2" s="1"/>
  <c r="A53" i="2"/>
  <c r="H53" i="2" s="1"/>
  <c r="A52" i="2"/>
  <c r="H52" i="2" s="1"/>
  <c r="A51" i="2"/>
  <c r="H51" i="2" s="1"/>
  <c r="A50" i="2"/>
  <c r="H50" i="2" s="1"/>
  <c r="A49" i="2"/>
  <c r="H49" i="2" s="1"/>
  <c r="A48" i="2"/>
  <c r="H48" i="2" s="1"/>
  <c r="A47" i="2"/>
  <c r="H47" i="2" s="1"/>
  <c r="A46" i="2"/>
  <c r="H46" i="2" s="1"/>
  <c r="A45" i="2"/>
  <c r="H45" i="2" s="1"/>
  <c r="A44" i="2"/>
  <c r="H44" i="2" s="1"/>
  <c r="A43" i="2"/>
  <c r="H43" i="2" s="1"/>
  <c r="A42" i="2"/>
  <c r="H42" i="2" s="1"/>
  <c r="A41" i="2"/>
  <c r="H41" i="2" s="1"/>
  <c r="A40" i="2"/>
  <c r="H40" i="2" s="1"/>
  <c r="A39" i="2"/>
  <c r="H39" i="2" s="1"/>
  <c r="A38" i="2"/>
  <c r="H38" i="2" s="1"/>
  <c r="A37" i="2"/>
  <c r="H37" i="2" s="1"/>
  <c r="A36" i="2"/>
  <c r="H36" i="2" s="1"/>
  <c r="A35" i="2"/>
  <c r="H35" i="2" s="1"/>
  <c r="A34" i="2"/>
  <c r="H34" i="2" s="1"/>
  <c r="A33" i="2"/>
  <c r="H33" i="2" s="1"/>
  <c r="A32" i="2"/>
  <c r="H32" i="2" s="1"/>
  <c r="A31" i="2"/>
  <c r="H31" i="2" s="1"/>
  <c r="A30" i="2"/>
  <c r="H30" i="2" s="1"/>
  <c r="A29" i="2"/>
  <c r="H29" i="2" s="1"/>
  <c r="A28" i="2"/>
  <c r="H28" i="2" s="1"/>
  <c r="A27" i="2"/>
  <c r="H27" i="2" s="1"/>
  <c r="A26" i="2"/>
  <c r="H26" i="2" s="1"/>
  <c r="A25" i="2"/>
  <c r="H25" i="2" s="1"/>
  <c r="A24" i="2"/>
  <c r="H24" i="2" s="1"/>
  <c r="A23" i="2"/>
  <c r="H23" i="2" s="1"/>
  <c r="A22" i="2"/>
  <c r="H22" i="2" s="1"/>
  <c r="A21" i="2"/>
  <c r="H21" i="2" s="1"/>
  <c r="A20" i="2"/>
  <c r="H20" i="2" s="1"/>
  <c r="A19" i="2"/>
  <c r="H19" i="2" s="1"/>
  <c r="A18" i="2"/>
  <c r="H18" i="2" s="1"/>
  <c r="A17" i="2"/>
  <c r="H17" i="2" s="1"/>
  <c r="A16" i="2"/>
  <c r="H16" i="2" s="1"/>
  <c r="A15" i="2"/>
  <c r="H15" i="2" s="1"/>
  <c r="A14" i="2"/>
  <c r="H14" i="2" s="1"/>
  <c r="A13" i="2"/>
  <c r="H13" i="2" s="1"/>
  <c r="A12" i="2"/>
  <c r="H12" i="2" s="1"/>
  <c r="A11" i="2"/>
  <c r="H11" i="2" s="1"/>
  <c r="A10" i="2"/>
  <c r="H10" i="2" s="1"/>
  <c r="A9" i="2"/>
  <c r="H9" i="2" s="1"/>
  <c r="A8" i="2"/>
  <c r="H8" i="2" s="1"/>
  <c r="A7" i="2"/>
  <c r="H7" i="2" s="1"/>
  <c r="A6" i="2"/>
  <c r="H6" i="2" s="1"/>
  <c r="A5" i="2"/>
  <c r="H5" i="2" s="1"/>
  <c r="A4" i="2"/>
  <c r="H4" i="2" s="1"/>
  <c r="A3" i="2"/>
  <c r="H3" i="2" s="1"/>
  <c r="A2" i="2"/>
  <c r="H2" i="2" s="1"/>
  <c r="Q152" i="1"/>
  <c r="Q140" i="1"/>
  <c r="Q138" i="1"/>
  <c r="Q136" i="1"/>
  <c r="Q131" i="1"/>
  <c r="Q130" i="1"/>
  <c r="Q125" i="1"/>
  <c r="Q124" i="1"/>
  <c r="Q120" i="1"/>
  <c r="Q114" i="1"/>
  <c r="Q107" i="1"/>
  <c r="Q67" i="1"/>
  <c r="Q60" i="1"/>
  <c r="Q59" i="1"/>
  <c r="Q57" i="1"/>
  <c r="Q55" i="1"/>
  <c r="Q53" i="1"/>
  <c r="Q52" i="1"/>
  <c r="Q49" i="1"/>
  <c r="Q41" i="1"/>
  <c r="Q38" i="1"/>
  <c r="Q33" i="1"/>
  <c r="Q30" i="1"/>
  <c r="Q29" i="1"/>
  <c r="Q24" i="1"/>
  <c r="Q23" i="1"/>
  <c r="Q22" i="1"/>
  <c r="Q21" i="1"/>
  <c r="Q16" i="1"/>
  <c r="Q15" i="1"/>
  <c r="Q14" i="1"/>
  <c r="Q13" i="1"/>
  <c r="Q12" i="1"/>
  <c r="Q11" i="1"/>
  <c r="Q10" i="1"/>
  <c r="Q9" i="1"/>
  <c r="Q8" i="1"/>
  <c r="Q6" i="1"/>
  <c r="Q5" i="1"/>
  <c r="Q4" i="1"/>
  <c r="Q3" i="1"/>
  <c r="Q2" i="1"/>
  <c r="C60" i="2" l="1"/>
  <c r="C74" i="2"/>
  <c r="C59" i="2"/>
  <c r="C73" i="2"/>
  <c r="C72" i="2"/>
  <c r="C71" i="2"/>
  <c r="C64" i="2"/>
  <c r="C50" i="2"/>
  <c r="C48" i="2"/>
  <c r="C26" i="2"/>
  <c r="C49" i="2"/>
  <c r="C25" i="2"/>
  <c r="C24" i="2"/>
  <c r="C47" i="2"/>
  <c r="C23" i="2"/>
  <c r="C70" i="2"/>
  <c r="C46" i="2"/>
  <c r="C22" i="2"/>
  <c r="C69" i="2"/>
  <c r="C45" i="2"/>
  <c r="C21" i="2"/>
  <c r="C68" i="2"/>
  <c r="C44" i="2"/>
  <c r="C20" i="2"/>
  <c r="C67" i="2"/>
  <c r="C43" i="2"/>
  <c r="C19" i="2"/>
  <c r="C66" i="2"/>
  <c r="C42" i="2"/>
  <c r="C18" i="2"/>
  <c r="C65" i="2"/>
  <c r="C41" i="2"/>
  <c r="C17" i="2"/>
  <c r="C40" i="2"/>
  <c r="C16" i="2"/>
  <c r="C63" i="2"/>
  <c r="C39" i="2"/>
  <c r="C15" i="2"/>
  <c r="C62" i="2"/>
  <c r="C38" i="2"/>
  <c r="C14" i="2"/>
  <c r="C61" i="2"/>
  <c r="C37" i="2"/>
  <c r="C13" i="2"/>
  <c r="C36" i="2"/>
  <c r="C12" i="2"/>
  <c r="C35" i="2"/>
  <c r="C11" i="2"/>
  <c r="C58" i="2"/>
  <c r="C34" i="2"/>
  <c r="C10" i="2"/>
  <c r="C57" i="2"/>
  <c r="C33" i="2"/>
  <c r="C9" i="2"/>
  <c r="C56" i="2"/>
  <c r="C32" i="2"/>
  <c r="C8" i="2"/>
  <c r="C55" i="2"/>
  <c r="C31" i="2"/>
  <c r="C7" i="2"/>
  <c r="C54" i="2"/>
  <c r="C30" i="2"/>
  <c r="C6" i="2"/>
  <c r="C53" i="2"/>
  <c r="C29" i="2"/>
  <c r="C5" i="2"/>
  <c r="C52" i="2"/>
  <c r="C28" i="2"/>
  <c r="C4" i="2"/>
  <c r="C51" i="2"/>
  <c r="C27" i="2"/>
  <c r="C3" i="2"/>
  <c r="C2" i="2"/>
  <c r="B2" i="2"/>
  <c r="B73" i="2"/>
  <c r="B72" i="2"/>
  <c r="B71" i="2"/>
  <c r="B70" i="2"/>
  <c r="B64" i="2"/>
  <c r="B60" i="2"/>
  <c r="B50" i="2"/>
  <c r="B26" i="2"/>
  <c r="B49" i="2"/>
  <c r="B25" i="2"/>
  <c r="B48" i="2"/>
  <c r="B24" i="2"/>
  <c r="B47" i="2"/>
  <c r="B23" i="2"/>
  <c r="B46" i="2"/>
  <c r="B22" i="2"/>
  <c r="B69" i="2"/>
  <c r="B45" i="2"/>
  <c r="B21" i="2"/>
  <c r="B68" i="2"/>
  <c r="B44" i="2"/>
  <c r="B20" i="2"/>
  <c r="B67" i="2"/>
  <c r="B43" i="2"/>
  <c r="B19" i="2"/>
  <c r="B66" i="2"/>
  <c r="B42" i="2"/>
  <c r="B18" i="2"/>
  <c r="B65" i="2"/>
  <c r="B41" i="2"/>
  <c r="B17" i="2"/>
  <c r="B40" i="2"/>
  <c r="B16" i="2"/>
  <c r="F11" i="2"/>
  <c r="B63" i="2"/>
  <c r="B39" i="2"/>
  <c r="B15" i="2"/>
  <c r="E11" i="2"/>
  <c r="B62" i="2"/>
  <c r="B38" i="2"/>
  <c r="B14" i="2"/>
  <c r="B61" i="2"/>
  <c r="B37" i="2"/>
  <c r="B13" i="2"/>
  <c r="B36" i="2"/>
  <c r="B12" i="2"/>
  <c r="B59" i="2"/>
  <c r="B35" i="2"/>
  <c r="B11" i="2"/>
  <c r="B58" i="2"/>
  <c r="B34" i="2"/>
  <c r="B10" i="2"/>
  <c r="B57" i="2"/>
  <c r="B33" i="2"/>
  <c r="B9" i="2"/>
  <c r="B56" i="2"/>
  <c r="B32" i="2"/>
  <c r="B8" i="2"/>
  <c r="B55" i="2"/>
  <c r="B31" i="2"/>
  <c r="B7" i="2"/>
  <c r="E47" i="2"/>
  <c r="B54" i="2"/>
  <c r="B30" i="2"/>
  <c r="B6" i="2"/>
  <c r="B53" i="2"/>
  <c r="B29" i="2"/>
  <c r="B5" i="2"/>
  <c r="B52" i="2"/>
  <c r="B28" i="2"/>
  <c r="B4" i="2"/>
  <c r="B51" i="2"/>
  <c r="B27" i="2"/>
  <c r="B3" i="2"/>
  <c r="F62" i="2"/>
  <c r="E23" i="2"/>
  <c r="F71" i="2"/>
  <c r="F23" i="2"/>
  <c r="F2" i="2"/>
  <c r="F26" i="2"/>
  <c r="F47" i="2"/>
  <c r="F50" i="2"/>
  <c r="E71" i="2"/>
  <c r="F35" i="2"/>
  <c r="H74" i="2"/>
  <c r="F14" i="2"/>
  <c r="E35" i="2"/>
  <c r="G74" i="2"/>
  <c r="F38" i="2"/>
  <c r="F74" i="2"/>
  <c r="E59" i="2"/>
  <c r="E74" i="2"/>
  <c r="F59" i="2"/>
  <c r="D74" i="2"/>
  <c r="E5" i="2"/>
  <c r="E17" i="2"/>
  <c r="E29" i="2"/>
  <c r="E41" i="2"/>
  <c r="E53" i="2"/>
  <c r="E65" i="2"/>
  <c r="F5" i="2"/>
  <c r="F17" i="2"/>
  <c r="F29" i="2"/>
  <c r="F41" i="2"/>
  <c r="F53" i="2"/>
  <c r="F65" i="2"/>
  <c r="E8" i="2"/>
  <c r="E20" i="2"/>
  <c r="E32" i="2"/>
  <c r="E44" i="2"/>
  <c r="E56" i="2"/>
  <c r="E68" i="2"/>
  <c r="F8" i="2"/>
  <c r="F20" i="2"/>
  <c r="F32" i="2"/>
  <c r="F44" i="2"/>
  <c r="F56" i="2"/>
  <c r="F68" i="2"/>
  <c r="E2" i="2"/>
  <c r="E14" i="2"/>
  <c r="E26" i="2"/>
  <c r="E38" i="2"/>
  <c r="E50" i="2"/>
  <c r="E62" i="2"/>
  <c r="D2" i="2"/>
  <c r="D5" i="2"/>
  <c r="D8" i="2"/>
  <c r="D11" i="2"/>
  <c r="D14" i="2"/>
  <c r="D17" i="2"/>
  <c r="D20" i="2"/>
  <c r="D23" i="2"/>
  <c r="D26" i="2"/>
  <c r="D29" i="2"/>
  <c r="D32" i="2"/>
  <c r="D35" i="2"/>
  <c r="D38" i="2"/>
  <c r="D41" i="2"/>
  <c r="D44" i="2"/>
  <c r="D47" i="2"/>
  <c r="D50" i="2"/>
  <c r="D53" i="2"/>
  <c r="D56" i="2"/>
  <c r="D59" i="2"/>
  <c r="D62" i="2"/>
  <c r="D65" i="2"/>
  <c r="D68" i="2"/>
  <c r="D71" i="2"/>
  <c r="G2" i="2"/>
  <c r="G5" i="2"/>
  <c r="G8" i="2"/>
  <c r="G11" i="2"/>
  <c r="G14" i="2"/>
  <c r="G17" i="2"/>
  <c r="G20" i="2"/>
  <c r="G23" i="2"/>
  <c r="G26" i="2"/>
  <c r="G29" i="2"/>
  <c r="G32" i="2"/>
  <c r="G35" i="2"/>
  <c r="G38" i="2"/>
  <c r="G41" i="2"/>
  <c r="G44" i="2"/>
  <c r="G47" i="2"/>
  <c r="G50" i="2"/>
  <c r="G53" i="2"/>
  <c r="G56" i="2"/>
  <c r="G59" i="2"/>
  <c r="G62" i="2"/>
  <c r="G65" i="2"/>
  <c r="G68" i="2"/>
  <c r="G71" i="2"/>
  <c r="D3" i="2"/>
  <c r="D6" i="2"/>
  <c r="D9" i="2"/>
  <c r="D12" i="2"/>
  <c r="D15" i="2"/>
  <c r="D18" i="2"/>
  <c r="D21" i="2"/>
  <c r="D24" i="2"/>
  <c r="D27" i="2"/>
  <c r="D30" i="2"/>
  <c r="D33" i="2"/>
  <c r="D36" i="2"/>
  <c r="D39" i="2"/>
  <c r="D42" i="2"/>
  <c r="D45" i="2"/>
  <c r="D48" i="2"/>
  <c r="D51" i="2"/>
  <c r="D54" i="2"/>
  <c r="D57" i="2"/>
  <c r="D60" i="2"/>
  <c r="D63" i="2"/>
  <c r="D66" i="2"/>
  <c r="D69" i="2"/>
  <c r="D72" i="2"/>
  <c r="E3" i="2"/>
  <c r="E6" i="2"/>
  <c r="E9" i="2"/>
  <c r="E12" i="2"/>
  <c r="E15" i="2"/>
  <c r="E18" i="2"/>
  <c r="E21" i="2"/>
  <c r="E24" i="2"/>
  <c r="E27" i="2"/>
  <c r="E30" i="2"/>
  <c r="E33" i="2"/>
  <c r="E36" i="2"/>
  <c r="E39" i="2"/>
  <c r="E42" i="2"/>
  <c r="E45" i="2"/>
  <c r="E48" i="2"/>
  <c r="E51" i="2"/>
  <c r="E54" i="2"/>
  <c r="E57" i="2"/>
  <c r="E60" i="2"/>
  <c r="E63" i="2"/>
  <c r="E66" i="2"/>
  <c r="E69" i="2"/>
  <c r="E72" i="2"/>
  <c r="F3" i="2"/>
  <c r="F6" i="2"/>
  <c r="F9" i="2"/>
  <c r="F12" i="2"/>
  <c r="F15" i="2"/>
  <c r="F18" i="2"/>
  <c r="F21" i="2"/>
  <c r="F24" i="2"/>
  <c r="F27" i="2"/>
  <c r="F30" i="2"/>
  <c r="F33" i="2"/>
  <c r="F36" i="2"/>
  <c r="F39" i="2"/>
  <c r="F42" i="2"/>
  <c r="F45" i="2"/>
  <c r="F48" i="2"/>
  <c r="F51" i="2"/>
  <c r="F54" i="2"/>
  <c r="F57" i="2"/>
  <c r="F60" i="2"/>
  <c r="F63" i="2"/>
  <c r="F66" i="2"/>
  <c r="F69" i="2"/>
  <c r="F72" i="2"/>
  <c r="G3" i="2"/>
  <c r="G6" i="2"/>
  <c r="G9" i="2"/>
  <c r="G12" i="2"/>
  <c r="G15" i="2"/>
  <c r="G18" i="2"/>
  <c r="G21" i="2"/>
  <c r="G24" i="2"/>
  <c r="G27" i="2"/>
  <c r="G30" i="2"/>
  <c r="G33" i="2"/>
  <c r="G36" i="2"/>
  <c r="G39" i="2"/>
  <c r="G42" i="2"/>
  <c r="G45" i="2"/>
  <c r="G48" i="2"/>
  <c r="G51" i="2"/>
  <c r="G54" i="2"/>
  <c r="G57" i="2"/>
  <c r="G60" i="2"/>
  <c r="G63" i="2"/>
  <c r="G66" i="2"/>
  <c r="G69" i="2"/>
  <c r="G72" i="2"/>
  <c r="D4" i="2"/>
  <c r="D7" i="2"/>
  <c r="D10" i="2"/>
  <c r="D13" i="2"/>
  <c r="D16" i="2"/>
  <c r="D19" i="2"/>
  <c r="D22" i="2"/>
  <c r="D25" i="2"/>
  <c r="D28" i="2"/>
  <c r="D31" i="2"/>
  <c r="D34" i="2"/>
  <c r="D37" i="2"/>
  <c r="D40" i="2"/>
  <c r="D43" i="2"/>
  <c r="D46" i="2"/>
  <c r="D49" i="2"/>
  <c r="D52" i="2"/>
  <c r="D55" i="2"/>
  <c r="D58" i="2"/>
  <c r="D61" i="2"/>
  <c r="D64" i="2"/>
  <c r="D67" i="2"/>
  <c r="D70" i="2"/>
  <c r="D73" i="2"/>
  <c r="E4" i="2"/>
  <c r="E7" i="2"/>
  <c r="E10" i="2"/>
  <c r="E13" i="2"/>
  <c r="E16" i="2"/>
  <c r="E19" i="2"/>
  <c r="E22" i="2"/>
  <c r="E25" i="2"/>
  <c r="E28" i="2"/>
  <c r="E31" i="2"/>
  <c r="E34" i="2"/>
  <c r="E37" i="2"/>
  <c r="E40" i="2"/>
  <c r="E43" i="2"/>
  <c r="E46" i="2"/>
  <c r="E49" i="2"/>
  <c r="E52" i="2"/>
  <c r="E55" i="2"/>
  <c r="E58" i="2"/>
  <c r="E61" i="2"/>
  <c r="E64" i="2"/>
  <c r="E67" i="2"/>
  <c r="E70" i="2"/>
  <c r="E73" i="2"/>
  <c r="F4" i="2"/>
  <c r="F7" i="2"/>
  <c r="F10" i="2"/>
  <c r="F13" i="2"/>
  <c r="F16" i="2"/>
  <c r="F19" i="2"/>
  <c r="F22" i="2"/>
  <c r="F25" i="2"/>
  <c r="F28" i="2"/>
  <c r="F31" i="2"/>
  <c r="F34" i="2"/>
  <c r="F37" i="2"/>
  <c r="F40" i="2"/>
  <c r="F43" i="2"/>
  <c r="F46" i="2"/>
  <c r="F49" i="2"/>
  <c r="F52" i="2"/>
  <c r="F55" i="2"/>
  <c r="F58" i="2"/>
  <c r="F61" i="2"/>
  <c r="F64" i="2"/>
  <c r="F67" i="2"/>
  <c r="F70" i="2"/>
  <c r="F73" i="2"/>
  <c r="G4" i="2"/>
  <c r="G7" i="2"/>
  <c r="G10" i="2"/>
  <c r="G13" i="2"/>
  <c r="G16" i="2"/>
  <c r="G19" i="2"/>
  <c r="G22" i="2"/>
  <c r="G25" i="2"/>
  <c r="G28" i="2"/>
  <c r="G31" i="2"/>
  <c r="G34" i="2"/>
  <c r="G37" i="2"/>
  <c r="G40" i="2"/>
  <c r="G43" i="2"/>
  <c r="G46" i="2"/>
  <c r="G49" i="2"/>
  <c r="G52" i="2"/>
  <c r="G55" i="2"/>
  <c r="G58" i="2"/>
  <c r="G61" i="2"/>
  <c r="G64" i="2"/>
  <c r="G67" i="2"/>
  <c r="G70" i="2"/>
  <c r="G73" i="2"/>
</calcChain>
</file>

<file path=xl/sharedStrings.xml><?xml version="1.0" encoding="utf-8"?>
<sst xmlns="http://schemas.openxmlformats.org/spreadsheetml/2006/main" count="2134" uniqueCount="562">
  <si>
    <t>LATITUDE</t>
  </si>
  <si>
    <t>LONGITUDE</t>
  </si>
  <si>
    <t>ORIG_ADDR</t>
  </si>
  <si>
    <t>GEOCITY</t>
  </si>
  <si>
    <t>GEOZIP</t>
  </si>
  <si>
    <t>GEOSTATE</t>
  </si>
  <si>
    <t>GEOCOUNTY</t>
  </si>
  <si>
    <t>utility_name</t>
  </si>
  <si>
    <t>utilitytype</t>
  </si>
  <si>
    <t>solarPotential.maxArrayPanelsCount</t>
  </si>
  <si>
    <t>whole_sun_quant</t>
  </si>
  <si>
    <t>place_name</t>
  </si>
  <si>
    <t>google_full_adrs</t>
  </si>
  <si>
    <t>Nominal Power (W)</t>
  </si>
  <si>
    <t>Predicted Mean Annual Power (kWH/year)</t>
  </si>
  <si>
    <t>Houses Powered</t>
  </si>
  <si>
    <t>Annual CO2 Generation savings (ton)</t>
  </si>
  <si>
    <t>Matched Place Name</t>
  </si>
  <si>
    <t>1110 S Main St</t>
  </si>
  <si>
    <t>HUNTINGBURG</t>
  </si>
  <si>
    <t>IN</t>
  </si>
  <si>
    <t>DUBOIS</t>
  </si>
  <si>
    <t>HUNTINGBURG MUNICIPAL ELECTRIC UTILITY</t>
  </si>
  <si>
    <t>Municipal</t>
  </si>
  <si>
    <t>Southridge High School / Middle School</t>
  </si>
  <si>
    <t>1110 S Main St, Huntingburg, IN 47542</t>
  </si>
  <si>
    <t>608 E Walnut St</t>
  </si>
  <si>
    <t>WASHINGTON</t>
  </si>
  <si>
    <t>DAVIESS</t>
  </si>
  <si>
    <t>WASHINGTON LIGHT AND POWER</t>
  </si>
  <si>
    <t>Washington High School / Jr High</t>
  </si>
  <si>
    <t>608 E Walnut St, Washington, IN 47501</t>
  </si>
  <si>
    <t>1314 E Walnut St</t>
  </si>
  <si>
    <t>Daviess Community Hospital</t>
  </si>
  <si>
    <t>1314 E Walnut St, Washington, IN 47501</t>
  </si>
  <si>
    <t>501 W Sunset Dr</t>
  </si>
  <si>
    <t>Huntingburg Elementary School</t>
  </si>
  <si>
    <t>501 W Sunset Dr, Huntingburg, IN 47542</t>
  </si>
  <si>
    <t>109 NW I St</t>
  </si>
  <si>
    <t>LINTON</t>
  </si>
  <si>
    <t>GREENE</t>
  </si>
  <si>
    <t>LINTON MUNICIPAL UTILITIES</t>
  </si>
  <si>
    <t>Linton Stockton Middle School</t>
  </si>
  <si>
    <t>109 NW I St, Linton, IN 47441</t>
  </si>
  <si>
    <t>618 W GLENBURN RD</t>
  </si>
  <si>
    <t>Glenburn Home</t>
  </si>
  <si>
    <t>205 Soo Line Railroad, Linton, IN 47441, USA</t>
  </si>
  <si>
    <t>10 H St NE</t>
  </si>
  <si>
    <t>Linton Stockton High School</t>
  </si>
  <si>
    <t>10 H St NE, Linton, IN 47441</t>
  </si>
  <si>
    <t>459 Strawberry Rd</t>
  </si>
  <si>
    <t>MONTEZUMA</t>
  </si>
  <si>
    <t>PARKE</t>
  </si>
  <si>
    <t>MONTEZUMA MUNICIPAL UTILITIES</t>
  </si>
  <si>
    <t>Montezuma Elementary School</t>
  </si>
  <si>
    <t>459 Strawberry Rd, Montezuma, IN 47862</t>
  </si>
  <si>
    <t>801 NW 11th St</t>
  </si>
  <si>
    <t>Washington Intermediate School</t>
  </si>
  <si>
    <t>801 NW 11th St, Washington, IN 47501</t>
  </si>
  <si>
    <t>600 NE 6th St</t>
  </si>
  <si>
    <t>Washington Upper Elementary</t>
  </si>
  <si>
    <t>600 NE 6th St, Washington, IN 47501</t>
  </si>
  <si>
    <t>101 NE 4th St</t>
  </si>
  <si>
    <t>Daviess County Sheriff</t>
  </si>
  <si>
    <t>101 NE 4th St, Washington, IN 47501</t>
  </si>
  <si>
    <t>1185 County Rd 1000 W</t>
  </si>
  <si>
    <t>Greene County General Hospital</t>
  </si>
  <si>
    <t>1185 County Rd 1000 W, Linton, IN 47441</t>
  </si>
  <si>
    <t>900 4th St NE</t>
  </si>
  <si>
    <t>Linton Stockton Elementary</t>
  </si>
  <si>
    <t>900 4th St NE, Linton, IN 47441</t>
  </si>
  <si>
    <t>4-H Way</t>
  </si>
  <si>
    <t>Daviess County 4H Building</t>
  </si>
  <si>
    <t>4-H Way, Washington, IN 47501</t>
  </si>
  <si>
    <t>903 SOUTH MAIN STREET</t>
  </si>
  <si>
    <t>Central Christian Church</t>
  </si>
  <si>
    <t>903 S Main St, Huntingburg, IN 47542, USA</t>
  </si>
  <si>
    <t>110 EAST VETERANS PARKWAY</t>
  </si>
  <si>
    <t>Huntingburg</t>
  </si>
  <si>
    <t>110 East 14th Street, Huntingburg, IN 47542, USA</t>
  </si>
  <si>
    <t>Huntingburg Event Center</t>
  </si>
  <si>
    <t>317 ST MARYS DRIVE WEST</t>
  </si>
  <si>
    <t>Guadalupe Center</t>
  </si>
  <si>
    <t>313 N Washington St, Huntingburg, IN 47542, USA</t>
  </si>
  <si>
    <t>St. Mary's Catholic Church &amp; Rectory</t>
  </si>
  <si>
    <t>405 NE 3RD ST</t>
  </si>
  <si>
    <t>Our Lady of Hope</t>
  </si>
  <si>
    <t>405 NE 3rd St, Washington, IN 47501, USA</t>
  </si>
  <si>
    <t>616 SE 12th St</t>
  </si>
  <si>
    <t>Transportation Department</t>
  </si>
  <si>
    <t>616 SE 12th St, Linton, IN 47441</t>
  </si>
  <si>
    <t>SE 12th Street</t>
  </si>
  <si>
    <t>Greene County Recycling</t>
  </si>
  <si>
    <t>SE 12th Street, Linton, IN 47441</t>
  </si>
  <si>
    <t>202 EAST FOURTH STREET</t>
  </si>
  <si>
    <t>Salem United Church of Christ</t>
  </si>
  <si>
    <t>202 E 4th St, Huntingburg, IN 47542, USA</t>
  </si>
  <si>
    <t>705 TROY RD</t>
  </si>
  <si>
    <t>Grace Baptist Church</t>
  </si>
  <si>
    <t>705 Troy Rd, Washington, IN 47501, USA</t>
  </si>
  <si>
    <t>418 E HIGHLAND AVE</t>
  </si>
  <si>
    <t>705 E Highland Ave, Washington, IN 47501, USA</t>
  </si>
  <si>
    <t>104 N MERIDIAN ST</t>
  </si>
  <si>
    <t>Parsons Kimberly W DDS</t>
  </si>
  <si>
    <t>104 N Meridian St, Washington, IN 47501, USA</t>
  </si>
  <si>
    <t>Washington Christ United Methodist Church</t>
  </si>
  <si>
    <t>2200 Memorial Ave</t>
  </si>
  <si>
    <t>Washington Recycling Center</t>
  </si>
  <si>
    <t>2200 Memorial Ave, Washington, IN 47501</t>
  </si>
  <si>
    <t>100 E WALNUT ST</t>
  </si>
  <si>
    <t>First Baptist Church</t>
  </si>
  <si>
    <t>254 NE 1st St, Washington, IN 47501, USA</t>
  </si>
  <si>
    <t>301 E HIGHLAND AV</t>
  </si>
  <si>
    <t>Goodwill Store &amp; Donation Center</t>
  </si>
  <si>
    <t>1080 IN-57, Washington, IN 47501, USA</t>
  </si>
  <si>
    <t>Evansville Goodwill Industries Inc.</t>
  </si>
  <si>
    <t>190 A St NW</t>
  </si>
  <si>
    <t>Linton Police Department</t>
  </si>
  <si>
    <t>190 A St NW, Linton, IN 47441</t>
  </si>
  <si>
    <t>201 NE 2ND ST</t>
  </si>
  <si>
    <t>210 NE 2nd St, Washington, IN 47501, USA</t>
  </si>
  <si>
    <t>Gettelfinger, Gerald A Bishop Roman Catholic Church</t>
  </si>
  <si>
    <t>310 NE 2ND ST</t>
  </si>
  <si>
    <t>Washington Catholic Preschool</t>
  </si>
  <si>
    <t>310 NE 2nd St, Washington, IN 47501, USA</t>
  </si>
  <si>
    <t>600 S STATE ROAD 57</t>
  </si>
  <si>
    <t>Memorial Health Washington</t>
  </si>
  <si>
    <t>600 IN-57 Ste A, Washington, IN 47501, USA</t>
  </si>
  <si>
    <t>200 W MAIN ST</t>
  </si>
  <si>
    <t>Harvest Community Fellowship</t>
  </si>
  <si>
    <t>200 W Main St, Washington, IN 47501, USA</t>
  </si>
  <si>
    <t>230 A St NW</t>
  </si>
  <si>
    <t>Linton Fire Department</t>
  </si>
  <si>
    <t>230 A St NW, Linton, IN 47441</t>
  </si>
  <si>
    <t>320 S MERIDIAN ST</t>
  </si>
  <si>
    <t>Washington Assembly of God</t>
  </si>
  <si>
    <t>320 S Meridian St, Washington, IN 47501, USA</t>
  </si>
  <si>
    <t>416 NORTH MAIN STREET</t>
  </si>
  <si>
    <t>Huntingburg United Methodist</t>
  </si>
  <si>
    <t>416 N Main St, Huntingburg, IN 47542, USA</t>
  </si>
  <si>
    <t>110 E HEFRON ST</t>
  </si>
  <si>
    <t>Public Health Sanitarian</t>
  </si>
  <si>
    <t>201 NE 2nd St, Washington, IN 47501, USA</t>
  </si>
  <si>
    <t>421 NORTH VAN BUREN STREET</t>
  </si>
  <si>
    <t>Huntingburg Family Dentistry</t>
  </si>
  <si>
    <t>421 N Van Buren St, Huntingburg, IN 47542, USA</t>
  </si>
  <si>
    <t>YMI Club</t>
  </si>
  <si>
    <t>117 NE 3RD ST</t>
  </si>
  <si>
    <t>Washington Municipal Utility</t>
  </si>
  <si>
    <t>117 NE 3rd St, Washington, IN 47501, USA</t>
  </si>
  <si>
    <t>(The) First Christian Church,</t>
  </si>
  <si>
    <t>505 EAST FIRST STREET</t>
  </si>
  <si>
    <t>Huntingburg Police</t>
  </si>
  <si>
    <t>505 E 1st St, Huntingburg, IN 47542, USA</t>
  </si>
  <si>
    <t>A Kid's Place</t>
  </si>
  <si>
    <t>314 NORTH GEIGER STREET</t>
  </si>
  <si>
    <t>H&amp;R Block</t>
  </si>
  <si>
    <t>314 N Geiger St, Huntingburg, IN 47542, USA</t>
  </si>
  <si>
    <t>VFW Post 2366</t>
  </si>
  <si>
    <t>90 B ST NW</t>
  </si>
  <si>
    <t>Anderson-Poindexter Funeral Home</t>
  </si>
  <si>
    <t>90 NW B St, Linton, IN 47441, USA</t>
  </si>
  <si>
    <t>Breath of Life Ministry Center Inc</t>
  </si>
  <si>
    <t>10 W VAN TREES ST</t>
  </si>
  <si>
    <t>Feel Kneaded Massage by Tonya, LLC</t>
  </si>
  <si>
    <t>10 W Van Trees St, Washington, IN 47501, USA</t>
  </si>
  <si>
    <t>4 NE 21st St</t>
  </si>
  <si>
    <t>Daviess County Department of Child Services</t>
  </si>
  <si>
    <t>4 NE 21st St, Washington, IN 47501</t>
  </si>
  <si>
    <t>708 EAST SIXTH STREET</t>
  </si>
  <si>
    <t>Carquest Auto Parts - PITSTOP PARTS AND PAINT SUPPLY</t>
  </si>
  <si>
    <t>708 E 6th St, Huntingburg, IN 47542, USA</t>
  </si>
  <si>
    <t>Huntingburg Eagles</t>
  </si>
  <si>
    <t>807 W VAN TREES ST</t>
  </si>
  <si>
    <t>Sonlight Chapel</t>
  </si>
  <si>
    <t>807 W Van Trees St, Washington, IN 47501, USA</t>
  </si>
  <si>
    <t>Sonlight Ministries</t>
  </si>
  <si>
    <t>86 S Main St</t>
  </si>
  <si>
    <t>Linton City Hall / Municipal Utilities</t>
  </si>
  <si>
    <t>86 S Main St, Linton, IN 47441</t>
  </si>
  <si>
    <t>1148 N 1300 W</t>
  </si>
  <si>
    <t>Linton Housing Authority</t>
  </si>
  <si>
    <t>1148 N 1300 W, Linton, IN 47441</t>
  </si>
  <si>
    <t>402 NORTH VAN BUREN STREET</t>
  </si>
  <si>
    <t>River of Life Church</t>
  </si>
  <si>
    <t>402 N Van Buren St, Huntingburg, IN 47542, USA</t>
  </si>
  <si>
    <t>531 W GLENBURN RD</t>
  </si>
  <si>
    <t>The health Center at Glenburn Harmony</t>
  </si>
  <si>
    <t>531 Glenburn Rd, Linton, IN 47441, USA</t>
  </si>
  <si>
    <t>104 WEST THIRD AVENUE</t>
  </si>
  <si>
    <t>New Life United Pentecostal Church</t>
  </si>
  <si>
    <t>104 W 3rd Ave, Huntingburg, IN 47542, USA</t>
  </si>
  <si>
    <t>2103 COSBY RD</t>
  </si>
  <si>
    <t>Head Start</t>
  </si>
  <si>
    <t>2103 Cosby Rd, Washington, IN 47501, USA</t>
  </si>
  <si>
    <t>440 1ST ST NE</t>
  </si>
  <si>
    <t>Saron United Church of Christ</t>
  </si>
  <si>
    <t>440 1st St NE, Linton, IN 47441, USA</t>
  </si>
  <si>
    <t>313 NORTH WASHINGTON STREET</t>
  </si>
  <si>
    <t>St Mary's Catholic Church &amp; Rectory</t>
  </si>
  <si>
    <t>321 EAST FOURTH STREET</t>
  </si>
  <si>
    <t>Old National Bank</t>
  </si>
  <si>
    <t>321 E 4th St, Huntingburg, IN 47542, USA</t>
  </si>
  <si>
    <t>Christian Ministries of Huntingburg - Food Distribution Center</t>
  </si>
  <si>
    <t>326 NORTH GEIGER STREET</t>
  </si>
  <si>
    <t>326 N Geiger St, Huntingburg, IN 47542, USA</t>
  </si>
  <si>
    <t>110 NE 2ND ST</t>
  </si>
  <si>
    <t>First Christian Church</t>
  </si>
  <si>
    <t>201 E Walnut St, Washington, IN 47501, USA</t>
  </si>
  <si>
    <t>551 Crawford St</t>
  </si>
  <si>
    <t>Montezuma Volunteer Fire Department</t>
  </si>
  <si>
    <t>551 Crawford St, Montezuma, IN 47862</t>
  </si>
  <si>
    <t>1002 NE 6TH ST</t>
  </si>
  <si>
    <t>Good Shepherd Lutheran Church</t>
  </si>
  <si>
    <t>1002 NE 6th St, Washington, IN 47501, USA</t>
  </si>
  <si>
    <t>190 S MAIN ST</t>
  </si>
  <si>
    <t>Lamar Imaging</t>
  </si>
  <si>
    <t>190 S Main St, Linton, IN 47441, USA</t>
  </si>
  <si>
    <t>VFW Linton</t>
  </si>
  <si>
    <t>319 E MAIN ST</t>
  </si>
  <si>
    <t>Budget Inn Washington</t>
  </si>
  <si>
    <t>319 E Main St, Washington, IN 47501, USA</t>
  </si>
  <si>
    <t>(The) Navigators Home Inc.</t>
  </si>
  <si>
    <t>784 NORTH JEFFERSON STREET</t>
  </si>
  <si>
    <t>Independent Baptist Church - Montezuma, IN</t>
  </si>
  <si>
    <t>784 N Jefferson St, Montezuma, IN 47862, USA</t>
  </si>
  <si>
    <t>Independent Baptist Church of Montezuma IN</t>
  </si>
  <si>
    <t>304 NORTH JACKSON STREET</t>
  </si>
  <si>
    <t>Faith Community Church of the Nazarene</t>
  </si>
  <si>
    <t>304 N Jackson St, Huntingburg, IN 47542, USA</t>
  </si>
  <si>
    <t>1601 NORTH CHESTNUT STREET</t>
  </si>
  <si>
    <t>Huntingburg Church of Christ</t>
  </si>
  <si>
    <t>1601 N Chestnut St, Huntingburg, IN 47542, USA</t>
  </si>
  <si>
    <t>1419 W WALNUT ST</t>
  </si>
  <si>
    <t>Washington</t>
  </si>
  <si>
    <t>1419 W Walnut St, Washington, IN 47501, USA</t>
  </si>
  <si>
    <t>Gospel Chapel Church of Washington</t>
  </si>
  <si>
    <t>507 PLEASANT VIEW DRIVE</t>
  </si>
  <si>
    <t>507 Pleasant View Dr, Huntingburg, IN 47542, USA</t>
  </si>
  <si>
    <t>Lincoln Village Apartments</t>
  </si>
  <si>
    <t>502 PLEASANT VIEW DRIVE</t>
  </si>
  <si>
    <t>502 Pleasant View Dr, Huntingburg, IN 47542, USA</t>
  </si>
  <si>
    <t>714 W WALNUT ST</t>
  </si>
  <si>
    <t>First Choice Solutions</t>
  </si>
  <si>
    <t>714 W Walnut St, Washington, IN 47501, USA</t>
  </si>
  <si>
    <t>460 1ST ST NW</t>
  </si>
  <si>
    <t>Youssef Rezk</t>
  </si>
  <si>
    <t>460 1st St NW, Linton, IN 47441, USA</t>
  </si>
  <si>
    <t>Mt. Moriah Apostolic Church, Inc</t>
  </si>
  <si>
    <t>120 D ST NW</t>
  </si>
  <si>
    <t>Linton Family Dentistry</t>
  </si>
  <si>
    <t>120 NW D St, Linton, IN 47441, USA</t>
  </si>
  <si>
    <t>760 NORTH JEFFERSON STREET</t>
  </si>
  <si>
    <t>760 N Jefferson St, Montezuma, IN 47862, USA</t>
  </si>
  <si>
    <t>1115 MC CORMICK AV</t>
  </si>
  <si>
    <t>Asambleas de Dios</t>
  </si>
  <si>
    <t>1113 McCormick Ave, Washington, IN 47501, USA</t>
  </si>
  <si>
    <t>315 NE 3RD ST</t>
  </si>
  <si>
    <t>County Recorder</t>
  </si>
  <si>
    <t>315 NE 3rd St, Washington, IN 47501, USA</t>
  </si>
  <si>
    <t>Daviess County Recorder</t>
  </si>
  <si>
    <t>686 NORTH JEFFERSON STREET</t>
  </si>
  <si>
    <t>686 N Jefferson St, Rockville, IN 47872, USA</t>
  </si>
  <si>
    <t>Montezuma Order of Eastern Star #537</t>
  </si>
  <si>
    <t>614 EAST STANLEY DRIVE</t>
  </si>
  <si>
    <t>Stanley drive apartments</t>
  </si>
  <si>
    <t>614 Stanley Dr, Montezuma, IN 47862, USA</t>
  </si>
  <si>
    <t>Community Action Program Inc of Western Indiana</t>
  </si>
  <si>
    <t>610 EAST STANLEY DRIVE</t>
  </si>
  <si>
    <t>610 Stanley Dr, Montezuma, IN 47862, USA</t>
  </si>
  <si>
    <t>612 EAST STANLEY DRIVE</t>
  </si>
  <si>
    <t>612 Stanley Dr, Montezuma, IN 47862, USA</t>
  </si>
  <si>
    <t>604 EAST STANLEY DRIVE</t>
  </si>
  <si>
    <t>604 Stanley Dr, Mecca, IN 47860, USA</t>
  </si>
  <si>
    <t>608 EAST STANLEY DRIVE</t>
  </si>
  <si>
    <t>608 Stanley Dr, Montezuma, IN 47862, USA</t>
  </si>
  <si>
    <t>606 EAST STANLEY DRIVE</t>
  </si>
  <si>
    <t>606 Stanley Dr, Montezuma, IN 47862, USA</t>
  </si>
  <si>
    <t>208 EAST THIRD STREET</t>
  </si>
  <si>
    <t>208 E 3rd St, Huntingburg, IN 47542, USA</t>
  </si>
  <si>
    <t>Huntingburg Outreach Ministiries</t>
  </si>
  <si>
    <t>697 W GLENBURN RD</t>
  </si>
  <si>
    <t>Thomas Martin</t>
  </si>
  <si>
    <t>689-697 Glenburn Rd, Linton, IN 47441, USA</t>
  </si>
  <si>
    <t>689 W GLENBURN RD</t>
  </si>
  <si>
    <t>689 Glenburn Rd, Linton, IN 47441, USA</t>
  </si>
  <si>
    <t>407 W MAIN ST</t>
  </si>
  <si>
    <t>Washington Carnegie Public Library</t>
  </si>
  <si>
    <t>407 W Main St, Washington, IN 47501, USA</t>
  </si>
  <si>
    <t>409 W MAIN ST</t>
  </si>
  <si>
    <t>Iglesia Nueva Vida</t>
  </si>
  <si>
    <t>411 W Main St, Washington, IN 47501, USA</t>
  </si>
  <si>
    <t>211 NORTH MAIN STREET</t>
  </si>
  <si>
    <t>Calvary Temple</t>
  </si>
  <si>
    <t>211 N Main St, Huntingburg, IN 47542, USA</t>
  </si>
  <si>
    <t>601 EAST STANLEY DRIVE</t>
  </si>
  <si>
    <t>603 Stanley Dr, Montezuma, IN 47862, USA</t>
  </si>
  <si>
    <t>603 EAST STANLEY DRIVE</t>
  </si>
  <si>
    <t>605 Stanley Dr, Montezuma, IN 47862, USA</t>
  </si>
  <si>
    <t>605 EAST STANLEY DRIVE</t>
  </si>
  <si>
    <t>601 Stanley Dr, Montezuma, IN 47862, USA</t>
  </si>
  <si>
    <t>806 W GLENBURN RD</t>
  </si>
  <si>
    <t>Linton</t>
  </si>
  <si>
    <t>221 Soo Line Railroad, Linton, IN 47441, USA</t>
  </si>
  <si>
    <t>800 W GLENBURN RD</t>
  </si>
  <si>
    <t>220 Soo Line Railroad, Linton, IN 47441, USA</t>
  </si>
  <si>
    <t>962 7TH ST NW</t>
  </si>
  <si>
    <t>962 7th St NW, Linton, IN 47441, USA</t>
  </si>
  <si>
    <t>950 7TH ST NW</t>
  </si>
  <si>
    <t>950 7th St NW, Linton, IN 47441, USA</t>
  </si>
  <si>
    <t>778 W GLENBURN RD</t>
  </si>
  <si>
    <t>778 Glenburn Rd, Linton, IN 47441, USA</t>
  </si>
  <si>
    <t>768 W GLENBURN RD</t>
  </si>
  <si>
    <t>768 Glenburn Rd, Linton, IN 47441, USA</t>
  </si>
  <si>
    <t>804 N GRANT</t>
  </si>
  <si>
    <t>804 Grant, Linton, IN 47441, USA</t>
  </si>
  <si>
    <t>796 N GRANT</t>
  </si>
  <si>
    <t>796 6th St NW, Linton, IN 47441, USA</t>
  </si>
  <si>
    <t>270 Crawford St</t>
  </si>
  <si>
    <t>Montezuma Public Library</t>
  </si>
  <si>
    <t>270 Crawford St, Montezuma, IN 47862</t>
  </si>
  <si>
    <t>736 H ST NW</t>
  </si>
  <si>
    <t>736 NW H St, Linton, IN 47441, USA</t>
  </si>
  <si>
    <t>746 H ST NW</t>
  </si>
  <si>
    <t>746 NW H St, Linton, IN 47441, USA</t>
  </si>
  <si>
    <t>746 W GLENBURN RD</t>
  </si>
  <si>
    <t>746 Glenburn Rd, Linton, IN 47441, USA</t>
  </si>
  <si>
    <t>736 W GLENBURN RD</t>
  </si>
  <si>
    <t>736 Glenburn Rd, Linton, IN 47441, USA</t>
  </si>
  <si>
    <t>410 W MAIN ST</t>
  </si>
  <si>
    <t>B &amp; D Electric Inc</t>
  </si>
  <si>
    <t>410 W Main St, Washington, IN 47501, USA</t>
  </si>
  <si>
    <t>Abundant Life Family Worship Center</t>
  </si>
  <si>
    <t>965 NORTH JEFFERSON STREET</t>
  </si>
  <si>
    <t>Dollar General</t>
  </si>
  <si>
    <t>965 N Jefferson St, Montezuma, IN 47862, USA</t>
  </si>
  <si>
    <t>Boy Scout Troop 62</t>
  </si>
  <si>
    <t>1102 Friendship Village</t>
  </si>
  <si>
    <t>Huntingburg Housing Authority</t>
  </si>
  <si>
    <t>1102 Friendship Village, Huntingburg, IN 47542</t>
  </si>
  <si>
    <t>831 NORTH WATER STREET</t>
  </si>
  <si>
    <t>panthers pit stop</t>
  </si>
  <si>
    <t>523 Water St, Montezuma, IN 47862, USA</t>
  </si>
  <si>
    <t>MONTEZUMA, FISH &amp; GAME CLUB</t>
  </si>
  <si>
    <t>211 E MAIN ST</t>
  </si>
  <si>
    <t>Senior &amp; Family Services</t>
  </si>
  <si>
    <t>211 E Main St, Washington, IN 47501, USA</t>
  </si>
  <si>
    <t>503 PLEASANT VIEW DRIVE</t>
  </si>
  <si>
    <t>503 Pleasant View Dr, Huntingburg, IN 47542, USA</t>
  </si>
  <si>
    <t>667 W GLENBURN RD</t>
  </si>
  <si>
    <t>667 Glenburn Rd, Linton, IN 47441, USA</t>
  </si>
  <si>
    <t>659 W GLENBURN RD</t>
  </si>
  <si>
    <t>659 Glenburn Rd, Linton, IN 47441, USA</t>
  </si>
  <si>
    <t>1081 NORTH JEFFERSON STREET</t>
  </si>
  <si>
    <t>Brown Mack Funeral Home</t>
  </si>
  <si>
    <t>1081 N Jefferson St, Montezuma, IN 47862, USA</t>
  </si>
  <si>
    <t>CHRISTIAN CHURH OF MONTEZUMA</t>
  </si>
  <si>
    <t>319 N Washington St, Huntingburg, IN 47542, USA</t>
  </si>
  <si>
    <t>251 EAST WILKISON STREET</t>
  </si>
  <si>
    <t>314 Wilkison St, Montezuma, IN 47862, USA</t>
  </si>
  <si>
    <t>FIRST PRESBYTERIAN CHURCH</t>
  </si>
  <si>
    <t>507 E WALNUT ST</t>
  </si>
  <si>
    <t>St John's Episcopal Church</t>
  </si>
  <si>
    <t>507 E Walnut St, Washington, IN 47501, USA</t>
  </si>
  <si>
    <t>509 E WALNUT ST</t>
  </si>
  <si>
    <t>509 E Walnut St, Washington, IN 47501, USA</t>
  </si>
  <si>
    <t>611 EAST STANLEY DRIVE</t>
  </si>
  <si>
    <t>611 Stanley Dr, Montezuma, IN 47862, USA</t>
  </si>
  <si>
    <t>613 EAST STANLEY DRIVE</t>
  </si>
  <si>
    <t>613 Stanley Dr, Montezuma, IN 47862, USA</t>
  </si>
  <si>
    <t>747 H ST NW</t>
  </si>
  <si>
    <t>747 NW H St, Linton, IN 47441, USA</t>
  </si>
  <si>
    <t>737 H ST NW</t>
  </si>
  <si>
    <t>737 NW H St, Linton, IN 47441, USA</t>
  </si>
  <si>
    <t>408 W MAIN ST</t>
  </si>
  <si>
    <t>408 W Main St, Washington, IN 47501, USA</t>
  </si>
  <si>
    <t>Iglesia Cristiana Cristo Es La Pena</t>
  </si>
  <si>
    <t>317 N Washington St, Huntingburg, IN 47542, USA</t>
  </si>
  <si>
    <t>306 E FLORA ST</t>
  </si>
  <si>
    <t>Rescare Homecare</t>
  </si>
  <si>
    <t>306 E Flora St, Washington, IN 47501, USA</t>
  </si>
  <si>
    <t>919 N STATE ROAD 57</t>
  </si>
  <si>
    <t>Bethel Church of Washington - North Campus</t>
  </si>
  <si>
    <t>917 N 57, Washington, IN 47501, USA</t>
  </si>
  <si>
    <t>Bethel Church Of Washington Incorporated</t>
  </si>
  <si>
    <t>308 NE 1ST ST</t>
  </si>
  <si>
    <t>308 NE 1st St, Washington, IN 47501, USA</t>
  </si>
  <si>
    <t>1614 W WALNUT ST</t>
  </si>
  <si>
    <t>1614 W Walnut St, Washington, IN 47501, USA</t>
  </si>
  <si>
    <t>Heaven's Soup Kitchen</t>
  </si>
  <si>
    <t>302 SOUTH GEIGER STREET</t>
  </si>
  <si>
    <t>Christ Community Fellowship</t>
  </si>
  <si>
    <t>302 S Geiger St, Huntingburg, IN 47542, USA</t>
  </si>
  <si>
    <t>706 LINCOLN ST</t>
  </si>
  <si>
    <t>712 Lincoln St, Washington, IN 47501, USA</t>
  </si>
  <si>
    <t>Iglesia, LaLus Del Mundo Baustista General Inc.</t>
  </si>
  <si>
    <t>530 3RD ST NW</t>
  </si>
  <si>
    <t>530 3rd St NW, Linton, IN 47441, USA</t>
  </si>
  <si>
    <t>Four Rivers Liberty Place, LLC</t>
  </si>
  <si>
    <t>69 3RD ST SW</t>
  </si>
  <si>
    <t>Debra Moore</t>
  </si>
  <si>
    <t>69 3rd St SW, Linton, IN 47441, USA</t>
  </si>
  <si>
    <t>516 S MERIDIAN ST</t>
  </si>
  <si>
    <t>Donaldson Insurance</t>
  </si>
  <si>
    <t>516 S Meridian St, Washington, IN 47501, USA</t>
  </si>
  <si>
    <t>Church of the Nazarene</t>
  </si>
  <si>
    <t>359 I ST NW</t>
  </si>
  <si>
    <t>Storage Express</t>
  </si>
  <si>
    <t>359 1st St NW, Linton, IN 47441, USA</t>
  </si>
  <si>
    <t>201 E MAIN ST - SUITE 201</t>
  </si>
  <si>
    <t>O'Brien Hearing Center</t>
  </si>
  <si>
    <t>201 E Main St, Washington, IN 47501, USA</t>
  </si>
  <si>
    <t>Daviess County Economic Development Foundation</t>
  </si>
  <si>
    <t>800 W MAIN ST</t>
  </si>
  <si>
    <t>West End Chapel</t>
  </si>
  <si>
    <t>800 W Main St, Washington, IN 47501, USA</t>
  </si>
  <si>
    <t>776 5TH ST NW</t>
  </si>
  <si>
    <t>3 Soo Line Railroad, Linton, IN 47441, USA</t>
  </si>
  <si>
    <t>404 W MAIN ST</t>
  </si>
  <si>
    <t>404 W Main St, Washington, IN 47501, USA</t>
  </si>
  <si>
    <t>709 E MAIN ST</t>
  </si>
  <si>
    <t>Hudson Office Solutions</t>
  </si>
  <si>
    <t>709 E Main St, Washington, IN 47501, USA</t>
  </si>
  <si>
    <t>Southwest Indiana Power House Inc</t>
  </si>
  <si>
    <t>1216 W VINCENNES ST</t>
  </si>
  <si>
    <t>Linton 12th street church of God</t>
  </si>
  <si>
    <t>1216 W Vincennes St, Linton, IN 47441, USA</t>
  </si>
  <si>
    <t>Church Of God</t>
  </si>
  <si>
    <t>1225 W VINCENNES ST</t>
  </si>
  <si>
    <t>1225 W Vincennes St, Linton, IN 47441, USA</t>
  </si>
  <si>
    <t>623 W GLENBURN RD</t>
  </si>
  <si>
    <t>623 Glenburn Rd, Linton, IN 47441, USA</t>
  </si>
  <si>
    <t>631 W GLENBURN RD</t>
  </si>
  <si>
    <t>631 Glenburn Rd, Linton, IN 47441, USA</t>
  </si>
  <si>
    <t>1040 5TH ST NW</t>
  </si>
  <si>
    <t>1040 5th St NW, Linton, IN 47441, USA</t>
  </si>
  <si>
    <t>2212 OAK GROVE RD</t>
  </si>
  <si>
    <t>2212 Oakgrove Rd, Washington, IN 47501, USA</t>
  </si>
  <si>
    <t>306 NORTH JACKSON STREET</t>
  </si>
  <si>
    <t>314 N Jackson St, Huntingburg, IN 47542, USA</t>
  </si>
  <si>
    <t>990 5TH ST NW</t>
  </si>
  <si>
    <t>990 5th St NW, Linton, IN 47441, USA</t>
  </si>
  <si>
    <t>208 EAST FOURTH STREET</t>
  </si>
  <si>
    <t>208 E 4th St, Huntingburg, IN 47542, USA</t>
  </si>
  <si>
    <t>390 1ST ST NE</t>
  </si>
  <si>
    <t>390 1st St NE, Linton, IN 47441, USA</t>
  </si>
  <si>
    <t>517 PLEASANT VIEW DRIVE</t>
  </si>
  <si>
    <t>509 Pleasant View Dr, Huntingburg, IN 47542, USA</t>
  </si>
  <si>
    <t>646 H ST NW</t>
  </si>
  <si>
    <t>646 NW H St, Linton, IN 47441, USA</t>
  </si>
  <si>
    <t>504 PLEASANT VIEW DRIVE</t>
  </si>
  <si>
    <t>504 Pleasant View Dr, Huntingburg, IN 47542, USA</t>
  </si>
  <si>
    <t>935 A ST NW</t>
  </si>
  <si>
    <t>935 A St NW, Linton, IN 47441, USA</t>
  </si>
  <si>
    <t>Grace Gospel Church of Linton</t>
  </si>
  <si>
    <t>109 E FLORA ST</t>
  </si>
  <si>
    <t>109 E Flora St, Washington, IN 47501, USA</t>
  </si>
  <si>
    <t>209 W MAIN ST</t>
  </si>
  <si>
    <t>209 W Main St, Washington, IN 47501, USA</t>
  </si>
  <si>
    <t>708 EAST TENTH STREET</t>
  </si>
  <si>
    <t>708 10th St, Huntingburg, IN 47542, USA</t>
  </si>
  <si>
    <t>House of Prayer Ministries</t>
  </si>
  <si>
    <t>525 PLEASANT VIEW DRIVE</t>
  </si>
  <si>
    <t>525 Pleasant View Dr, Huntingburg, IN 47542, USA</t>
  </si>
  <si>
    <t>814 E MAIN ST</t>
  </si>
  <si>
    <t>St. Vincent de Paul Society</t>
  </si>
  <si>
    <t>814 E Main St, Washington, IN 47501, USA</t>
  </si>
  <si>
    <t>521 PLEASANT VIEW DRIVE</t>
  </si>
  <si>
    <t>521 Pleasant View Dr, Huntingburg, IN 47542, USA</t>
  </si>
  <si>
    <t>511 PLEASANT VIEW DRIVE</t>
  </si>
  <si>
    <t>511 Pleasant View Dr, Huntingburg, IN 47542, USA</t>
  </si>
  <si>
    <t>11 W WALNUT ST</t>
  </si>
  <si>
    <t>11 W Walnut St, Washington, IN 47501, USA</t>
  </si>
  <si>
    <t>103 NE 1ST ST</t>
  </si>
  <si>
    <t>103 NE 1st St, Washington, IN 47501, USA</t>
  </si>
  <si>
    <t>4 E VAN TREES ST</t>
  </si>
  <si>
    <t>100 E Van Trees St, Washington, IN 47501, USA</t>
  </si>
  <si>
    <t>(The), Trustees Christ United</t>
  </si>
  <si>
    <t>101 NE 1ST ST</t>
  </si>
  <si>
    <t>101 NE 1st St, Washington, IN 47501, USA</t>
  </si>
  <si>
    <t>813 NORTH WASHINGTON STREET</t>
  </si>
  <si>
    <t>Huntingburg holiness Church</t>
  </si>
  <si>
    <t>813 N Washington St, Huntingburg, IN 47542, USA</t>
  </si>
  <si>
    <t>1606 MC CORMICK AV</t>
  </si>
  <si>
    <t>1606 McCormick Ave, Washington, IN 47501, USA</t>
  </si>
  <si>
    <t>Victory Tabernacle Of The Apostles Faith, Inc.</t>
  </si>
  <si>
    <t>109 NE 1ST ST</t>
  </si>
  <si>
    <t>109 NE 1st St, Washington, IN 47501, USA</t>
  </si>
  <si>
    <t>105 NE 1ST ST</t>
  </si>
  <si>
    <t>313 E MAIN ST</t>
  </si>
  <si>
    <t>Light House Recovery Center</t>
  </si>
  <si>
    <t>313 E Main St, Washington, IN 47501, USA</t>
  </si>
  <si>
    <t>712 W MAIN ST</t>
  </si>
  <si>
    <t>Underwood Electric</t>
  </si>
  <si>
    <t>712 W Main St, Washington, IN 47501, USA</t>
  </si>
  <si>
    <t>809 W WALNUT ST</t>
  </si>
  <si>
    <t>805 W Walnut St, Washington, IN 47501, USA</t>
  </si>
  <si>
    <t>1605 W WALNUT ST</t>
  </si>
  <si>
    <t>1605 W Walnut St, Washington, IN 47501, USA</t>
  </si>
  <si>
    <t>917 E MAIN ST</t>
  </si>
  <si>
    <t>Four Rivers Resource Services</t>
  </si>
  <si>
    <t>917 E Main St, Washington, IN 47501, USA</t>
  </si>
  <si>
    <t>203 EAST FOURTH STREET</t>
  </si>
  <si>
    <t>203 E 4th St, Huntingburg, IN 47542, USA</t>
  </si>
  <si>
    <t>407 NORTH WASHINGTON STREET</t>
  </si>
  <si>
    <t>407 N Washington St, Huntingburg, IN 47542, USA</t>
  </si>
  <si>
    <t>626 G ST NW</t>
  </si>
  <si>
    <t>626 NW G St, Linton, IN 47441, USA</t>
  </si>
  <si>
    <t>513 PLEASANT VIEW DRIVE</t>
  </si>
  <si>
    <t>505 Pleasant View Dr, Huntingburg, IN 47542, USA</t>
  </si>
  <si>
    <t>1519 W WALNUT ST</t>
  </si>
  <si>
    <t>1519 W Walnut St, Washington, IN 47501, USA</t>
  </si>
  <si>
    <t>506 PLEASANT VIEW DRIVE</t>
  </si>
  <si>
    <t>506 Pleasant View Dr, Huntingburg, IN 47542, USA</t>
  </si>
  <si>
    <t>406 EAST THIRD STREET</t>
  </si>
  <si>
    <t>406 E 3rd St, Huntingburg, IN 47542, USA</t>
  </si>
  <si>
    <t>1041 NORTH JEFFERSON STREET</t>
  </si>
  <si>
    <t>1041 N Jefferson St, Montezuma, IN 47862, USA</t>
  </si>
  <si>
    <t>350 G ST NE</t>
  </si>
  <si>
    <t>350 NE G St, Linton, IN 47441, USA</t>
  </si>
  <si>
    <t>704 W VAN TREES ST</t>
  </si>
  <si>
    <t>Cornerstone Christian School</t>
  </si>
  <si>
    <t>704 W Van Trees St, Washington, IN 47501, USA</t>
  </si>
  <si>
    <t>Church On The Way, Board Of Trustees</t>
  </si>
  <si>
    <t>1006 NE 6th St, Washington, IN 47501, USA</t>
  </si>
  <si>
    <t>320 E MAIN ST</t>
  </si>
  <si>
    <t>324 E Main St, Washington, IN 47501, USA</t>
  </si>
  <si>
    <t>102 E FLORA ST</t>
  </si>
  <si>
    <t>102 E Flora St, Washington, IN 47501, USA</t>
  </si>
  <si>
    <t>1010 5TH ST NW</t>
  </si>
  <si>
    <t>1010 5th St NW, Linton, IN 47441, USA</t>
  </si>
  <si>
    <t>504 SW 1ST ST</t>
  </si>
  <si>
    <t>15 W National Hwy, Washington, IN 47501, USA</t>
  </si>
  <si>
    <t>754 5TH ST NW</t>
  </si>
  <si>
    <t>754 5th St NW, Linton, IN 47441, USA</t>
  </si>
  <si>
    <t>1107 W WALNUT ST</t>
  </si>
  <si>
    <t>1107 W Walnut St, Washington, IN 47501, USA</t>
  </si>
  <si>
    <t>152 EAST ADAMS STREET</t>
  </si>
  <si>
    <t>152 Adams St, Montezuma, IN 47862, USA</t>
  </si>
  <si>
    <t>Name</t>
  </si>
  <si>
    <t>Address</t>
  </si>
  <si>
    <t>Panel Count</t>
  </si>
  <si>
    <t>Annual CO2 Generation savings (tons)</t>
  </si>
  <si>
    <t>City</t>
  </si>
  <si>
    <t>Degrees Latitude of potential site</t>
  </si>
  <si>
    <t>Degrees Longitude of potential site</t>
  </si>
  <si>
    <t>Address as listed in Indiana Data Harvest data</t>
  </si>
  <si>
    <t>Zip Code</t>
  </si>
  <si>
    <t>State</t>
  </si>
  <si>
    <t>County</t>
  </si>
  <si>
    <t>Name of Servicing Utility</t>
  </si>
  <si>
    <t>Type of Utility</t>
  </si>
  <si>
    <t>Total Number of Panels Predicted by the Google Solar API</t>
  </si>
  <si>
    <t>Average Annual Sunshine hours predicted across the entire roof (1 Sunshine Hour = 1 kWh per year per W of panels)</t>
  </si>
  <si>
    <t>What is located at the address based on Google Maps data</t>
  </si>
  <si>
    <t>The address formatted to match Google Maps data</t>
  </si>
  <si>
    <t>The total nominal power of the array assuming a 300 W panel. This is the max possible power assuming full sun and perfect efficiency</t>
  </si>
  <si>
    <t>Predicted Mean Annual Power (kWh/year)</t>
  </si>
  <si>
    <t>The annual power generation of a site in kWh based on the predicted sunshine hours and efficiency losses</t>
  </si>
  <si>
    <t>The number of average homes that a site could generate power for based on electricty usage data from the Energy Information Administration</t>
  </si>
  <si>
    <t>The tons of CO2 not generated based on all power generated via solar being generated via natural gas</t>
  </si>
  <si>
    <t>The corrected place name based on a mixture of data sources including Data Harvest, Web Scraping, Google Maps, and Manual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</si>
</sst>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"/>
    <numFmt numFmtId="165" formatCode="_(* #,##0_);_(* \(#,##0\);_(* &quot;-&quot;??_);_(@_)"/>
  </numFmts>
  <fonts count="5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rial"/>
    </font>
    <font>
      <sz val="11"/>
      <color rgb="FF202124"/>
      <name val="&quot;Google Sans&quot;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0" borderId="0" xfId="0" applyFont="1"/>
    <xf numFmtId="0" fontId="4" fillId="3" borderId="0" xfId="0" applyFont="1" applyFill="1"/>
    <xf numFmtId="0" fontId="0" fillId="3" borderId="0" xfId="0" applyFill="1"/>
    <xf numFmtId="1" fontId="0" fillId="0" borderId="0" xfId="0" applyNumberFormat="1"/>
    <xf numFmtId="0" fontId="1" fillId="3" borderId="0" xfId="0" applyFont="1" applyFill="1"/>
    <xf numFmtId="0" fontId="1" fillId="0" borderId="0" xfId="0" applyFont="1" applyFill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0"/>
  <sheetViews>
    <sheetView workbookViewId="0">
      <selection sqref="A1:R1"/>
    </sheetView>
  </sheetViews>
  <sheetFormatPr defaultColWidth="12.6328125" defaultRowHeight="15" customHeight="1"/>
  <cols>
    <col min="1" max="1" width="9.36328125" customWidth="1"/>
    <col min="2" max="2" width="11.36328125" customWidth="1"/>
    <col min="3" max="3" width="31.6328125" customWidth="1"/>
    <col min="4" max="4" width="14.08984375" customWidth="1"/>
    <col min="5" max="5" width="7.7265625" customWidth="1"/>
    <col min="6" max="6" width="10.7265625" customWidth="1"/>
    <col min="7" max="7" width="12.7265625" customWidth="1"/>
    <col min="8" max="8" width="40.36328125" customWidth="1"/>
    <col min="9" max="9" width="8.36328125" customWidth="1"/>
    <col min="10" max="10" width="30.7265625" customWidth="1"/>
    <col min="11" max="11" width="15.26953125" customWidth="1"/>
    <col min="12" max="12" width="50.7265625" customWidth="1"/>
    <col min="13" max="13" width="43.7265625" customWidth="1"/>
    <col min="14" max="14" width="17" customWidth="1"/>
    <col min="15" max="15" width="35.08984375" customWidth="1"/>
    <col min="16" max="16" width="15" customWidth="1"/>
    <col min="17" max="17" width="31.26953125" customWidth="1"/>
    <col min="18" max="18" width="44.36328125" customWidth="1"/>
    <col min="19" max="26" width="8.6328125" customWidth="1"/>
  </cols>
  <sheetData>
    <row r="1" spans="1:18" ht="14.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</row>
    <row r="2" spans="1:18" ht="14.5">
      <c r="A2" s="2">
        <v>38.275762033589899</v>
      </c>
      <c r="B2" s="2">
        <v>-86.963868592146895</v>
      </c>
      <c r="C2" s="1" t="s">
        <v>18</v>
      </c>
      <c r="D2" s="1" t="s">
        <v>19</v>
      </c>
      <c r="E2" s="1">
        <v>47542</v>
      </c>
      <c r="F2" s="1" t="s">
        <v>20</v>
      </c>
      <c r="G2" s="1" t="s">
        <v>21</v>
      </c>
      <c r="H2" s="1" t="s">
        <v>22</v>
      </c>
      <c r="I2" s="1" t="s">
        <v>23</v>
      </c>
      <c r="J2" s="3">
        <v>9052.8857142857141</v>
      </c>
      <c r="K2" s="1">
        <v>1232</v>
      </c>
      <c r="L2" s="1" t="s">
        <v>24</v>
      </c>
      <c r="M2" s="1" t="s">
        <v>25</v>
      </c>
      <c r="N2" s="4">
        <v>2715865.7142857141</v>
      </c>
      <c r="O2" s="4">
        <v>3288913.38</v>
      </c>
      <c r="P2" s="3">
        <v>311.27327086882451</v>
      </c>
      <c r="Q2" s="4">
        <f t="shared" ref="Q2:Q6" si="0">O2*0.000699</f>
        <v>2298.9504526199999</v>
      </c>
      <c r="R2" s="1" t="s">
        <v>24</v>
      </c>
    </row>
    <row r="3" spans="1:18" ht="14.5">
      <c r="A3" s="2">
        <v>38.659324292374698</v>
      </c>
      <c r="B3" s="2">
        <v>-87.168325953432998</v>
      </c>
      <c r="C3" s="1" t="s">
        <v>26</v>
      </c>
      <c r="D3" s="1" t="s">
        <v>27</v>
      </c>
      <c r="E3" s="1">
        <v>47501</v>
      </c>
      <c r="F3" s="1" t="s">
        <v>20</v>
      </c>
      <c r="G3" s="1" t="s">
        <v>28</v>
      </c>
      <c r="H3" s="1" t="s">
        <v>29</v>
      </c>
      <c r="I3" s="1" t="s">
        <v>23</v>
      </c>
      <c r="J3" s="3">
        <v>6645.2142857142853</v>
      </c>
      <c r="K3" s="1">
        <v>1211</v>
      </c>
      <c r="L3" s="1" t="s">
        <v>30</v>
      </c>
      <c r="M3" s="1" t="s">
        <v>31</v>
      </c>
      <c r="N3" s="4">
        <v>1993564.2857142857</v>
      </c>
      <c r="O3" s="4">
        <v>2414206.35</v>
      </c>
      <c r="P3" s="3">
        <v>228.48820272572402</v>
      </c>
      <c r="Q3" s="4">
        <f t="shared" si="0"/>
        <v>1687.53023865</v>
      </c>
      <c r="R3" s="1" t="s">
        <v>30</v>
      </c>
    </row>
    <row r="4" spans="1:18" ht="14.5">
      <c r="A4" s="2">
        <v>38.659687158782603</v>
      </c>
      <c r="B4" s="2">
        <v>-87.159599941209393</v>
      </c>
      <c r="C4" s="1" t="s">
        <v>32</v>
      </c>
      <c r="D4" s="1" t="s">
        <v>27</v>
      </c>
      <c r="E4" s="1">
        <v>47501</v>
      </c>
      <c r="F4" s="1" t="s">
        <v>20</v>
      </c>
      <c r="G4" s="1" t="s">
        <v>28</v>
      </c>
      <c r="H4" s="1" t="s">
        <v>29</v>
      </c>
      <c r="I4" s="1" t="s">
        <v>23</v>
      </c>
      <c r="J4" s="3">
        <v>3941.8285714285712</v>
      </c>
      <c r="K4" s="1">
        <v>1211</v>
      </c>
      <c r="L4" s="1" t="s">
        <v>33</v>
      </c>
      <c r="M4" s="1" t="s">
        <v>34</v>
      </c>
      <c r="N4" s="4">
        <v>1182548.5714285714</v>
      </c>
      <c r="O4" s="4">
        <v>1432066.32</v>
      </c>
      <c r="P4" s="3">
        <v>135.53533219761499</v>
      </c>
      <c r="Q4" s="4">
        <f t="shared" si="0"/>
        <v>1001.01435768</v>
      </c>
      <c r="R4" s="1" t="s">
        <v>33</v>
      </c>
    </row>
    <row r="5" spans="1:18" ht="14.5">
      <c r="A5" s="2">
        <v>38.275261733407199</v>
      </c>
      <c r="B5" s="2">
        <v>-86.969046820080095</v>
      </c>
      <c r="C5" s="1" t="s">
        <v>35</v>
      </c>
      <c r="D5" s="1" t="s">
        <v>19</v>
      </c>
      <c r="E5" s="1">
        <v>47542</v>
      </c>
      <c r="F5" s="1" t="s">
        <v>20</v>
      </c>
      <c r="G5" s="1" t="s">
        <v>21</v>
      </c>
      <c r="H5" s="1" t="s">
        <v>22</v>
      </c>
      <c r="I5" s="1" t="s">
        <v>23</v>
      </c>
      <c r="J5" s="3">
        <v>3571.2857142857138</v>
      </c>
      <c r="K5" s="1">
        <v>1232</v>
      </c>
      <c r="L5" s="1" t="s">
        <v>36</v>
      </c>
      <c r="M5" s="1" t="s">
        <v>37</v>
      </c>
      <c r="N5" s="4">
        <v>1071385.7142857141</v>
      </c>
      <c r="O5" s="4">
        <v>1297448.0999999999</v>
      </c>
      <c r="P5" s="3">
        <v>122.79463373083475</v>
      </c>
      <c r="Q5" s="4">
        <f t="shared" si="0"/>
        <v>906.91622189999987</v>
      </c>
      <c r="R5" s="1" t="s">
        <v>36</v>
      </c>
    </row>
    <row r="6" spans="1:18" ht="14.5">
      <c r="A6" s="2">
        <v>39.042090150524501</v>
      </c>
      <c r="B6" s="2">
        <v>-87.165201232905105</v>
      </c>
      <c r="C6" s="1" t="s">
        <v>38</v>
      </c>
      <c r="D6" s="1" t="s">
        <v>39</v>
      </c>
      <c r="E6" s="1">
        <v>47441</v>
      </c>
      <c r="F6" s="1" t="s">
        <v>20</v>
      </c>
      <c r="G6" s="1" t="s">
        <v>40</v>
      </c>
      <c r="H6" s="1" t="s">
        <v>41</v>
      </c>
      <c r="I6" s="1" t="s">
        <v>23</v>
      </c>
      <c r="J6" s="3">
        <v>3522.3428571428567</v>
      </c>
      <c r="K6" s="1">
        <v>1184</v>
      </c>
      <c r="L6" s="1" t="s">
        <v>42</v>
      </c>
      <c r="M6" s="1" t="s">
        <v>43</v>
      </c>
      <c r="N6" s="4">
        <v>1056702.857142857</v>
      </c>
      <c r="O6" s="4">
        <v>1279667.1599999999</v>
      </c>
      <c r="P6" s="3">
        <v>121.11178875638841</v>
      </c>
      <c r="Q6" s="4">
        <f t="shared" si="0"/>
        <v>894.48734483999988</v>
      </c>
      <c r="R6" s="1" t="s">
        <v>42</v>
      </c>
    </row>
    <row r="7" spans="1:18" ht="14.5">
      <c r="A7" s="1">
        <v>39.042062000000001</v>
      </c>
      <c r="B7" s="1">
        <v>-87.172578999500004</v>
      </c>
      <c r="C7" s="1" t="s">
        <v>44</v>
      </c>
      <c r="D7" s="1" t="s">
        <v>39</v>
      </c>
      <c r="E7" s="1">
        <v>47441</v>
      </c>
      <c r="F7" s="1" t="s">
        <v>20</v>
      </c>
      <c r="G7" s="1" t="s">
        <v>40</v>
      </c>
      <c r="H7" s="1" t="s">
        <v>41</v>
      </c>
      <c r="I7" s="1" t="s">
        <v>23</v>
      </c>
      <c r="J7" s="1">
        <v>3859</v>
      </c>
      <c r="K7" s="1">
        <v>1281.27272727272</v>
      </c>
      <c r="L7" s="1" t="s">
        <v>45</v>
      </c>
      <c r="M7" s="1" t="s">
        <v>46</v>
      </c>
      <c r="N7" s="4">
        <v>1157700</v>
      </c>
      <c r="O7" s="4">
        <v>1186663.5490909</v>
      </c>
      <c r="P7" s="3">
        <v>112.31</v>
      </c>
      <c r="Q7" s="3">
        <v>829.477820814545</v>
      </c>
      <c r="R7" s="1" t="s">
        <v>45</v>
      </c>
    </row>
    <row r="8" spans="1:18" ht="14.5">
      <c r="A8" s="2">
        <v>39.041626970259699</v>
      </c>
      <c r="B8" s="2">
        <v>-87.166608525544106</v>
      </c>
      <c r="C8" s="1" t="s">
        <v>47</v>
      </c>
      <c r="D8" s="1" t="s">
        <v>39</v>
      </c>
      <c r="E8" s="1">
        <v>47441</v>
      </c>
      <c r="F8" s="1" t="s">
        <v>20</v>
      </c>
      <c r="G8" s="1" t="s">
        <v>40</v>
      </c>
      <c r="H8" s="1" t="s">
        <v>41</v>
      </c>
      <c r="I8" s="1" t="s">
        <v>23</v>
      </c>
      <c r="J8" s="3">
        <v>2639.2714285714287</v>
      </c>
      <c r="K8" s="1">
        <v>1184</v>
      </c>
      <c r="L8" s="1" t="s">
        <v>48</v>
      </c>
      <c r="M8" s="1" t="s">
        <v>49</v>
      </c>
      <c r="N8" s="4">
        <v>791781.42857142864</v>
      </c>
      <c r="O8" s="4">
        <v>958847.31</v>
      </c>
      <c r="P8" s="3">
        <v>90.7483730834753</v>
      </c>
      <c r="Q8" s="4">
        <f t="shared" ref="Q8:Q16" si="1">O8*0.000699</f>
        <v>670.23426969000002</v>
      </c>
      <c r="R8" s="1" t="s">
        <v>48</v>
      </c>
    </row>
    <row r="9" spans="1:18" ht="14.5">
      <c r="A9" s="2">
        <v>39.790907488389401</v>
      </c>
      <c r="B9" s="2">
        <v>-87.367720208523096</v>
      </c>
      <c r="C9" s="1" t="s">
        <v>50</v>
      </c>
      <c r="D9" s="1" t="s">
        <v>51</v>
      </c>
      <c r="E9" s="1">
        <v>47862</v>
      </c>
      <c r="F9" s="1" t="s">
        <v>20</v>
      </c>
      <c r="G9" s="1" t="s">
        <v>52</v>
      </c>
      <c r="H9" s="1" t="s">
        <v>53</v>
      </c>
      <c r="I9" s="1" t="s">
        <v>23</v>
      </c>
      <c r="J9" s="3">
        <v>2429.3571428571431</v>
      </c>
      <c r="K9" s="1">
        <v>1211</v>
      </c>
      <c r="L9" s="1" t="s">
        <v>54</v>
      </c>
      <c r="M9" s="1" t="s">
        <v>55</v>
      </c>
      <c r="N9" s="4">
        <v>728807.14285714296</v>
      </c>
      <c r="O9" s="4">
        <v>882585.45000000007</v>
      </c>
      <c r="P9" s="3">
        <v>83.530706984667816</v>
      </c>
      <c r="Q9" s="4">
        <f t="shared" si="1"/>
        <v>616.92722954999999</v>
      </c>
      <c r="R9" s="1" t="s">
        <v>54</v>
      </c>
    </row>
    <row r="10" spans="1:18" ht="14.5">
      <c r="A10" s="2">
        <v>38.665227027474202</v>
      </c>
      <c r="B10" s="2">
        <v>-87.190458260326494</v>
      </c>
      <c r="C10" s="1" t="s">
        <v>56</v>
      </c>
      <c r="D10" s="1" t="s">
        <v>27</v>
      </c>
      <c r="E10" s="1">
        <v>47501</v>
      </c>
      <c r="F10" s="1" t="s">
        <v>20</v>
      </c>
      <c r="G10" s="1" t="s">
        <v>28</v>
      </c>
      <c r="H10" s="1" t="s">
        <v>29</v>
      </c>
      <c r="I10" s="1" t="s">
        <v>23</v>
      </c>
      <c r="J10" s="3">
        <v>2380.8000000000002</v>
      </c>
      <c r="K10" s="1">
        <v>1211</v>
      </c>
      <c r="L10" s="1" t="s">
        <v>57</v>
      </c>
      <c r="M10" s="1" t="s">
        <v>58</v>
      </c>
      <c r="N10" s="4">
        <v>714240</v>
      </c>
      <c r="O10" s="4">
        <v>864944.64000000001</v>
      </c>
      <c r="P10" s="3">
        <v>81.861124361158431</v>
      </c>
      <c r="Q10" s="4">
        <f t="shared" si="1"/>
        <v>604.59630335999998</v>
      </c>
      <c r="R10" s="1" t="s">
        <v>57</v>
      </c>
    </row>
    <row r="11" spans="1:18" ht="14.5">
      <c r="A11" s="2">
        <v>38.662744633904097</v>
      </c>
      <c r="B11" s="2">
        <v>-87.168505161738693</v>
      </c>
      <c r="C11" s="1" t="s">
        <v>59</v>
      </c>
      <c r="D11" s="1" t="s">
        <v>27</v>
      </c>
      <c r="E11" s="1">
        <v>47501</v>
      </c>
      <c r="F11" s="1" t="s">
        <v>20</v>
      </c>
      <c r="G11" s="1" t="s">
        <v>28</v>
      </c>
      <c r="H11" s="1" t="s">
        <v>29</v>
      </c>
      <c r="I11" s="1" t="s">
        <v>23</v>
      </c>
      <c r="J11" s="3">
        <v>2147.8285714285716</v>
      </c>
      <c r="K11" s="1">
        <v>1211</v>
      </c>
      <c r="L11" s="1" t="s">
        <v>60</v>
      </c>
      <c r="M11" s="1" t="s">
        <v>61</v>
      </c>
      <c r="N11" s="4">
        <v>644348.57142857148</v>
      </c>
      <c r="O11" s="4">
        <v>780306.12000000011</v>
      </c>
      <c r="P11" s="3">
        <v>73.850664395229998</v>
      </c>
      <c r="Q11" s="4">
        <f t="shared" si="1"/>
        <v>545.43397788000004</v>
      </c>
      <c r="R11" s="1" t="s">
        <v>60</v>
      </c>
    </row>
    <row r="12" spans="1:18" ht="14.5">
      <c r="A12" s="2">
        <v>38.6583949118154</v>
      </c>
      <c r="B12" s="2">
        <v>-87.171935109200902</v>
      </c>
      <c r="C12" s="1" t="s">
        <v>62</v>
      </c>
      <c r="D12" s="1" t="s">
        <v>27</v>
      </c>
      <c r="E12" s="1">
        <v>47501</v>
      </c>
      <c r="F12" s="1" t="s">
        <v>20</v>
      </c>
      <c r="G12" s="1" t="s">
        <v>28</v>
      </c>
      <c r="H12" s="1" t="s">
        <v>29</v>
      </c>
      <c r="I12" s="1" t="s">
        <v>23</v>
      </c>
      <c r="J12" s="3">
        <v>1452.3428571428572</v>
      </c>
      <c r="K12" s="1">
        <v>1211</v>
      </c>
      <c r="L12" s="1" t="s">
        <v>63</v>
      </c>
      <c r="M12" s="1" t="s">
        <v>64</v>
      </c>
      <c r="N12" s="4">
        <v>435702.85714285716</v>
      </c>
      <c r="O12" s="4">
        <v>527636.16</v>
      </c>
      <c r="P12" s="3">
        <v>49.937172061328795</v>
      </c>
      <c r="Q12" s="4">
        <f t="shared" si="1"/>
        <v>368.81767583999999</v>
      </c>
      <c r="R12" s="1" t="s">
        <v>63</v>
      </c>
    </row>
    <row r="13" spans="1:18" ht="14.5">
      <c r="A13" s="2">
        <v>39.040810845084501</v>
      </c>
      <c r="B13" s="2">
        <v>-87.130336043884995</v>
      </c>
      <c r="C13" s="1" t="s">
        <v>65</v>
      </c>
      <c r="D13" s="1" t="s">
        <v>39</v>
      </c>
      <c r="E13" s="1">
        <v>47441</v>
      </c>
      <c r="F13" s="1" t="s">
        <v>20</v>
      </c>
      <c r="G13" s="1" t="s">
        <v>40</v>
      </c>
      <c r="H13" s="1" t="s">
        <v>41</v>
      </c>
      <c r="I13" s="1" t="s">
        <v>23</v>
      </c>
      <c r="J13" s="3">
        <v>1448.8285714285714</v>
      </c>
      <c r="K13" s="1">
        <v>1184</v>
      </c>
      <c r="L13" s="1" t="s">
        <v>66</v>
      </c>
      <c r="M13" s="1" t="s">
        <v>67</v>
      </c>
      <c r="N13" s="4">
        <v>434648.57142857142</v>
      </c>
      <c r="O13" s="4">
        <v>526359.42000000004</v>
      </c>
      <c r="P13" s="3">
        <v>49.816337308347535</v>
      </c>
      <c r="Q13" s="4">
        <f t="shared" si="1"/>
        <v>367.92523457999999</v>
      </c>
      <c r="R13" s="1" t="s">
        <v>66</v>
      </c>
    </row>
    <row r="14" spans="1:18" ht="14.5">
      <c r="A14" s="2">
        <v>39.0425136888529</v>
      </c>
      <c r="B14" s="2">
        <v>-87.162838834160098</v>
      </c>
      <c r="C14" s="1" t="s">
        <v>68</v>
      </c>
      <c r="D14" s="1" t="s">
        <v>39</v>
      </c>
      <c r="E14" s="1">
        <v>47441</v>
      </c>
      <c r="F14" s="1" t="s">
        <v>20</v>
      </c>
      <c r="G14" s="1" t="s">
        <v>40</v>
      </c>
      <c r="H14" s="1" t="s">
        <v>41</v>
      </c>
      <c r="I14" s="1" t="s">
        <v>23</v>
      </c>
      <c r="J14" s="3">
        <v>1210.8428571428572</v>
      </c>
      <c r="K14" s="1">
        <v>1184</v>
      </c>
      <c r="L14" s="1" t="s">
        <v>69</v>
      </c>
      <c r="M14" s="1" t="s">
        <v>70</v>
      </c>
      <c r="N14" s="4">
        <v>363252.85714285716</v>
      </c>
      <c r="O14" s="4">
        <v>439899.21</v>
      </c>
      <c r="P14" s="3">
        <v>41.6334667802385</v>
      </c>
      <c r="Q14" s="4">
        <f t="shared" si="1"/>
        <v>307.48954779000002</v>
      </c>
      <c r="R14" s="1" t="s">
        <v>69</v>
      </c>
    </row>
    <row r="15" spans="1:18" ht="14.5">
      <c r="A15" s="2">
        <v>39.043025624880102</v>
      </c>
      <c r="B15" s="2">
        <v>-87.1635846710805</v>
      </c>
      <c r="C15" s="1" t="s">
        <v>68</v>
      </c>
      <c r="D15" s="1" t="s">
        <v>39</v>
      </c>
      <c r="E15" s="1">
        <v>47441</v>
      </c>
      <c r="F15" s="1" t="s">
        <v>20</v>
      </c>
      <c r="G15" s="1" t="s">
        <v>40</v>
      </c>
      <c r="H15" s="1" t="s">
        <v>41</v>
      </c>
      <c r="I15" s="1" t="s">
        <v>23</v>
      </c>
      <c r="J15" s="3">
        <v>1180.3714285714286</v>
      </c>
      <c r="K15" s="1">
        <v>1184</v>
      </c>
      <c r="L15" s="1" t="s">
        <v>69</v>
      </c>
      <c r="M15" s="1" t="s">
        <v>70</v>
      </c>
      <c r="N15" s="4">
        <v>354111.42857142858</v>
      </c>
      <c r="O15" s="4">
        <v>428828.94</v>
      </c>
      <c r="P15" s="3">
        <v>40.585741056218055</v>
      </c>
      <c r="Q15" s="4">
        <f t="shared" si="1"/>
        <v>299.75142905999996</v>
      </c>
      <c r="R15" s="1" t="s">
        <v>69</v>
      </c>
    </row>
    <row r="16" spans="1:18" ht="14.5">
      <c r="A16" s="2">
        <v>38.661824676173502</v>
      </c>
      <c r="B16" s="2">
        <v>-87.145950355329205</v>
      </c>
      <c r="C16" s="1" t="s">
        <v>71</v>
      </c>
      <c r="D16" s="1" t="s">
        <v>27</v>
      </c>
      <c r="E16" s="1">
        <v>47501</v>
      </c>
      <c r="F16" s="1" t="s">
        <v>20</v>
      </c>
      <c r="G16" s="1" t="s">
        <v>28</v>
      </c>
      <c r="H16" s="1" t="s">
        <v>29</v>
      </c>
      <c r="I16" s="1" t="s">
        <v>23</v>
      </c>
      <c r="J16" s="3">
        <v>1161.9428571428571</v>
      </c>
      <c r="K16" s="1">
        <v>1211</v>
      </c>
      <c r="L16" s="1" t="s">
        <v>72</v>
      </c>
      <c r="M16" s="1" t="s">
        <v>73</v>
      </c>
      <c r="N16" s="4">
        <v>348582.8571428571</v>
      </c>
      <c r="O16" s="4">
        <v>422133.83999999997</v>
      </c>
      <c r="P16" s="3">
        <v>39.95209540034071</v>
      </c>
      <c r="Q16" s="4">
        <f t="shared" si="1"/>
        <v>295.07155415999995</v>
      </c>
      <c r="R16" s="1" t="s">
        <v>72</v>
      </c>
    </row>
    <row r="17" spans="1:18" ht="14.5">
      <c r="A17" s="1">
        <v>38.279797999700001</v>
      </c>
      <c r="B17" s="1">
        <v>-86.960411000500002</v>
      </c>
      <c r="C17" s="1" t="s">
        <v>74</v>
      </c>
      <c r="D17" s="1" t="s">
        <v>19</v>
      </c>
      <c r="E17" s="1">
        <v>47542</v>
      </c>
      <c r="F17" s="1" t="s">
        <v>20</v>
      </c>
      <c r="G17" s="1" t="s">
        <v>21</v>
      </c>
      <c r="H17" s="1" t="s">
        <v>22</v>
      </c>
      <c r="I17" s="1" t="s">
        <v>23</v>
      </c>
      <c r="J17" s="1">
        <v>1244</v>
      </c>
      <c r="K17" s="1">
        <v>1367.72727272727</v>
      </c>
      <c r="L17" s="1" t="s">
        <v>75</v>
      </c>
      <c r="M17" s="1" t="s">
        <v>76</v>
      </c>
      <c r="N17" s="4">
        <v>373200</v>
      </c>
      <c r="O17" s="4">
        <v>408348.65454545402</v>
      </c>
      <c r="P17" s="3">
        <v>38.65</v>
      </c>
      <c r="Q17" s="3">
        <v>285.43570952727202</v>
      </c>
      <c r="R17" s="5" t="s">
        <v>75</v>
      </c>
    </row>
    <row r="18" spans="1:18" ht="14.5">
      <c r="A18" s="1">
        <v>38.308784000000003</v>
      </c>
      <c r="B18" s="1">
        <v>-86.959756999500001</v>
      </c>
      <c r="C18" s="1" t="s">
        <v>77</v>
      </c>
      <c r="D18" s="1" t="s">
        <v>19</v>
      </c>
      <c r="E18" s="1">
        <v>47542</v>
      </c>
      <c r="F18" s="1" t="s">
        <v>20</v>
      </c>
      <c r="G18" s="1" t="s">
        <v>21</v>
      </c>
      <c r="H18" s="1" t="s">
        <v>22</v>
      </c>
      <c r="I18" s="1" t="s">
        <v>23</v>
      </c>
      <c r="J18" s="1">
        <v>1228</v>
      </c>
      <c r="K18" s="1">
        <v>1320.3636363636299</v>
      </c>
      <c r="L18" s="1" t="s">
        <v>78</v>
      </c>
      <c r="M18" s="1" t="s">
        <v>79</v>
      </c>
      <c r="N18" s="4">
        <v>368400</v>
      </c>
      <c r="O18" s="4">
        <v>389137.57090908999</v>
      </c>
      <c r="P18" s="3">
        <v>36.83</v>
      </c>
      <c r="Q18" s="3">
        <v>272.007162065454</v>
      </c>
      <c r="R18" s="5" t="s">
        <v>80</v>
      </c>
    </row>
    <row r="19" spans="1:18" ht="15.75" customHeight="1">
      <c r="A19" s="1">
        <v>38.295484000199998</v>
      </c>
      <c r="B19" s="1">
        <v>-86.948336999600002</v>
      </c>
      <c r="C19" s="1" t="s">
        <v>81</v>
      </c>
      <c r="D19" s="1" t="s">
        <v>19</v>
      </c>
      <c r="E19" s="1">
        <v>47542</v>
      </c>
      <c r="F19" s="1" t="s">
        <v>20</v>
      </c>
      <c r="G19" s="1" t="s">
        <v>21</v>
      </c>
      <c r="H19" s="1" t="s">
        <v>22</v>
      </c>
      <c r="I19" s="1" t="s">
        <v>23</v>
      </c>
      <c r="J19" s="1">
        <v>961</v>
      </c>
      <c r="K19" s="1">
        <v>1329.0909090908999</v>
      </c>
      <c r="L19" s="1" t="s">
        <v>82</v>
      </c>
      <c r="M19" s="1" t="s">
        <v>83</v>
      </c>
      <c r="N19" s="4">
        <v>288300</v>
      </c>
      <c r="O19" s="4">
        <v>306541.52727272699</v>
      </c>
      <c r="P19" s="3">
        <v>29.01</v>
      </c>
      <c r="Q19" s="3">
        <v>214.272527563636</v>
      </c>
      <c r="R19" s="5" t="s">
        <v>84</v>
      </c>
    </row>
    <row r="20" spans="1:18" ht="15.75" customHeight="1">
      <c r="A20" s="1">
        <v>38.660749000300001</v>
      </c>
      <c r="B20" s="1">
        <v>-87.172657000100003</v>
      </c>
      <c r="C20" s="1" t="s">
        <v>85</v>
      </c>
      <c r="D20" s="1" t="s">
        <v>27</v>
      </c>
      <c r="E20" s="1">
        <v>47501</v>
      </c>
      <c r="F20" s="1" t="s">
        <v>20</v>
      </c>
      <c r="G20" s="1" t="s">
        <v>28</v>
      </c>
      <c r="H20" s="1" t="s">
        <v>29</v>
      </c>
      <c r="I20" s="1" t="s">
        <v>23</v>
      </c>
      <c r="J20" s="1">
        <v>960</v>
      </c>
      <c r="K20" s="1">
        <v>1316.27272727272</v>
      </c>
      <c r="L20" s="1" t="s">
        <v>86</v>
      </c>
      <c r="M20" s="1" t="s">
        <v>87</v>
      </c>
      <c r="N20" s="4">
        <v>288000</v>
      </c>
      <c r="O20" s="4">
        <v>303269.23636363598</v>
      </c>
      <c r="P20" s="3">
        <v>28.7</v>
      </c>
      <c r="Q20" s="3">
        <v>211.98519621818099</v>
      </c>
      <c r="R20" s="1" t="s">
        <v>86</v>
      </c>
    </row>
    <row r="21" spans="1:18" ht="15.75" customHeight="1">
      <c r="A21" s="2">
        <v>39.029815893939997</v>
      </c>
      <c r="B21" s="2">
        <v>-87.153389087468895</v>
      </c>
      <c r="C21" s="1" t="s">
        <v>88</v>
      </c>
      <c r="D21" s="1" t="s">
        <v>39</v>
      </c>
      <c r="E21" s="1">
        <v>47441</v>
      </c>
      <c r="F21" s="1" t="s">
        <v>20</v>
      </c>
      <c r="G21" s="1" t="s">
        <v>40</v>
      </c>
      <c r="H21" s="1" t="s">
        <v>41</v>
      </c>
      <c r="I21" s="1" t="s">
        <v>23</v>
      </c>
      <c r="J21" s="3">
        <v>790.71428571428567</v>
      </c>
      <c r="K21" s="1">
        <v>1184</v>
      </c>
      <c r="L21" s="1" t="s">
        <v>89</v>
      </c>
      <c r="M21" s="1" t="s">
        <v>90</v>
      </c>
      <c r="N21" s="4">
        <v>237214.28571428571</v>
      </c>
      <c r="O21" s="4">
        <v>287266.5</v>
      </c>
      <c r="P21" s="3">
        <v>27.187819420783647</v>
      </c>
      <c r="Q21" s="4">
        <f t="shared" ref="Q21:Q24" si="2">O21*0.000699</f>
        <v>200.7992835</v>
      </c>
      <c r="R21" s="1" t="s">
        <v>89</v>
      </c>
    </row>
    <row r="22" spans="1:18" ht="15.75" customHeight="1">
      <c r="A22" s="2">
        <v>39.029538243861801</v>
      </c>
      <c r="B22" s="2">
        <v>-87.151954915125799</v>
      </c>
      <c r="C22" s="1" t="s">
        <v>91</v>
      </c>
      <c r="D22" s="1" t="s">
        <v>39</v>
      </c>
      <c r="E22" s="1">
        <v>47441</v>
      </c>
      <c r="F22" s="1" t="s">
        <v>20</v>
      </c>
      <c r="G22" s="1" t="s">
        <v>40</v>
      </c>
      <c r="H22" s="1" t="s">
        <v>41</v>
      </c>
      <c r="I22" s="1" t="s">
        <v>23</v>
      </c>
      <c r="J22" s="3">
        <v>676.28571428571422</v>
      </c>
      <c r="K22" s="1">
        <v>1184</v>
      </c>
      <c r="L22" s="1" t="s">
        <v>92</v>
      </c>
      <c r="M22" s="1" t="s">
        <v>93</v>
      </c>
      <c r="N22" s="4">
        <v>202885.71428571426</v>
      </c>
      <c r="O22" s="4">
        <v>245694.59999999998</v>
      </c>
      <c r="P22" s="3">
        <v>23.253321976149913</v>
      </c>
      <c r="Q22" s="4">
        <f t="shared" si="2"/>
        <v>171.74052539999997</v>
      </c>
      <c r="R22" s="1" t="s">
        <v>92</v>
      </c>
    </row>
    <row r="23" spans="1:18" ht="15.75" customHeight="1">
      <c r="A23" s="2">
        <v>39.0422582709338</v>
      </c>
      <c r="B23" s="2">
        <v>-87.163484929857105</v>
      </c>
      <c r="C23" s="1" t="s">
        <v>68</v>
      </c>
      <c r="D23" s="1" t="s">
        <v>39</v>
      </c>
      <c r="E23" s="1">
        <v>47441</v>
      </c>
      <c r="F23" s="1" t="s">
        <v>20</v>
      </c>
      <c r="G23" s="1" t="s">
        <v>40</v>
      </c>
      <c r="H23" s="1" t="s">
        <v>41</v>
      </c>
      <c r="I23" s="1" t="s">
        <v>23</v>
      </c>
      <c r="J23" s="3">
        <v>649.28571428571422</v>
      </c>
      <c r="K23" s="1">
        <v>1184</v>
      </c>
      <c r="L23" s="1" t="s">
        <v>69</v>
      </c>
      <c r="M23" s="1" t="s">
        <v>70</v>
      </c>
      <c r="N23" s="4">
        <v>194785.71428571426</v>
      </c>
      <c r="O23" s="4">
        <v>235885.49999999994</v>
      </c>
      <c r="P23" s="3">
        <v>22.324957410562174</v>
      </c>
      <c r="Q23" s="4">
        <f t="shared" si="2"/>
        <v>164.88396449999996</v>
      </c>
      <c r="R23" s="1" t="s">
        <v>69</v>
      </c>
    </row>
    <row r="24" spans="1:18" ht="15.75" customHeight="1">
      <c r="A24" s="2">
        <v>39.042518104705003</v>
      </c>
      <c r="B24" s="2">
        <v>-87.164100023963002</v>
      </c>
      <c r="C24" s="1" t="s">
        <v>68</v>
      </c>
      <c r="D24" s="1" t="s">
        <v>39</v>
      </c>
      <c r="E24" s="1">
        <v>47441</v>
      </c>
      <c r="F24" s="1" t="s">
        <v>20</v>
      </c>
      <c r="G24" s="1" t="s">
        <v>40</v>
      </c>
      <c r="H24" s="1" t="s">
        <v>41</v>
      </c>
      <c r="I24" s="1" t="s">
        <v>23</v>
      </c>
      <c r="J24" s="3">
        <v>646.62857142857138</v>
      </c>
      <c r="K24" s="1">
        <v>1184</v>
      </c>
      <c r="L24" s="1" t="s">
        <v>69</v>
      </c>
      <c r="M24" s="1" t="s">
        <v>70</v>
      </c>
      <c r="N24" s="4">
        <v>193988.57142857142</v>
      </c>
      <c r="O24" s="4">
        <v>234920.15999999997</v>
      </c>
      <c r="P24" s="3">
        <v>22.233594548551956</v>
      </c>
      <c r="Q24" s="4">
        <f t="shared" si="2"/>
        <v>164.20919183999999</v>
      </c>
      <c r="R24" s="1" t="s">
        <v>69</v>
      </c>
    </row>
    <row r="25" spans="1:18" ht="15.75" customHeight="1">
      <c r="A25" s="1">
        <v>38.296366000399999</v>
      </c>
      <c r="B25" s="1">
        <v>-86.958528999600006</v>
      </c>
      <c r="C25" s="1" t="s">
        <v>94</v>
      </c>
      <c r="D25" s="1" t="s">
        <v>19</v>
      </c>
      <c r="E25" s="1">
        <v>47542</v>
      </c>
      <c r="F25" s="1" t="s">
        <v>20</v>
      </c>
      <c r="G25" s="1" t="s">
        <v>21</v>
      </c>
      <c r="H25" s="1" t="s">
        <v>22</v>
      </c>
      <c r="I25" s="1" t="s">
        <v>23</v>
      </c>
      <c r="J25" s="1">
        <v>737</v>
      </c>
      <c r="K25" s="1">
        <v>1216.45454545454</v>
      </c>
      <c r="L25" s="1" t="s">
        <v>95</v>
      </c>
      <c r="M25" s="1" t="s">
        <v>96</v>
      </c>
      <c r="N25" s="4">
        <v>221100</v>
      </c>
      <c r="O25" s="4">
        <v>215166.47999999899</v>
      </c>
      <c r="P25" s="3">
        <v>20.36</v>
      </c>
      <c r="Q25" s="3">
        <v>150.40136951999901</v>
      </c>
      <c r="R25" s="1" t="s">
        <v>95</v>
      </c>
    </row>
    <row r="26" spans="1:18" ht="15.75" customHeight="1">
      <c r="A26" s="1">
        <v>38.648981999999997</v>
      </c>
      <c r="B26" s="1">
        <v>-87.169230999600003</v>
      </c>
      <c r="C26" s="1" t="s">
        <v>97</v>
      </c>
      <c r="D26" s="1" t="s">
        <v>27</v>
      </c>
      <c r="E26" s="1">
        <v>47501</v>
      </c>
      <c r="F26" s="1" t="s">
        <v>20</v>
      </c>
      <c r="G26" s="1" t="s">
        <v>28</v>
      </c>
      <c r="H26" s="1" t="s">
        <v>29</v>
      </c>
      <c r="I26" s="1" t="s">
        <v>23</v>
      </c>
      <c r="J26" s="1">
        <v>714</v>
      </c>
      <c r="K26" s="1">
        <v>1239.6363636363601</v>
      </c>
      <c r="L26" s="1" t="s">
        <v>98</v>
      </c>
      <c r="M26" s="1" t="s">
        <v>99</v>
      </c>
      <c r="N26" s="4">
        <v>214200</v>
      </c>
      <c r="O26" s="4">
        <v>212424.08727272699</v>
      </c>
      <c r="P26" s="3">
        <v>20.100000000000001</v>
      </c>
      <c r="Q26" s="3">
        <v>148.484437003636</v>
      </c>
      <c r="R26" s="1" t="s">
        <v>98</v>
      </c>
    </row>
    <row r="27" spans="1:18" ht="15.75" customHeight="1">
      <c r="A27" s="1">
        <v>38.648718000000002</v>
      </c>
      <c r="B27" s="1">
        <v>-87.169505000000001</v>
      </c>
      <c r="C27" s="1" t="s">
        <v>100</v>
      </c>
      <c r="D27" s="1" t="s">
        <v>27</v>
      </c>
      <c r="E27" s="1">
        <v>47501</v>
      </c>
      <c r="F27" s="1" t="s">
        <v>20</v>
      </c>
      <c r="G27" s="1" t="s">
        <v>28</v>
      </c>
      <c r="H27" s="1" t="s">
        <v>29</v>
      </c>
      <c r="I27" s="1" t="s">
        <v>23</v>
      </c>
      <c r="J27" s="1">
        <v>714</v>
      </c>
      <c r="K27" s="1">
        <v>1239.6363636363601</v>
      </c>
      <c r="L27" s="1" t="s">
        <v>98</v>
      </c>
      <c r="M27" s="1" t="s">
        <v>101</v>
      </c>
      <c r="N27" s="4">
        <v>214200</v>
      </c>
      <c r="O27" s="4">
        <v>212424.08727272699</v>
      </c>
      <c r="P27" s="3">
        <v>20.100000000000001</v>
      </c>
      <c r="Q27" s="3">
        <v>148.484437003636</v>
      </c>
      <c r="R27" s="1" t="s">
        <v>98</v>
      </c>
    </row>
    <row r="28" spans="1:18" ht="15.75" customHeight="1">
      <c r="A28" s="1">
        <v>38.658359999600002</v>
      </c>
      <c r="B28" s="1">
        <v>-87.175291000499996</v>
      </c>
      <c r="C28" s="1" t="s">
        <v>102</v>
      </c>
      <c r="D28" s="1" t="s">
        <v>27</v>
      </c>
      <c r="E28" s="1">
        <v>47501</v>
      </c>
      <c r="F28" s="1" t="s">
        <v>20</v>
      </c>
      <c r="G28" s="1" t="s">
        <v>28</v>
      </c>
      <c r="H28" s="1" t="s">
        <v>29</v>
      </c>
      <c r="I28" s="1" t="s">
        <v>23</v>
      </c>
      <c r="J28" s="1">
        <v>705</v>
      </c>
      <c r="K28" s="1">
        <v>1240.9090909090901</v>
      </c>
      <c r="L28" s="1" t="s">
        <v>103</v>
      </c>
      <c r="M28" s="1" t="s">
        <v>104</v>
      </c>
      <c r="N28" s="4">
        <v>211500</v>
      </c>
      <c r="O28" s="4">
        <v>209961.818181818</v>
      </c>
      <c r="P28" s="3">
        <v>19.87</v>
      </c>
      <c r="Q28" s="3">
        <v>146.76331090908999</v>
      </c>
      <c r="R28" s="5" t="s">
        <v>105</v>
      </c>
    </row>
    <row r="29" spans="1:18" ht="15.75" customHeight="1">
      <c r="A29" s="2">
        <v>38.6580108870467</v>
      </c>
      <c r="B29" s="2">
        <v>-87.150355099332501</v>
      </c>
      <c r="C29" s="1" t="s">
        <v>106</v>
      </c>
      <c r="D29" s="1" t="s">
        <v>27</v>
      </c>
      <c r="E29" s="1">
        <v>47501</v>
      </c>
      <c r="F29" s="1" t="s">
        <v>20</v>
      </c>
      <c r="G29" s="1" t="s">
        <v>28</v>
      </c>
      <c r="H29" s="1" t="s">
        <v>29</v>
      </c>
      <c r="I29" s="1" t="s">
        <v>23</v>
      </c>
      <c r="J29" s="3">
        <v>536.95714285714291</v>
      </c>
      <c r="K29" s="1">
        <v>1211</v>
      </c>
      <c r="L29" s="1" t="s">
        <v>107</v>
      </c>
      <c r="M29" s="1" t="s">
        <v>108</v>
      </c>
      <c r="N29" s="4">
        <v>161087.14285714287</v>
      </c>
      <c r="O29" s="4">
        <v>195076.53000000003</v>
      </c>
      <c r="P29" s="3">
        <v>18.4626660988075</v>
      </c>
      <c r="Q29" s="4">
        <f t="shared" ref="Q29:Q30" si="3">O29*0.000699</f>
        <v>136.35849447000001</v>
      </c>
      <c r="R29" s="1" t="s">
        <v>107</v>
      </c>
    </row>
    <row r="30" spans="1:18" ht="15.75" customHeight="1">
      <c r="A30" s="2">
        <v>38.6584439978107</v>
      </c>
      <c r="B30" s="2">
        <v>-87.149591200954603</v>
      </c>
      <c r="C30" s="1" t="s">
        <v>106</v>
      </c>
      <c r="D30" s="1" t="s">
        <v>27</v>
      </c>
      <c r="E30" s="1">
        <v>47501</v>
      </c>
      <c r="F30" s="1" t="s">
        <v>20</v>
      </c>
      <c r="G30" s="1" t="s">
        <v>28</v>
      </c>
      <c r="H30" s="1" t="s">
        <v>29</v>
      </c>
      <c r="I30" s="1" t="s">
        <v>23</v>
      </c>
      <c r="J30" s="3">
        <v>495</v>
      </c>
      <c r="K30" s="1">
        <v>1211</v>
      </c>
      <c r="L30" s="1" t="s">
        <v>107</v>
      </c>
      <c r="M30" s="1" t="s">
        <v>108</v>
      </c>
      <c r="N30" s="4">
        <v>148500</v>
      </c>
      <c r="O30" s="4">
        <v>179833.5</v>
      </c>
      <c r="P30" s="3">
        <v>17.020017035775126</v>
      </c>
      <c r="Q30" s="4">
        <f t="shared" si="3"/>
        <v>125.7036165</v>
      </c>
      <c r="R30" s="1" t="s">
        <v>107</v>
      </c>
    </row>
    <row r="31" spans="1:18" ht="15.75" customHeight="1">
      <c r="A31" s="1">
        <v>38.658821000400003</v>
      </c>
      <c r="B31" s="1">
        <v>-87.174235999800004</v>
      </c>
      <c r="C31" s="1" t="s">
        <v>109</v>
      </c>
      <c r="D31" s="1" t="s">
        <v>27</v>
      </c>
      <c r="E31" s="1">
        <v>47501</v>
      </c>
      <c r="F31" s="1" t="s">
        <v>20</v>
      </c>
      <c r="G31" s="1" t="s">
        <v>28</v>
      </c>
      <c r="H31" s="1" t="s">
        <v>29</v>
      </c>
      <c r="I31" s="1" t="s">
        <v>23</v>
      </c>
      <c r="J31" s="1">
        <v>571</v>
      </c>
      <c r="K31" s="1">
        <v>1307.0909090908999</v>
      </c>
      <c r="L31" s="1" t="s">
        <v>110</v>
      </c>
      <c r="M31" s="1" t="s">
        <v>111</v>
      </c>
      <c r="N31" s="4">
        <v>171300</v>
      </c>
      <c r="O31" s="4">
        <v>179123.73818181799</v>
      </c>
      <c r="P31" s="3">
        <v>16.95</v>
      </c>
      <c r="Q31" s="3">
        <v>125.20749298909</v>
      </c>
      <c r="R31" s="1" t="s">
        <v>110</v>
      </c>
    </row>
    <row r="32" spans="1:18" ht="15.75" customHeight="1">
      <c r="A32" s="1">
        <v>38.647874999700001</v>
      </c>
      <c r="B32" s="1">
        <v>-87.172525000600004</v>
      </c>
      <c r="C32" s="1" t="s">
        <v>112</v>
      </c>
      <c r="D32" s="1" t="s">
        <v>27</v>
      </c>
      <c r="E32" s="1">
        <v>47501</v>
      </c>
      <c r="F32" s="1" t="s">
        <v>20</v>
      </c>
      <c r="G32" s="1" t="s">
        <v>28</v>
      </c>
      <c r="H32" s="1" t="s">
        <v>29</v>
      </c>
      <c r="I32" s="1" t="s">
        <v>23</v>
      </c>
      <c r="J32" s="1">
        <v>537</v>
      </c>
      <c r="K32" s="1">
        <v>1342.8181818181799</v>
      </c>
      <c r="L32" s="1" t="s">
        <v>113</v>
      </c>
      <c r="M32" s="1" t="s">
        <v>114</v>
      </c>
      <c r="N32" s="4">
        <v>161100</v>
      </c>
      <c r="O32" s="4">
        <v>173062.407272727</v>
      </c>
      <c r="P32" s="3">
        <v>16.38</v>
      </c>
      <c r="Q32" s="3">
        <v>120.97062268363599</v>
      </c>
      <c r="R32" s="1" t="s">
        <v>115</v>
      </c>
    </row>
    <row r="33" spans="1:18" ht="15.75" customHeight="1">
      <c r="A33" s="2">
        <v>39.035185647649897</v>
      </c>
      <c r="B33" s="2">
        <v>-87.167972612282497</v>
      </c>
      <c r="C33" s="1" t="s">
        <v>116</v>
      </c>
      <c r="D33" s="1" t="s">
        <v>39</v>
      </c>
      <c r="E33" s="1">
        <v>47441</v>
      </c>
      <c r="F33" s="1" t="s">
        <v>20</v>
      </c>
      <c r="G33" s="1" t="s">
        <v>40</v>
      </c>
      <c r="H33" s="1" t="s">
        <v>41</v>
      </c>
      <c r="I33" s="1" t="s">
        <v>23</v>
      </c>
      <c r="J33" s="3">
        <v>450.34285714285716</v>
      </c>
      <c r="K33" s="1">
        <v>1184</v>
      </c>
      <c r="L33" s="1" t="s">
        <v>117</v>
      </c>
      <c r="M33" s="1" t="s">
        <v>118</v>
      </c>
      <c r="N33" s="4">
        <v>135102.85714285716</v>
      </c>
      <c r="O33" s="4">
        <v>163609.56</v>
      </c>
      <c r="P33" s="3">
        <v>15.484531516183987</v>
      </c>
      <c r="Q33" s="4">
        <f>O33*0.000699</f>
        <v>114.36308244</v>
      </c>
      <c r="R33" s="1" t="s">
        <v>117</v>
      </c>
    </row>
    <row r="34" spans="1:18" ht="15.75" customHeight="1">
      <c r="A34" s="1">
        <v>38.659078999999998</v>
      </c>
      <c r="B34" s="1">
        <v>-87.173585999500006</v>
      </c>
      <c r="C34" s="1" t="s">
        <v>119</v>
      </c>
      <c r="D34" s="1" t="s">
        <v>27</v>
      </c>
      <c r="E34" s="1">
        <v>47501</v>
      </c>
      <c r="F34" s="1" t="s">
        <v>20</v>
      </c>
      <c r="G34" s="1" t="s">
        <v>28</v>
      </c>
      <c r="H34" s="1" t="s">
        <v>29</v>
      </c>
      <c r="I34" s="1" t="s">
        <v>23</v>
      </c>
      <c r="J34" s="1">
        <v>498</v>
      </c>
      <c r="K34" s="1">
        <v>1344.72727272727</v>
      </c>
      <c r="L34" s="1" t="s">
        <v>110</v>
      </c>
      <c r="M34" s="1" t="s">
        <v>120</v>
      </c>
      <c r="N34" s="4">
        <v>149400</v>
      </c>
      <c r="O34" s="4">
        <v>160721.80363636301</v>
      </c>
      <c r="P34" s="3">
        <v>15.21</v>
      </c>
      <c r="Q34" s="3">
        <v>112.34454074181799</v>
      </c>
      <c r="R34" s="1" t="s">
        <v>121</v>
      </c>
    </row>
    <row r="35" spans="1:18" ht="15.75" customHeight="1">
      <c r="A35" s="1">
        <v>38.660199000399999</v>
      </c>
      <c r="B35" s="1">
        <v>-87.1731159996</v>
      </c>
      <c r="C35" s="1" t="s">
        <v>122</v>
      </c>
      <c r="D35" s="1" t="s">
        <v>27</v>
      </c>
      <c r="E35" s="1">
        <v>47501</v>
      </c>
      <c r="F35" s="1" t="s">
        <v>20</v>
      </c>
      <c r="G35" s="1" t="s">
        <v>28</v>
      </c>
      <c r="H35" s="1" t="s">
        <v>29</v>
      </c>
      <c r="I35" s="1" t="s">
        <v>23</v>
      </c>
      <c r="J35" s="1">
        <v>508</v>
      </c>
      <c r="K35" s="1">
        <v>1315.9090909090901</v>
      </c>
      <c r="L35" s="1" t="s">
        <v>123</v>
      </c>
      <c r="M35" s="1" t="s">
        <v>124</v>
      </c>
      <c r="N35" s="4">
        <v>152400</v>
      </c>
      <c r="O35" s="4">
        <v>160435.636363636</v>
      </c>
      <c r="P35" s="3">
        <v>15.18</v>
      </c>
      <c r="Q35" s="3">
        <v>112.14450981818101</v>
      </c>
      <c r="R35" s="1" t="s">
        <v>121</v>
      </c>
    </row>
    <row r="36" spans="1:18" ht="15.75" customHeight="1">
      <c r="A36" s="1">
        <v>38.646841999800003</v>
      </c>
      <c r="B36" s="1">
        <v>-87.1718039995</v>
      </c>
      <c r="C36" s="1" t="s">
        <v>125</v>
      </c>
      <c r="D36" s="1" t="s">
        <v>27</v>
      </c>
      <c r="E36" s="1">
        <v>47501</v>
      </c>
      <c r="F36" s="1" t="s">
        <v>20</v>
      </c>
      <c r="G36" s="1" t="s">
        <v>28</v>
      </c>
      <c r="H36" s="1" t="s">
        <v>29</v>
      </c>
      <c r="I36" s="1" t="s">
        <v>23</v>
      </c>
      <c r="J36" s="1">
        <v>502</v>
      </c>
      <c r="K36" s="1">
        <v>1327.45454545454</v>
      </c>
      <c r="L36" s="1" t="s">
        <v>126</v>
      </c>
      <c r="M36" s="1" t="s">
        <v>127</v>
      </c>
      <c r="N36" s="4">
        <v>150600</v>
      </c>
      <c r="O36" s="4">
        <v>159931.72363636299</v>
      </c>
      <c r="P36" s="3">
        <v>15.14</v>
      </c>
      <c r="Q36" s="3">
        <v>111.792274821818</v>
      </c>
      <c r="R36" s="1" t="s">
        <v>126</v>
      </c>
    </row>
    <row r="37" spans="1:18" ht="15.75" customHeight="1">
      <c r="A37" s="1">
        <v>38.657204</v>
      </c>
      <c r="B37" s="1">
        <v>-87.178010999700007</v>
      </c>
      <c r="C37" s="1" t="s">
        <v>128</v>
      </c>
      <c r="D37" s="1" t="s">
        <v>27</v>
      </c>
      <c r="E37" s="1">
        <v>47501</v>
      </c>
      <c r="F37" s="1" t="s">
        <v>20</v>
      </c>
      <c r="G37" s="1" t="s">
        <v>28</v>
      </c>
      <c r="H37" s="1" t="s">
        <v>29</v>
      </c>
      <c r="I37" s="1" t="s">
        <v>23</v>
      </c>
      <c r="J37" s="1">
        <v>490</v>
      </c>
      <c r="K37" s="1">
        <v>1312.9090909090901</v>
      </c>
      <c r="L37" s="1" t="s">
        <v>129</v>
      </c>
      <c r="M37" s="1" t="s">
        <v>130</v>
      </c>
      <c r="N37" s="4">
        <v>147000</v>
      </c>
      <c r="O37" s="4">
        <v>154398.10909090901</v>
      </c>
      <c r="P37" s="3">
        <v>14.61</v>
      </c>
      <c r="Q37" s="3">
        <v>107.924278254545</v>
      </c>
      <c r="R37" s="1" t="s">
        <v>129</v>
      </c>
    </row>
    <row r="38" spans="1:18" ht="15.75" customHeight="1">
      <c r="A38" s="2">
        <v>39.035219024745601</v>
      </c>
      <c r="B38" s="2">
        <v>-87.168596649868704</v>
      </c>
      <c r="C38" s="1" t="s">
        <v>131</v>
      </c>
      <c r="D38" s="1" t="s">
        <v>39</v>
      </c>
      <c r="E38" s="1">
        <v>47441</v>
      </c>
      <c r="F38" s="1" t="s">
        <v>20</v>
      </c>
      <c r="G38" s="1" t="s">
        <v>40</v>
      </c>
      <c r="H38" s="1" t="s">
        <v>41</v>
      </c>
      <c r="I38" s="1" t="s">
        <v>23</v>
      </c>
      <c r="J38" s="3">
        <v>416.82857142857142</v>
      </c>
      <c r="K38" s="1">
        <v>1184</v>
      </c>
      <c r="L38" s="1" t="s">
        <v>132</v>
      </c>
      <c r="M38" s="1" t="s">
        <v>133</v>
      </c>
      <c r="N38" s="4">
        <v>125048.57142857142</v>
      </c>
      <c r="O38" s="4">
        <v>151433.81999999998</v>
      </c>
      <c r="P38" s="3">
        <v>14.332180579216352</v>
      </c>
      <c r="Q38" s="4">
        <f>O38*0.000699</f>
        <v>105.85224017999998</v>
      </c>
      <c r="R38" s="1" t="s">
        <v>132</v>
      </c>
    </row>
    <row r="39" spans="1:18" ht="15.75" customHeight="1">
      <c r="A39" s="1">
        <v>38.653552000099999</v>
      </c>
      <c r="B39" s="1">
        <v>-87.175411999399998</v>
      </c>
      <c r="C39" s="1" t="s">
        <v>134</v>
      </c>
      <c r="D39" s="1" t="s">
        <v>27</v>
      </c>
      <c r="E39" s="1">
        <v>47501</v>
      </c>
      <c r="F39" s="1" t="s">
        <v>20</v>
      </c>
      <c r="G39" s="1" t="s">
        <v>28</v>
      </c>
      <c r="H39" s="1" t="s">
        <v>29</v>
      </c>
      <c r="I39" s="1" t="s">
        <v>23</v>
      </c>
      <c r="J39" s="1">
        <v>485</v>
      </c>
      <c r="K39" s="1">
        <v>1244.6363636363601</v>
      </c>
      <c r="L39" s="1" t="s">
        <v>135</v>
      </c>
      <c r="M39" s="1" t="s">
        <v>136</v>
      </c>
      <c r="N39" s="4">
        <v>145500</v>
      </c>
      <c r="O39" s="4">
        <v>144875.672727272</v>
      </c>
      <c r="P39" s="3">
        <v>13.71</v>
      </c>
      <c r="Q39" s="3">
        <v>101.268095236363</v>
      </c>
      <c r="R39" s="1" t="s">
        <v>135</v>
      </c>
    </row>
    <row r="40" spans="1:18" ht="15.75" customHeight="1">
      <c r="A40" s="1">
        <v>38.297156000400001</v>
      </c>
      <c r="B40" s="1">
        <v>-86.955844000499994</v>
      </c>
      <c r="C40" s="1" t="s">
        <v>137</v>
      </c>
      <c r="D40" s="1" t="s">
        <v>19</v>
      </c>
      <c r="E40" s="1">
        <v>47542</v>
      </c>
      <c r="F40" s="1" t="s">
        <v>20</v>
      </c>
      <c r="G40" s="1" t="s">
        <v>21</v>
      </c>
      <c r="H40" s="1" t="s">
        <v>22</v>
      </c>
      <c r="I40" s="1" t="s">
        <v>23</v>
      </c>
      <c r="J40" s="1">
        <v>460</v>
      </c>
      <c r="K40" s="1">
        <v>1300.72727272727</v>
      </c>
      <c r="L40" s="1" t="s">
        <v>138</v>
      </c>
      <c r="M40" s="1" t="s">
        <v>139</v>
      </c>
      <c r="N40" s="4">
        <v>138000</v>
      </c>
      <c r="O40" s="4">
        <v>143600.29090908999</v>
      </c>
      <c r="P40" s="3">
        <v>13.59</v>
      </c>
      <c r="Q40" s="3">
        <v>100.376603345454</v>
      </c>
      <c r="R40" s="5" t="s">
        <v>138</v>
      </c>
    </row>
    <row r="41" spans="1:18" ht="15.75" customHeight="1">
      <c r="A41" s="2">
        <v>38.6622236689457</v>
      </c>
      <c r="B41" s="2">
        <v>-87.146244042758894</v>
      </c>
      <c r="C41" s="1" t="s">
        <v>71</v>
      </c>
      <c r="D41" s="1" t="s">
        <v>27</v>
      </c>
      <c r="E41" s="1">
        <v>47501</v>
      </c>
      <c r="F41" s="1" t="s">
        <v>20</v>
      </c>
      <c r="G41" s="1" t="s">
        <v>28</v>
      </c>
      <c r="H41" s="1" t="s">
        <v>29</v>
      </c>
      <c r="I41" s="1" t="s">
        <v>23</v>
      </c>
      <c r="J41" s="3">
        <v>368.4</v>
      </c>
      <c r="K41" s="1">
        <v>1211</v>
      </c>
      <c r="L41" s="1" t="s">
        <v>72</v>
      </c>
      <c r="M41" s="1" t="s">
        <v>73</v>
      </c>
      <c r="N41" s="4">
        <v>110520</v>
      </c>
      <c r="O41" s="4">
        <v>133839.72</v>
      </c>
      <c r="P41" s="3">
        <v>12.66701873935264</v>
      </c>
      <c r="Q41" s="4">
        <f>O41*0.000699</f>
        <v>93.553964280000002</v>
      </c>
      <c r="R41" s="1" t="s">
        <v>72</v>
      </c>
    </row>
    <row r="42" spans="1:18" ht="15.75" customHeight="1">
      <c r="A42" s="1">
        <v>38.659741999799998</v>
      </c>
      <c r="B42" s="1">
        <v>-87.172551999800007</v>
      </c>
      <c r="C42" s="1" t="s">
        <v>140</v>
      </c>
      <c r="D42" s="1" t="s">
        <v>27</v>
      </c>
      <c r="E42" s="1">
        <v>47501</v>
      </c>
      <c r="F42" s="1" t="s">
        <v>20</v>
      </c>
      <c r="G42" s="1" t="s">
        <v>28</v>
      </c>
      <c r="H42" s="1" t="s">
        <v>29</v>
      </c>
      <c r="I42" s="1" t="s">
        <v>23</v>
      </c>
      <c r="J42" s="1">
        <v>475</v>
      </c>
      <c r="K42" s="1">
        <v>1169.45454545454</v>
      </c>
      <c r="L42" s="1" t="s">
        <v>141</v>
      </c>
      <c r="M42" s="1" t="s">
        <v>142</v>
      </c>
      <c r="N42" s="4">
        <v>142500</v>
      </c>
      <c r="O42" s="4">
        <v>133317.818181818</v>
      </c>
      <c r="P42" s="3">
        <v>12.62</v>
      </c>
      <c r="Q42" s="3">
        <v>93.189154909090902</v>
      </c>
      <c r="R42" s="1" t="s">
        <v>141</v>
      </c>
    </row>
    <row r="43" spans="1:18" ht="15.75" customHeight="1">
      <c r="A43" s="1">
        <v>38.297497000100002</v>
      </c>
      <c r="B43" s="1">
        <v>-86.951392999700005</v>
      </c>
      <c r="C43" s="1" t="s">
        <v>143</v>
      </c>
      <c r="D43" s="1" t="s">
        <v>19</v>
      </c>
      <c r="E43" s="1">
        <v>47542</v>
      </c>
      <c r="F43" s="1" t="s">
        <v>20</v>
      </c>
      <c r="G43" s="1" t="s">
        <v>21</v>
      </c>
      <c r="H43" s="1" t="s">
        <v>22</v>
      </c>
      <c r="I43" s="1" t="s">
        <v>23</v>
      </c>
      <c r="J43" s="1">
        <v>410</v>
      </c>
      <c r="K43" s="1">
        <v>1355.27272727272</v>
      </c>
      <c r="L43" s="1" t="s">
        <v>144</v>
      </c>
      <c r="M43" s="1" t="s">
        <v>145</v>
      </c>
      <c r="N43" s="4">
        <v>123000</v>
      </c>
      <c r="O43" s="4">
        <v>133358.83636363599</v>
      </c>
      <c r="P43" s="3">
        <v>12.62</v>
      </c>
      <c r="Q43" s="3">
        <v>93.217826618181803</v>
      </c>
      <c r="R43" s="5" t="s">
        <v>146</v>
      </c>
    </row>
    <row r="44" spans="1:18" ht="15.75" customHeight="1">
      <c r="A44" s="1">
        <v>38.658450000199998</v>
      </c>
      <c r="B44" s="1">
        <v>-87.172494000599997</v>
      </c>
      <c r="C44" s="1" t="s">
        <v>147</v>
      </c>
      <c r="D44" s="1" t="s">
        <v>27</v>
      </c>
      <c r="E44" s="1">
        <v>47501</v>
      </c>
      <c r="F44" s="1" t="s">
        <v>20</v>
      </c>
      <c r="G44" s="1" t="s">
        <v>28</v>
      </c>
      <c r="H44" s="1" t="s">
        <v>29</v>
      </c>
      <c r="I44" s="1" t="s">
        <v>23</v>
      </c>
      <c r="J44" s="1">
        <v>407</v>
      </c>
      <c r="K44" s="1">
        <v>1353.8181818181799</v>
      </c>
      <c r="L44" s="1" t="s">
        <v>148</v>
      </c>
      <c r="M44" s="1" t="s">
        <v>149</v>
      </c>
      <c r="N44" s="4">
        <v>122100</v>
      </c>
      <c r="O44" s="4">
        <v>132240.95999999999</v>
      </c>
      <c r="P44" s="3">
        <v>12.52</v>
      </c>
      <c r="Q44" s="3">
        <v>92.436431039999903</v>
      </c>
      <c r="R44" s="1" t="s">
        <v>150</v>
      </c>
    </row>
    <row r="45" spans="1:18" ht="15.75" customHeight="1">
      <c r="A45" s="1">
        <v>38.291146999699997</v>
      </c>
      <c r="B45" s="1">
        <v>-86.952544999400004</v>
      </c>
      <c r="C45" s="1" t="s">
        <v>151</v>
      </c>
      <c r="D45" s="1" t="s">
        <v>19</v>
      </c>
      <c r="E45" s="1">
        <v>47542</v>
      </c>
      <c r="F45" s="1" t="s">
        <v>20</v>
      </c>
      <c r="G45" s="1" t="s">
        <v>21</v>
      </c>
      <c r="H45" s="1" t="s">
        <v>22</v>
      </c>
      <c r="I45" s="1" t="s">
        <v>23</v>
      </c>
      <c r="J45" s="1">
        <v>411</v>
      </c>
      <c r="K45" s="1">
        <v>1275.1818181818101</v>
      </c>
      <c r="L45" s="1" t="s">
        <v>152</v>
      </c>
      <c r="M45" s="1" t="s">
        <v>153</v>
      </c>
      <c r="N45" s="4">
        <v>123300</v>
      </c>
      <c r="O45" s="4">
        <v>125783.934545454</v>
      </c>
      <c r="P45" s="3">
        <v>11.9</v>
      </c>
      <c r="Q45" s="3">
        <v>87.922970247272701</v>
      </c>
      <c r="R45" s="6" t="s">
        <v>154</v>
      </c>
    </row>
    <row r="46" spans="1:18" ht="15.75" customHeight="1">
      <c r="A46" s="1">
        <v>38.295077000100001</v>
      </c>
      <c r="B46" s="1">
        <v>-86.957747000099999</v>
      </c>
      <c r="C46" s="1" t="s">
        <v>155</v>
      </c>
      <c r="D46" s="1" t="s">
        <v>19</v>
      </c>
      <c r="E46" s="1">
        <v>47542</v>
      </c>
      <c r="F46" s="1" t="s">
        <v>20</v>
      </c>
      <c r="G46" s="1" t="s">
        <v>21</v>
      </c>
      <c r="H46" s="1" t="s">
        <v>22</v>
      </c>
      <c r="I46" s="1" t="s">
        <v>23</v>
      </c>
      <c r="J46" s="1">
        <v>412</v>
      </c>
      <c r="K46" s="1">
        <v>1251.9090909090901</v>
      </c>
      <c r="L46" s="1" t="s">
        <v>156</v>
      </c>
      <c r="M46" s="1" t="s">
        <v>157</v>
      </c>
      <c r="N46" s="4">
        <v>123600</v>
      </c>
      <c r="O46" s="4">
        <v>123788.77090909</v>
      </c>
      <c r="P46" s="3">
        <v>11.72</v>
      </c>
      <c r="Q46" s="3">
        <v>86.528350865454499</v>
      </c>
      <c r="R46" s="5" t="s">
        <v>158</v>
      </c>
    </row>
    <row r="47" spans="1:18" ht="15.75" customHeight="1">
      <c r="A47" s="1">
        <v>39.035985000300002</v>
      </c>
      <c r="B47" s="1">
        <v>-87.167079999600006</v>
      </c>
      <c r="C47" s="1" t="s">
        <v>159</v>
      </c>
      <c r="D47" s="1" t="s">
        <v>39</v>
      </c>
      <c r="E47" s="1">
        <v>47441</v>
      </c>
      <c r="F47" s="1" t="s">
        <v>20</v>
      </c>
      <c r="G47" s="1" t="s">
        <v>40</v>
      </c>
      <c r="H47" s="1" t="s">
        <v>41</v>
      </c>
      <c r="I47" s="1" t="s">
        <v>23</v>
      </c>
      <c r="J47" s="1">
        <v>444</v>
      </c>
      <c r="K47" s="1">
        <v>1131.3636363636299</v>
      </c>
      <c r="L47" s="1" t="s">
        <v>160</v>
      </c>
      <c r="M47" s="1" t="s">
        <v>161</v>
      </c>
      <c r="N47" s="4">
        <v>133200</v>
      </c>
      <c r="O47" s="4">
        <v>120558.109090909</v>
      </c>
      <c r="P47" s="3">
        <v>11.41</v>
      </c>
      <c r="Q47" s="3">
        <v>84.270118254545395</v>
      </c>
      <c r="R47" s="1" t="s">
        <v>162</v>
      </c>
    </row>
    <row r="48" spans="1:18" ht="15.75" customHeight="1">
      <c r="A48" s="1">
        <v>38.658045999800002</v>
      </c>
      <c r="B48" s="1">
        <v>-87.176394000499997</v>
      </c>
      <c r="C48" s="1" t="s">
        <v>163</v>
      </c>
      <c r="D48" s="1" t="s">
        <v>27</v>
      </c>
      <c r="E48" s="1">
        <v>47501</v>
      </c>
      <c r="F48" s="1" t="s">
        <v>20</v>
      </c>
      <c r="G48" s="1" t="s">
        <v>28</v>
      </c>
      <c r="H48" s="1" t="s">
        <v>29</v>
      </c>
      <c r="I48" s="1" t="s">
        <v>23</v>
      </c>
      <c r="J48" s="1">
        <v>393</v>
      </c>
      <c r="K48" s="1">
        <v>1254.72727272727</v>
      </c>
      <c r="L48" s="1" t="s">
        <v>164</v>
      </c>
      <c r="M48" s="1" t="s">
        <v>165</v>
      </c>
      <c r="N48" s="4">
        <v>117900</v>
      </c>
      <c r="O48" s="4">
        <v>118345.87636363599</v>
      </c>
      <c r="P48" s="3">
        <v>11.2</v>
      </c>
      <c r="Q48" s="3">
        <v>82.723767578181807</v>
      </c>
      <c r="R48" s="5" t="s">
        <v>75</v>
      </c>
    </row>
    <row r="49" spans="1:18" ht="15.75" customHeight="1">
      <c r="A49" s="2">
        <v>38.657268208813498</v>
      </c>
      <c r="B49" s="2">
        <v>-87.150651104575701</v>
      </c>
      <c r="C49" s="1" t="s">
        <v>166</v>
      </c>
      <c r="D49" s="1" t="s">
        <v>27</v>
      </c>
      <c r="E49" s="1">
        <v>47501</v>
      </c>
      <c r="F49" s="1" t="s">
        <v>20</v>
      </c>
      <c r="G49" s="1" t="s">
        <v>28</v>
      </c>
      <c r="H49" s="1" t="s">
        <v>29</v>
      </c>
      <c r="I49" s="1" t="s">
        <v>23</v>
      </c>
      <c r="J49" s="3">
        <v>324.29999999999995</v>
      </c>
      <c r="K49" s="1">
        <v>1211</v>
      </c>
      <c r="L49" s="1" t="s">
        <v>167</v>
      </c>
      <c r="M49" s="1" t="s">
        <v>168</v>
      </c>
      <c r="N49" s="4">
        <v>97289.999999999985</v>
      </c>
      <c r="O49" s="4">
        <v>117818.18999999999</v>
      </c>
      <c r="P49" s="3">
        <v>11.150689948892673</v>
      </c>
      <c r="Q49" s="4">
        <f>O49*0.000699</f>
        <v>82.354914809999983</v>
      </c>
      <c r="R49" s="1" t="s">
        <v>167</v>
      </c>
    </row>
    <row r="50" spans="1:18" ht="15.75" customHeight="1">
      <c r="A50" s="1">
        <v>38.299222000299999</v>
      </c>
      <c r="B50" s="1">
        <v>-86.949261999599997</v>
      </c>
      <c r="C50" s="1" t="s">
        <v>169</v>
      </c>
      <c r="D50" s="1" t="s">
        <v>19</v>
      </c>
      <c r="E50" s="1">
        <v>47542</v>
      </c>
      <c r="F50" s="1" t="s">
        <v>20</v>
      </c>
      <c r="G50" s="1" t="s">
        <v>21</v>
      </c>
      <c r="H50" s="1" t="s">
        <v>22</v>
      </c>
      <c r="I50" s="1" t="s">
        <v>23</v>
      </c>
      <c r="J50" s="1">
        <v>360</v>
      </c>
      <c r="K50" s="1">
        <v>1327.45454545454</v>
      </c>
      <c r="L50" s="1" t="s">
        <v>170</v>
      </c>
      <c r="M50" s="1" t="s">
        <v>171</v>
      </c>
      <c r="N50" s="4">
        <v>108000</v>
      </c>
      <c r="O50" s="4">
        <v>114692.072727272</v>
      </c>
      <c r="P50" s="3">
        <v>10.85</v>
      </c>
      <c r="Q50" s="3">
        <v>80.169758836363599</v>
      </c>
      <c r="R50" s="5" t="s">
        <v>172</v>
      </c>
    </row>
    <row r="51" spans="1:18" ht="15.75" customHeight="1">
      <c r="A51" s="1">
        <v>38.6576099997</v>
      </c>
      <c r="B51" s="1">
        <v>-87.186184000099999</v>
      </c>
      <c r="C51" s="1" t="s">
        <v>173</v>
      </c>
      <c r="D51" s="1" t="s">
        <v>27</v>
      </c>
      <c r="E51" s="1">
        <v>47501</v>
      </c>
      <c r="F51" s="1" t="s">
        <v>20</v>
      </c>
      <c r="G51" s="1" t="s">
        <v>28</v>
      </c>
      <c r="H51" s="1" t="s">
        <v>29</v>
      </c>
      <c r="I51" s="1" t="s">
        <v>23</v>
      </c>
      <c r="J51" s="1">
        <v>362</v>
      </c>
      <c r="K51" s="1">
        <v>1261.0909090908999</v>
      </c>
      <c r="L51" s="1" t="s">
        <v>174</v>
      </c>
      <c r="M51" s="1" t="s">
        <v>175</v>
      </c>
      <c r="N51" s="4">
        <v>108600</v>
      </c>
      <c r="O51" s="4">
        <v>109563.578181818</v>
      </c>
      <c r="P51" s="3">
        <v>10.37</v>
      </c>
      <c r="Q51" s="3">
        <v>76.584941149090895</v>
      </c>
      <c r="R51" s="1" t="s">
        <v>176</v>
      </c>
    </row>
    <row r="52" spans="1:18" ht="15.75" customHeight="1">
      <c r="A52" s="2">
        <v>39.033081151605003</v>
      </c>
      <c r="B52" s="2">
        <v>-87.166662361246694</v>
      </c>
      <c r="C52" s="1" t="s">
        <v>177</v>
      </c>
      <c r="D52" s="1" t="s">
        <v>39</v>
      </c>
      <c r="E52" s="1">
        <v>47441</v>
      </c>
      <c r="F52" s="1" t="s">
        <v>20</v>
      </c>
      <c r="G52" s="1" t="s">
        <v>40</v>
      </c>
      <c r="H52" s="1" t="s">
        <v>41</v>
      </c>
      <c r="I52" s="1" t="s">
        <v>23</v>
      </c>
      <c r="J52" s="3">
        <v>299.95714285714286</v>
      </c>
      <c r="K52" s="1">
        <v>1184</v>
      </c>
      <c r="L52" s="1" t="s">
        <v>178</v>
      </c>
      <c r="M52" s="1" t="s">
        <v>179</v>
      </c>
      <c r="N52" s="4">
        <v>89987.142857142855</v>
      </c>
      <c r="O52" s="4">
        <v>108974.43</v>
      </c>
      <c r="P52" s="3">
        <v>10.313688245315161</v>
      </c>
      <c r="Q52" s="4">
        <f t="shared" ref="Q52:Q53" si="4">O52*0.000699</f>
        <v>76.173126569999994</v>
      </c>
      <c r="R52" s="1" t="s">
        <v>178</v>
      </c>
    </row>
    <row r="53" spans="1:18" ht="15.75" customHeight="1">
      <c r="A53" s="2">
        <v>39.040455750860602</v>
      </c>
      <c r="B53" s="2">
        <v>-87.186322243917999</v>
      </c>
      <c r="C53" s="1" t="s">
        <v>180</v>
      </c>
      <c r="D53" s="1" t="s">
        <v>39</v>
      </c>
      <c r="E53" s="1">
        <v>47441</v>
      </c>
      <c r="F53" s="1" t="s">
        <v>20</v>
      </c>
      <c r="G53" s="1" t="s">
        <v>40</v>
      </c>
      <c r="H53" s="1" t="s">
        <v>41</v>
      </c>
      <c r="I53" s="1" t="s">
        <v>23</v>
      </c>
      <c r="J53" s="3">
        <v>295.62857142857143</v>
      </c>
      <c r="K53" s="1">
        <v>1184</v>
      </c>
      <c r="L53" s="1" t="s">
        <v>181</v>
      </c>
      <c r="M53" s="1" t="s">
        <v>182</v>
      </c>
      <c r="N53" s="4">
        <v>88688.571428571435</v>
      </c>
      <c r="O53" s="4">
        <v>107401.86000000002</v>
      </c>
      <c r="P53" s="3">
        <v>10.164855195911416</v>
      </c>
      <c r="Q53" s="4">
        <f t="shared" si="4"/>
        <v>75.073900140000006</v>
      </c>
      <c r="R53" s="1" t="s">
        <v>181</v>
      </c>
    </row>
    <row r="54" spans="1:18" ht="15.75" customHeight="1">
      <c r="A54" s="1">
        <v>38.296365000000002</v>
      </c>
      <c r="B54" s="1">
        <v>-86.952000999700005</v>
      </c>
      <c r="C54" s="1" t="s">
        <v>183</v>
      </c>
      <c r="D54" s="1" t="s">
        <v>19</v>
      </c>
      <c r="E54" s="1">
        <v>47542</v>
      </c>
      <c r="F54" s="1" t="s">
        <v>20</v>
      </c>
      <c r="G54" s="1" t="s">
        <v>21</v>
      </c>
      <c r="H54" s="1" t="s">
        <v>22</v>
      </c>
      <c r="I54" s="1" t="s">
        <v>23</v>
      </c>
      <c r="J54" s="1">
        <v>350</v>
      </c>
      <c r="K54" s="1">
        <v>1276.45454545454</v>
      </c>
      <c r="L54" s="1" t="s">
        <v>184</v>
      </c>
      <c r="M54" s="1" t="s">
        <v>185</v>
      </c>
      <c r="N54" s="4">
        <v>105000</v>
      </c>
      <c r="O54" s="4">
        <v>107222.18181818099</v>
      </c>
      <c r="P54" s="3">
        <v>10.15</v>
      </c>
      <c r="Q54" s="3">
        <v>74.948305090909003</v>
      </c>
      <c r="R54" s="1" t="s">
        <v>184</v>
      </c>
    </row>
    <row r="55" spans="1:18" ht="15.75" customHeight="1">
      <c r="A55" s="2">
        <v>38.661303909733903</v>
      </c>
      <c r="B55" s="2">
        <v>-87.1466582450022</v>
      </c>
      <c r="C55" s="1" t="s">
        <v>71</v>
      </c>
      <c r="D55" s="1" t="s">
        <v>27</v>
      </c>
      <c r="E55" s="1">
        <v>47501</v>
      </c>
      <c r="F55" s="1" t="s">
        <v>20</v>
      </c>
      <c r="G55" s="1" t="s">
        <v>28</v>
      </c>
      <c r="H55" s="1" t="s">
        <v>29</v>
      </c>
      <c r="I55" s="1" t="s">
        <v>23</v>
      </c>
      <c r="J55" s="3">
        <v>294</v>
      </c>
      <c r="K55" s="1">
        <v>1211</v>
      </c>
      <c r="L55" s="1" t="s">
        <v>72</v>
      </c>
      <c r="M55" s="1" t="s">
        <v>73</v>
      </c>
      <c r="N55" s="4">
        <v>88200</v>
      </c>
      <c r="O55" s="4">
        <v>106810.2</v>
      </c>
      <c r="P55" s="3">
        <v>10.108858603066439</v>
      </c>
      <c r="Q55" s="4">
        <f>O55*0.000699</f>
        <v>74.6603298</v>
      </c>
      <c r="R55" s="1" t="s">
        <v>72</v>
      </c>
    </row>
    <row r="56" spans="1:18" ht="15.75" customHeight="1">
      <c r="A56" s="1">
        <v>39.041610999699998</v>
      </c>
      <c r="B56" s="1">
        <v>-87.171510999700004</v>
      </c>
      <c r="C56" s="1" t="s">
        <v>186</v>
      </c>
      <c r="D56" s="1" t="s">
        <v>39</v>
      </c>
      <c r="E56" s="1">
        <v>47441</v>
      </c>
      <c r="F56" s="1" t="s">
        <v>20</v>
      </c>
      <c r="G56" s="1" t="s">
        <v>40</v>
      </c>
      <c r="H56" s="1" t="s">
        <v>41</v>
      </c>
      <c r="I56" s="1" t="s">
        <v>23</v>
      </c>
      <c r="J56" s="1">
        <v>345</v>
      </c>
      <c r="K56" s="1">
        <v>1270.0909090908999</v>
      </c>
      <c r="L56" s="1" t="s">
        <v>187</v>
      </c>
      <c r="M56" s="1" t="s">
        <v>188</v>
      </c>
      <c r="N56" s="4">
        <v>103500</v>
      </c>
      <c r="O56" s="4">
        <v>105163.52727272701</v>
      </c>
      <c r="P56" s="3">
        <v>9.9499999999999993</v>
      </c>
      <c r="Q56" s="3">
        <v>73.509305563636303</v>
      </c>
      <c r="R56" s="1" t="s">
        <v>45</v>
      </c>
    </row>
    <row r="57" spans="1:18" ht="15.75" customHeight="1">
      <c r="A57" s="2">
        <v>39.040241500499498</v>
      </c>
      <c r="B57" s="2">
        <v>-87.185701512399604</v>
      </c>
      <c r="C57" s="1" t="s">
        <v>180</v>
      </c>
      <c r="D57" s="1" t="s">
        <v>39</v>
      </c>
      <c r="E57" s="1">
        <v>47441</v>
      </c>
      <c r="F57" s="1" t="s">
        <v>20</v>
      </c>
      <c r="G57" s="1" t="s">
        <v>40</v>
      </c>
      <c r="H57" s="1" t="s">
        <v>41</v>
      </c>
      <c r="I57" s="1" t="s">
        <v>23</v>
      </c>
      <c r="J57" s="3">
        <v>286.45714285714286</v>
      </c>
      <c r="K57" s="1">
        <v>1184</v>
      </c>
      <c r="L57" s="1" t="s">
        <v>181</v>
      </c>
      <c r="M57" s="1" t="s">
        <v>182</v>
      </c>
      <c r="N57" s="4">
        <v>85937.142857142855</v>
      </c>
      <c r="O57" s="4">
        <v>104069.88</v>
      </c>
      <c r="P57" s="3">
        <v>9.8495059625212953</v>
      </c>
      <c r="Q57" s="4">
        <f>O57*0.000699</f>
        <v>72.744846120000005</v>
      </c>
      <c r="R57" s="1" t="s">
        <v>181</v>
      </c>
    </row>
    <row r="58" spans="1:18" ht="15.75" customHeight="1">
      <c r="A58" s="1">
        <v>38.288212999899997</v>
      </c>
      <c r="B58" s="1">
        <v>-86.961430999900003</v>
      </c>
      <c r="C58" s="1" t="s">
        <v>189</v>
      </c>
      <c r="D58" s="1" t="s">
        <v>19</v>
      </c>
      <c r="E58" s="1">
        <v>47542</v>
      </c>
      <c r="F58" s="1" t="s">
        <v>20</v>
      </c>
      <c r="G58" s="1" t="s">
        <v>21</v>
      </c>
      <c r="H58" s="1" t="s">
        <v>22</v>
      </c>
      <c r="I58" s="1" t="s">
        <v>23</v>
      </c>
      <c r="J58" s="1">
        <v>363</v>
      </c>
      <c r="K58" s="1">
        <v>1193.8181818181799</v>
      </c>
      <c r="L58" s="1" t="s">
        <v>190</v>
      </c>
      <c r="M58" s="1" t="s">
        <v>191</v>
      </c>
      <c r="N58" s="4">
        <v>108900</v>
      </c>
      <c r="O58" s="4">
        <v>104005.44</v>
      </c>
      <c r="P58" s="3">
        <v>9.84</v>
      </c>
      <c r="Q58" s="3">
        <v>72.699802559999995</v>
      </c>
      <c r="R58" s="1" t="s">
        <v>190</v>
      </c>
    </row>
    <row r="59" spans="1:18" ht="15.75" customHeight="1">
      <c r="A59" s="2">
        <v>38.658037463691002</v>
      </c>
      <c r="B59" s="2">
        <v>-87.149724046123694</v>
      </c>
      <c r="C59" s="1" t="s">
        <v>106</v>
      </c>
      <c r="D59" s="1" t="s">
        <v>27</v>
      </c>
      <c r="E59" s="1">
        <v>47501</v>
      </c>
      <c r="F59" s="1" t="s">
        <v>20</v>
      </c>
      <c r="G59" s="1" t="s">
        <v>28</v>
      </c>
      <c r="H59" s="1" t="s">
        <v>29</v>
      </c>
      <c r="I59" s="1" t="s">
        <v>23</v>
      </c>
      <c r="J59" s="3">
        <v>284.39999999999998</v>
      </c>
      <c r="K59" s="1">
        <v>1211</v>
      </c>
      <c r="L59" s="1" t="s">
        <v>107</v>
      </c>
      <c r="M59" s="1" t="s">
        <v>108</v>
      </c>
      <c r="N59" s="4">
        <v>85320</v>
      </c>
      <c r="O59" s="4">
        <v>103322.51999999999</v>
      </c>
      <c r="P59" s="3">
        <v>9.7787734241907991</v>
      </c>
      <c r="Q59" s="4">
        <f t="shared" ref="Q59:Q60" si="5">O59*0.000699</f>
        <v>72.222441479999986</v>
      </c>
      <c r="R59" s="1" t="s">
        <v>107</v>
      </c>
    </row>
    <row r="60" spans="1:18" ht="15.75" customHeight="1">
      <c r="A60" s="2">
        <v>39.040656330794903</v>
      </c>
      <c r="B60" s="2">
        <v>-87.185700778545495</v>
      </c>
      <c r="C60" s="1" t="s">
        <v>180</v>
      </c>
      <c r="D60" s="1" t="s">
        <v>39</v>
      </c>
      <c r="E60" s="1">
        <v>47441</v>
      </c>
      <c r="F60" s="1" t="s">
        <v>20</v>
      </c>
      <c r="G60" s="1" t="s">
        <v>40</v>
      </c>
      <c r="H60" s="1" t="s">
        <v>41</v>
      </c>
      <c r="I60" s="1" t="s">
        <v>23</v>
      </c>
      <c r="J60" s="3">
        <v>282.25714285714287</v>
      </c>
      <c r="K60" s="1">
        <v>1184</v>
      </c>
      <c r="L60" s="1" t="s">
        <v>181</v>
      </c>
      <c r="M60" s="1" t="s">
        <v>182</v>
      </c>
      <c r="N60" s="4">
        <v>84677.142857142855</v>
      </c>
      <c r="O60" s="4">
        <v>102544.01999999999</v>
      </c>
      <c r="P60" s="3">
        <v>9.7050936967632015</v>
      </c>
      <c r="Q60" s="4">
        <f t="shared" si="5"/>
        <v>71.678269979999996</v>
      </c>
      <c r="R60" s="1" t="s">
        <v>181</v>
      </c>
    </row>
    <row r="61" spans="1:18" ht="15.75" customHeight="1">
      <c r="A61" s="1">
        <v>38.655315999599999</v>
      </c>
      <c r="B61" s="1">
        <v>-87.200673000500004</v>
      </c>
      <c r="C61" s="1" t="s">
        <v>192</v>
      </c>
      <c r="D61" s="1" t="s">
        <v>27</v>
      </c>
      <c r="E61" s="1">
        <v>47501</v>
      </c>
      <c r="F61" s="1" t="s">
        <v>20</v>
      </c>
      <c r="G61" s="1" t="s">
        <v>28</v>
      </c>
      <c r="H61" s="1" t="s">
        <v>29</v>
      </c>
      <c r="I61" s="1" t="s">
        <v>23</v>
      </c>
      <c r="J61" s="1">
        <v>326</v>
      </c>
      <c r="K61" s="1">
        <v>1309.27272727272</v>
      </c>
      <c r="L61" s="1" t="s">
        <v>193</v>
      </c>
      <c r="M61" s="1" t="s">
        <v>194</v>
      </c>
      <c r="N61" s="4">
        <v>97800</v>
      </c>
      <c r="O61" s="4">
        <v>102437.49818181799</v>
      </c>
      <c r="P61" s="3">
        <v>9.6999999999999993</v>
      </c>
      <c r="Q61" s="3">
        <v>71.603811229090894</v>
      </c>
      <c r="R61" s="1" t="s">
        <v>193</v>
      </c>
    </row>
    <row r="62" spans="1:18" ht="15.75" customHeight="1">
      <c r="A62" s="1">
        <v>39.0379459997</v>
      </c>
      <c r="B62" s="1">
        <v>-87.165137000399994</v>
      </c>
      <c r="C62" s="1" t="s">
        <v>195</v>
      </c>
      <c r="D62" s="1" t="s">
        <v>39</v>
      </c>
      <c r="E62" s="1">
        <v>47441</v>
      </c>
      <c r="F62" s="1" t="s">
        <v>20</v>
      </c>
      <c r="G62" s="1" t="s">
        <v>40</v>
      </c>
      <c r="H62" s="1" t="s">
        <v>41</v>
      </c>
      <c r="I62" s="1" t="s">
        <v>23</v>
      </c>
      <c r="J62" s="1">
        <v>348</v>
      </c>
      <c r="K62" s="1">
        <v>1221.6363636363601</v>
      </c>
      <c r="L62" s="1" t="s">
        <v>196</v>
      </c>
      <c r="M62" s="1" t="s">
        <v>197</v>
      </c>
      <c r="N62" s="4">
        <v>104400</v>
      </c>
      <c r="O62" s="4">
        <v>102031.069090909</v>
      </c>
      <c r="P62" s="3">
        <v>9.66</v>
      </c>
      <c r="Q62" s="3">
        <v>71.319717294545399</v>
      </c>
      <c r="R62" s="5" t="s">
        <v>196</v>
      </c>
    </row>
    <row r="63" spans="1:18" ht="15.75" customHeight="1">
      <c r="A63" s="1">
        <v>38.295615999900001</v>
      </c>
      <c r="B63" s="1">
        <v>-86.949272000099995</v>
      </c>
      <c r="C63" s="1" t="s">
        <v>198</v>
      </c>
      <c r="D63" s="1" t="s">
        <v>19</v>
      </c>
      <c r="E63" s="1">
        <v>47542</v>
      </c>
      <c r="F63" s="1" t="s">
        <v>20</v>
      </c>
      <c r="G63" s="1" t="s">
        <v>21</v>
      </c>
      <c r="H63" s="1" t="s">
        <v>22</v>
      </c>
      <c r="I63" s="1" t="s">
        <v>23</v>
      </c>
      <c r="J63" s="1">
        <v>393</v>
      </c>
      <c r="K63" s="1">
        <v>1079.54545454545</v>
      </c>
      <c r="L63" s="1" t="s">
        <v>199</v>
      </c>
      <c r="M63" s="1" t="s">
        <v>83</v>
      </c>
      <c r="N63" s="4">
        <v>117900</v>
      </c>
      <c r="O63" s="4">
        <v>101822.727272727</v>
      </c>
      <c r="P63" s="3">
        <v>9.64</v>
      </c>
      <c r="Q63" s="3">
        <v>71.174086363636306</v>
      </c>
      <c r="R63" s="1" t="s">
        <v>199</v>
      </c>
    </row>
    <row r="64" spans="1:18" ht="15.75" customHeight="1">
      <c r="A64" s="1">
        <v>38.295903999799997</v>
      </c>
      <c r="B64" s="1">
        <v>-86.956094000500002</v>
      </c>
      <c r="C64" s="1" t="s">
        <v>200</v>
      </c>
      <c r="D64" s="1" t="s">
        <v>19</v>
      </c>
      <c r="E64" s="1">
        <v>47542</v>
      </c>
      <c r="F64" s="1" t="s">
        <v>20</v>
      </c>
      <c r="G64" s="1" t="s">
        <v>21</v>
      </c>
      <c r="H64" s="1" t="s">
        <v>22</v>
      </c>
      <c r="I64" s="1" t="s">
        <v>23</v>
      </c>
      <c r="J64" s="1">
        <v>311</v>
      </c>
      <c r="K64" s="1">
        <v>1356.54545454545</v>
      </c>
      <c r="L64" s="1" t="s">
        <v>201</v>
      </c>
      <c r="M64" s="1" t="s">
        <v>202</v>
      </c>
      <c r="N64" s="4">
        <v>93300</v>
      </c>
      <c r="O64" s="4">
        <v>101252.55272727201</v>
      </c>
      <c r="P64" s="3">
        <v>9.58</v>
      </c>
      <c r="Q64" s="3">
        <v>70.775534356363593</v>
      </c>
      <c r="R64" s="6" t="s">
        <v>203</v>
      </c>
    </row>
    <row r="65" spans="1:18" ht="15.75" customHeight="1">
      <c r="A65" s="1">
        <v>38.295922000300003</v>
      </c>
      <c r="B65" s="1">
        <v>-86.957561000200002</v>
      </c>
      <c r="C65" s="1" t="s">
        <v>204</v>
      </c>
      <c r="D65" s="1" t="s">
        <v>19</v>
      </c>
      <c r="E65" s="1">
        <v>47542</v>
      </c>
      <c r="F65" s="1" t="s">
        <v>20</v>
      </c>
      <c r="G65" s="1" t="s">
        <v>21</v>
      </c>
      <c r="H65" s="1" t="s">
        <v>22</v>
      </c>
      <c r="I65" s="1" t="s">
        <v>23</v>
      </c>
      <c r="J65" s="1">
        <v>318</v>
      </c>
      <c r="K65" s="1">
        <v>1292.3636363636299</v>
      </c>
      <c r="L65" s="1" t="s">
        <v>156</v>
      </c>
      <c r="M65" s="1" t="s">
        <v>205</v>
      </c>
      <c r="N65" s="4">
        <v>95400</v>
      </c>
      <c r="O65" s="4">
        <v>98633.192727272704</v>
      </c>
      <c r="P65" s="3">
        <v>9.33</v>
      </c>
      <c r="Q65" s="3">
        <v>68.944601716363593</v>
      </c>
      <c r="R65" s="5" t="s">
        <v>110</v>
      </c>
    </row>
    <row r="66" spans="1:18" ht="15.75" customHeight="1">
      <c r="A66" s="1">
        <v>38.658524000299998</v>
      </c>
      <c r="B66" s="1">
        <v>-87.173083999499994</v>
      </c>
      <c r="C66" s="1" t="s">
        <v>206</v>
      </c>
      <c r="D66" s="1" t="s">
        <v>27</v>
      </c>
      <c r="E66" s="1">
        <v>47501</v>
      </c>
      <c r="F66" s="1" t="s">
        <v>20</v>
      </c>
      <c r="G66" s="1" t="s">
        <v>28</v>
      </c>
      <c r="H66" s="1" t="s">
        <v>29</v>
      </c>
      <c r="I66" s="1" t="s">
        <v>23</v>
      </c>
      <c r="J66" s="1">
        <v>321</v>
      </c>
      <c r="K66" s="1">
        <v>1227.1818181818101</v>
      </c>
      <c r="L66" s="1" t="s">
        <v>207</v>
      </c>
      <c r="M66" s="1" t="s">
        <v>208</v>
      </c>
      <c r="N66" s="4">
        <v>96300</v>
      </c>
      <c r="O66" s="4">
        <v>94542.087272727207</v>
      </c>
      <c r="P66" s="3">
        <v>8.9499999999999993</v>
      </c>
      <c r="Q66" s="3">
        <v>66.084919003636301</v>
      </c>
      <c r="R66" s="1" t="s">
        <v>207</v>
      </c>
    </row>
    <row r="67" spans="1:18" ht="15.75" customHeight="1">
      <c r="A67" s="2">
        <v>39.793250724541998</v>
      </c>
      <c r="B67" s="2">
        <v>-87.366618936288901</v>
      </c>
      <c r="C67" s="1" t="s">
        <v>209</v>
      </c>
      <c r="D67" s="1" t="s">
        <v>51</v>
      </c>
      <c r="E67" s="1">
        <v>47862</v>
      </c>
      <c r="F67" s="1" t="s">
        <v>20</v>
      </c>
      <c r="G67" s="1" t="s">
        <v>52</v>
      </c>
      <c r="H67" s="1" t="s">
        <v>53</v>
      </c>
      <c r="I67" s="1" t="s">
        <v>23</v>
      </c>
      <c r="J67" s="3">
        <v>259.54285714285714</v>
      </c>
      <c r="K67" s="1">
        <v>1211</v>
      </c>
      <c r="L67" s="1" t="s">
        <v>210</v>
      </c>
      <c r="M67" s="1" t="s">
        <v>211</v>
      </c>
      <c r="N67" s="4">
        <v>77862.857142857145</v>
      </c>
      <c r="O67" s="4">
        <v>94291.920000000013</v>
      </c>
      <c r="P67" s="3">
        <v>8.9240885860306651</v>
      </c>
      <c r="Q67" s="4">
        <f>O67*0.000699</f>
        <v>65.91005208</v>
      </c>
      <c r="R67" s="1" t="s">
        <v>210</v>
      </c>
    </row>
    <row r="68" spans="1:18" ht="15.75" customHeight="1">
      <c r="A68" s="1">
        <v>38.665622999900002</v>
      </c>
      <c r="B68" s="1">
        <v>-87.168448999899994</v>
      </c>
      <c r="C68" s="1" t="s">
        <v>212</v>
      </c>
      <c r="D68" s="1" t="s">
        <v>27</v>
      </c>
      <c r="E68" s="1">
        <v>47501</v>
      </c>
      <c r="F68" s="1" t="s">
        <v>20</v>
      </c>
      <c r="G68" s="1" t="s">
        <v>28</v>
      </c>
      <c r="H68" s="1" t="s">
        <v>29</v>
      </c>
      <c r="I68" s="1" t="s">
        <v>23</v>
      </c>
      <c r="J68" s="1">
        <v>355</v>
      </c>
      <c r="K68" s="1">
        <v>1084.54545454545</v>
      </c>
      <c r="L68" s="1" t="s">
        <v>213</v>
      </c>
      <c r="M68" s="1" t="s">
        <v>214</v>
      </c>
      <c r="N68" s="4">
        <v>106500</v>
      </c>
      <c r="O68" s="4">
        <v>92403.272727272706</v>
      </c>
      <c r="P68" s="3">
        <v>8.75</v>
      </c>
      <c r="Q68" s="3">
        <v>64.589887636363599</v>
      </c>
      <c r="R68" s="1" t="s">
        <v>213</v>
      </c>
    </row>
    <row r="69" spans="1:18" ht="15.75" customHeight="1">
      <c r="A69" s="1">
        <v>39.031479999600002</v>
      </c>
      <c r="B69" s="1">
        <v>-87.166571000499999</v>
      </c>
      <c r="C69" s="1" t="s">
        <v>215</v>
      </c>
      <c r="D69" s="1" t="s">
        <v>39</v>
      </c>
      <c r="E69" s="1">
        <v>47441</v>
      </c>
      <c r="F69" s="1" t="s">
        <v>20</v>
      </c>
      <c r="G69" s="1" t="s">
        <v>40</v>
      </c>
      <c r="H69" s="1" t="s">
        <v>41</v>
      </c>
      <c r="I69" s="1" t="s">
        <v>23</v>
      </c>
      <c r="J69" s="1">
        <v>304</v>
      </c>
      <c r="K69" s="1">
        <v>1235.6363636363601</v>
      </c>
      <c r="L69" s="1" t="s">
        <v>216</v>
      </c>
      <c r="M69" s="1" t="s">
        <v>217</v>
      </c>
      <c r="N69" s="4">
        <v>91200</v>
      </c>
      <c r="O69" s="4">
        <v>90152.029090909098</v>
      </c>
      <c r="P69" s="3">
        <v>8.5299999999999994</v>
      </c>
      <c r="Q69" s="3">
        <v>63.016268334545401</v>
      </c>
      <c r="R69" s="5" t="s">
        <v>218</v>
      </c>
    </row>
    <row r="70" spans="1:18" ht="15.75" customHeight="1">
      <c r="A70" s="1">
        <v>38.656831999600001</v>
      </c>
      <c r="B70" s="1">
        <v>-87.171407999699994</v>
      </c>
      <c r="C70" s="1" t="s">
        <v>219</v>
      </c>
      <c r="D70" s="1" t="s">
        <v>27</v>
      </c>
      <c r="E70" s="1">
        <v>47501</v>
      </c>
      <c r="F70" s="1" t="s">
        <v>20</v>
      </c>
      <c r="G70" s="1" t="s">
        <v>28</v>
      </c>
      <c r="H70" s="1" t="s">
        <v>29</v>
      </c>
      <c r="I70" s="1" t="s">
        <v>23</v>
      </c>
      <c r="J70" s="1">
        <v>271</v>
      </c>
      <c r="K70" s="1">
        <v>1360.45454545454</v>
      </c>
      <c r="L70" s="1" t="s">
        <v>220</v>
      </c>
      <c r="M70" s="1" t="s">
        <v>221</v>
      </c>
      <c r="N70" s="4">
        <v>81300</v>
      </c>
      <c r="O70" s="4">
        <v>88483.963636363595</v>
      </c>
      <c r="P70" s="3">
        <v>8.3699999999999992</v>
      </c>
      <c r="Q70" s="3">
        <v>61.850290581818101</v>
      </c>
      <c r="R70" s="5" t="s">
        <v>222</v>
      </c>
    </row>
    <row r="71" spans="1:18" ht="15.75" customHeight="1">
      <c r="A71" s="1">
        <v>39.791610000299997</v>
      </c>
      <c r="B71" s="1">
        <v>-87.370569000399996</v>
      </c>
      <c r="C71" s="1" t="s">
        <v>223</v>
      </c>
      <c r="D71" s="1" t="s">
        <v>51</v>
      </c>
      <c r="E71" s="1">
        <v>47862</v>
      </c>
      <c r="F71" s="1" t="s">
        <v>20</v>
      </c>
      <c r="G71" s="1" t="s">
        <v>52</v>
      </c>
      <c r="H71" s="1" t="s">
        <v>53</v>
      </c>
      <c r="I71" s="1" t="s">
        <v>23</v>
      </c>
      <c r="J71" s="1">
        <v>293</v>
      </c>
      <c r="K71" s="1">
        <v>1236.45454545454</v>
      </c>
      <c r="L71" s="1" t="s">
        <v>224</v>
      </c>
      <c r="M71" s="1" t="s">
        <v>225</v>
      </c>
      <c r="N71" s="4">
        <v>87900</v>
      </c>
      <c r="O71" s="4">
        <v>86947.483636363599</v>
      </c>
      <c r="P71" s="3">
        <v>8.23</v>
      </c>
      <c r="Q71" s="3">
        <v>60.7762910618181</v>
      </c>
      <c r="R71" s="1" t="s">
        <v>226</v>
      </c>
    </row>
    <row r="72" spans="1:18" ht="15.75" customHeight="1">
      <c r="A72" s="1">
        <v>38.2950120004</v>
      </c>
      <c r="B72" s="1">
        <v>-86.954006000299998</v>
      </c>
      <c r="C72" s="1" t="s">
        <v>227</v>
      </c>
      <c r="D72" s="1" t="s">
        <v>19</v>
      </c>
      <c r="E72" s="1">
        <v>47542</v>
      </c>
      <c r="F72" s="1" t="s">
        <v>20</v>
      </c>
      <c r="G72" s="1" t="s">
        <v>21</v>
      </c>
      <c r="H72" s="1" t="s">
        <v>22</v>
      </c>
      <c r="I72" s="1" t="s">
        <v>23</v>
      </c>
      <c r="J72" s="1">
        <v>235</v>
      </c>
      <c r="K72" s="1">
        <v>1297.0909090908999</v>
      </c>
      <c r="L72" s="1" t="s">
        <v>228</v>
      </c>
      <c r="M72" s="1" t="s">
        <v>229</v>
      </c>
      <c r="N72" s="4">
        <v>70500</v>
      </c>
      <c r="O72" s="4">
        <v>73155.927272727204</v>
      </c>
      <c r="P72" s="3">
        <v>6.92</v>
      </c>
      <c r="Q72" s="3">
        <v>51.1359931636363</v>
      </c>
      <c r="R72" s="6" t="s">
        <v>228</v>
      </c>
    </row>
    <row r="73" spans="1:18" ht="15.75" customHeight="1">
      <c r="A73" s="1">
        <v>38.310448999800002</v>
      </c>
      <c r="B73" s="1">
        <v>-86.960384999499993</v>
      </c>
      <c r="C73" s="1" t="s">
        <v>230</v>
      </c>
      <c r="D73" s="1" t="s">
        <v>19</v>
      </c>
      <c r="E73" s="1">
        <v>47542</v>
      </c>
      <c r="F73" s="1" t="s">
        <v>20</v>
      </c>
      <c r="G73" s="1" t="s">
        <v>21</v>
      </c>
      <c r="H73" s="1" t="s">
        <v>22</v>
      </c>
      <c r="I73" s="1" t="s">
        <v>23</v>
      </c>
      <c r="J73" s="1">
        <v>244</v>
      </c>
      <c r="K73" s="1">
        <v>1226.3636363636299</v>
      </c>
      <c r="L73" s="1" t="s">
        <v>231</v>
      </c>
      <c r="M73" s="1" t="s">
        <v>232</v>
      </c>
      <c r="N73" s="4">
        <v>73200</v>
      </c>
      <c r="O73" s="4">
        <v>71815.854545454495</v>
      </c>
      <c r="P73" s="3">
        <v>6.8</v>
      </c>
      <c r="Q73" s="3">
        <v>50.199282327272698</v>
      </c>
      <c r="R73" s="6" t="s">
        <v>231</v>
      </c>
    </row>
    <row r="74" spans="1:18" ht="15.75" customHeight="1">
      <c r="A74" s="1">
        <v>38.658469000300002</v>
      </c>
      <c r="B74" s="1">
        <v>-87.193296000000004</v>
      </c>
      <c r="C74" s="1" t="s">
        <v>233</v>
      </c>
      <c r="D74" s="1" t="s">
        <v>27</v>
      </c>
      <c r="E74" s="1">
        <v>47501</v>
      </c>
      <c r="F74" s="1" t="s">
        <v>20</v>
      </c>
      <c r="G74" s="1" t="s">
        <v>28</v>
      </c>
      <c r="H74" s="1" t="s">
        <v>29</v>
      </c>
      <c r="I74" s="1" t="s">
        <v>23</v>
      </c>
      <c r="J74" s="1">
        <v>221</v>
      </c>
      <c r="K74" s="1">
        <v>1260.72727272727</v>
      </c>
      <c r="L74" s="1" t="s">
        <v>234</v>
      </c>
      <c r="M74" s="1" t="s">
        <v>235</v>
      </c>
      <c r="N74" s="4">
        <v>66300</v>
      </c>
      <c r="O74" s="4">
        <v>66868.974545454505</v>
      </c>
      <c r="P74" s="3">
        <v>6.33</v>
      </c>
      <c r="Q74" s="3">
        <v>46.7414132072727</v>
      </c>
      <c r="R74" s="5" t="s">
        <v>236</v>
      </c>
    </row>
    <row r="75" spans="1:18" ht="15.75" customHeight="1">
      <c r="A75" s="1">
        <v>38.308777999699998</v>
      </c>
      <c r="B75" s="1">
        <v>-86.953076999900006</v>
      </c>
      <c r="C75" s="1" t="s">
        <v>237</v>
      </c>
      <c r="D75" s="1" t="s">
        <v>19</v>
      </c>
      <c r="E75" s="1">
        <v>47542</v>
      </c>
      <c r="F75" s="1" t="s">
        <v>20</v>
      </c>
      <c r="G75" s="1" t="s">
        <v>21</v>
      </c>
      <c r="H75" s="1" t="s">
        <v>22</v>
      </c>
      <c r="I75" s="1" t="s">
        <v>23</v>
      </c>
      <c r="J75" s="1">
        <v>221</v>
      </c>
      <c r="K75" s="1">
        <v>1252.9090909090901</v>
      </c>
      <c r="L75" s="1" t="s">
        <v>78</v>
      </c>
      <c r="M75" s="1" t="s">
        <v>238</v>
      </c>
      <c r="N75" s="4">
        <v>66300</v>
      </c>
      <c r="O75" s="4">
        <v>66454.2981818181</v>
      </c>
      <c r="P75" s="3">
        <v>6.29</v>
      </c>
      <c r="Q75" s="3">
        <v>46.451554429090898</v>
      </c>
      <c r="R75" s="5" t="s">
        <v>239</v>
      </c>
    </row>
    <row r="76" spans="1:18" ht="15.75" customHeight="1">
      <c r="A76" s="1">
        <v>38.309277999800003</v>
      </c>
      <c r="B76" s="1">
        <v>-86.953118999699996</v>
      </c>
      <c r="C76" s="1" t="s">
        <v>240</v>
      </c>
      <c r="D76" s="1" t="s">
        <v>19</v>
      </c>
      <c r="E76" s="1">
        <v>47542</v>
      </c>
      <c r="F76" s="1" t="s">
        <v>20</v>
      </c>
      <c r="G76" s="1" t="s">
        <v>21</v>
      </c>
      <c r="H76" s="1" t="s">
        <v>22</v>
      </c>
      <c r="I76" s="1" t="s">
        <v>23</v>
      </c>
      <c r="J76" s="1">
        <v>214</v>
      </c>
      <c r="K76" s="1">
        <v>1234.8181818181799</v>
      </c>
      <c r="L76" s="1" t="s">
        <v>78</v>
      </c>
      <c r="M76" s="1" t="s">
        <v>241</v>
      </c>
      <c r="N76" s="4">
        <v>64200</v>
      </c>
      <c r="O76" s="4">
        <v>63420.261818181803</v>
      </c>
      <c r="P76" s="3">
        <v>6</v>
      </c>
      <c r="Q76" s="3">
        <v>44.330763010909003</v>
      </c>
      <c r="R76" s="5" t="s">
        <v>239</v>
      </c>
    </row>
    <row r="77" spans="1:18" ht="15.75" customHeight="1">
      <c r="A77" s="1">
        <v>38.658794000199997</v>
      </c>
      <c r="B77" s="1">
        <v>-87.185126000400004</v>
      </c>
      <c r="C77" s="1" t="s">
        <v>242</v>
      </c>
      <c r="D77" s="1" t="s">
        <v>27</v>
      </c>
      <c r="E77" s="1">
        <v>47501</v>
      </c>
      <c r="F77" s="1" t="s">
        <v>20</v>
      </c>
      <c r="G77" s="1" t="s">
        <v>28</v>
      </c>
      <c r="H77" s="1" t="s">
        <v>29</v>
      </c>
      <c r="I77" s="1" t="s">
        <v>23</v>
      </c>
      <c r="J77" s="1">
        <v>195</v>
      </c>
      <c r="K77" s="1">
        <v>1351.9090909090901</v>
      </c>
      <c r="L77" s="1" t="s">
        <v>243</v>
      </c>
      <c r="M77" s="1" t="s">
        <v>244</v>
      </c>
      <c r="N77" s="4">
        <v>58500</v>
      </c>
      <c r="O77" s="4">
        <v>63269.345454545401</v>
      </c>
      <c r="P77" s="3">
        <v>5.99</v>
      </c>
      <c r="Q77" s="3">
        <v>44.225272472727198</v>
      </c>
      <c r="R77" s="1" t="s">
        <v>243</v>
      </c>
    </row>
    <row r="78" spans="1:18" ht="15.75" customHeight="1">
      <c r="A78" s="1">
        <v>39.037713000399997</v>
      </c>
      <c r="B78" s="1">
        <v>-87.167421999799998</v>
      </c>
      <c r="C78" s="1" t="s">
        <v>245</v>
      </c>
      <c r="D78" s="1" t="s">
        <v>39</v>
      </c>
      <c r="E78" s="1">
        <v>47441</v>
      </c>
      <c r="F78" s="1" t="s">
        <v>20</v>
      </c>
      <c r="G78" s="1" t="s">
        <v>40</v>
      </c>
      <c r="H78" s="1" t="s">
        <v>41</v>
      </c>
      <c r="I78" s="1" t="s">
        <v>23</v>
      </c>
      <c r="J78" s="1">
        <v>208</v>
      </c>
      <c r="K78" s="1">
        <v>1213.9090909090901</v>
      </c>
      <c r="L78" s="1" t="s">
        <v>246</v>
      </c>
      <c r="M78" s="1" t="s">
        <v>247</v>
      </c>
      <c r="N78" s="4">
        <v>62400</v>
      </c>
      <c r="O78" s="4">
        <v>60598.341818181798</v>
      </c>
      <c r="P78" s="3">
        <v>5.74</v>
      </c>
      <c r="Q78" s="3">
        <v>42.358240930909098</v>
      </c>
      <c r="R78" s="5" t="s">
        <v>248</v>
      </c>
    </row>
    <row r="79" spans="1:18" ht="15.75" customHeight="1">
      <c r="A79" s="1">
        <v>39.0376969999</v>
      </c>
      <c r="B79" s="1">
        <v>-87.167725000299995</v>
      </c>
      <c r="C79" s="1" t="s">
        <v>249</v>
      </c>
      <c r="D79" s="1" t="s">
        <v>39</v>
      </c>
      <c r="E79" s="1">
        <v>47441</v>
      </c>
      <c r="F79" s="1" t="s">
        <v>20</v>
      </c>
      <c r="G79" s="1" t="s">
        <v>40</v>
      </c>
      <c r="H79" s="1" t="s">
        <v>41</v>
      </c>
      <c r="I79" s="1" t="s">
        <v>23</v>
      </c>
      <c r="J79" s="1">
        <v>208</v>
      </c>
      <c r="K79" s="1">
        <v>1213.9090909090901</v>
      </c>
      <c r="L79" s="1" t="s">
        <v>250</v>
      </c>
      <c r="M79" s="1" t="s">
        <v>251</v>
      </c>
      <c r="N79" s="4">
        <v>62400</v>
      </c>
      <c r="O79" s="4">
        <v>60598.341818181798</v>
      </c>
      <c r="P79" s="3">
        <v>5.74</v>
      </c>
      <c r="Q79" s="3">
        <v>42.358240930909098</v>
      </c>
      <c r="R79" s="1" t="s">
        <v>248</v>
      </c>
    </row>
    <row r="80" spans="1:18" ht="15.75" customHeight="1">
      <c r="A80" s="1">
        <v>39.791390999900003</v>
      </c>
      <c r="B80" s="1">
        <v>-87.370502999899998</v>
      </c>
      <c r="C80" s="1" t="s">
        <v>252</v>
      </c>
      <c r="D80" s="1" t="s">
        <v>51</v>
      </c>
      <c r="E80" s="1">
        <v>47862</v>
      </c>
      <c r="F80" s="1" t="s">
        <v>20</v>
      </c>
      <c r="G80" s="1" t="s">
        <v>52</v>
      </c>
      <c r="H80" s="1" t="s">
        <v>53</v>
      </c>
      <c r="I80" s="1" t="s">
        <v>23</v>
      </c>
      <c r="J80" s="1">
        <v>203</v>
      </c>
      <c r="K80" s="1">
        <v>1228.0909090908999</v>
      </c>
      <c r="L80" s="1" t="s">
        <v>224</v>
      </c>
      <c r="M80" s="1" t="s">
        <v>253</v>
      </c>
      <c r="N80" s="4">
        <v>60900</v>
      </c>
      <c r="O80" s="4">
        <v>59832.589090909001</v>
      </c>
      <c r="P80" s="3">
        <v>5.66</v>
      </c>
      <c r="Q80" s="3">
        <v>41.822979774545402</v>
      </c>
      <c r="R80" s="1" t="s">
        <v>226</v>
      </c>
    </row>
    <row r="81" spans="1:18" ht="15.75" customHeight="1">
      <c r="A81" s="1">
        <v>38.659361000099999</v>
      </c>
      <c r="B81" s="1">
        <v>-87.189908000499997</v>
      </c>
      <c r="C81" s="1" t="s">
        <v>254</v>
      </c>
      <c r="D81" s="1" t="s">
        <v>27</v>
      </c>
      <c r="E81" s="1">
        <v>47501</v>
      </c>
      <c r="F81" s="1" t="s">
        <v>20</v>
      </c>
      <c r="G81" s="1" t="s">
        <v>28</v>
      </c>
      <c r="H81" s="1" t="s">
        <v>29</v>
      </c>
      <c r="I81" s="1" t="s">
        <v>23</v>
      </c>
      <c r="J81" s="1">
        <v>202</v>
      </c>
      <c r="K81" s="1">
        <v>1221.72727272727</v>
      </c>
      <c r="L81" s="1" t="s">
        <v>255</v>
      </c>
      <c r="M81" s="1" t="s">
        <v>256</v>
      </c>
      <c r="N81" s="4">
        <v>60600</v>
      </c>
      <c r="O81" s="4">
        <v>59229.338181818101</v>
      </c>
      <c r="P81" s="3">
        <v>5.61</v>
      </c>
      <c r="Q81" s="3">
        <v>41.401307389090903</v>
      </c>
      <c r="R81" s="5" t="s">
        <v>255</v>
      </c>
    </row>
    <row r="82" spans="1:18" ht="15.75" customHeight="1">
      <c r="A82" s="1">
        <v>38.660244000200002</v>
      </c>
      <c r="B82" s="1">
        <v>-87.172480999900003</v>
      </c>
      <c r="C82" s="1" t="s">
        <v>257</v>
      </c>
      <c r="D82" s="1" t="s">
        <v>27</v>
      </c>
      <c r="E82" s="1">
        <v>47501</v>
      </c>
      <c r="F82" s="1" t="s">
        <v>20</v>
      </c>
      <c r="G82" s="1" t="s">
        <v>28</v>
      </c>
      <c r="H82" s="1" t="s">
        <v>29</v>
      </c>
      <c r="I82" s="1" t="s">
        <v>23</v>
      </c>
      <c r="J82" s="1">
        <v>204</v>
      </c>
      <c r="K82" s="1">
        <v>1149.8181818181799</v>
      </c>
      <c r="L82" s="1" t="s">
        <v>258</v>
      </c>
      <c r="M82" s="1" t="s">
        <v>259</v>
      </c>
      <c r="N82" s="4">
        <v>61200</v>
      </c>
      <c r="O82" s="4">
        <v>56295.098181818103</v>
      </c>
      <c r="P82" s="3">
        <v>5.33</v>
      </c>
      <c r="Q82" s="3">
        <v>39.3502736290909</v>
      </c>
      <c r="R82" s="5" t="s">
        <v>260</v>
      </c>
    </row>
    <row r="83" spans="1:18" ht="15.75" customHeight="1">
      <c r="A83" s="1">
        <v>39.790579000299999</v>
      </c>
      <c r="B83" s="1">
        <v>-87.370465999700002</v>
      </c>
      <c r="C83" s="1" t="s">
        <v>261</v>
      </c>
      <c r="D83" s="1" t="s">
        <v>51</v>
      </c>
      <c r="E83" s="1">
        <v>47862</v>
      </c>
      <c r="F83" s="1" t="s">
        <v>20</v>
      </c>
      <c r="G83" s="1" t="s">
        <v>52</v>
      </c>
      <c r="H83" s="1" t="s">
        <v>53</v>
      </c>
      <c r="I83" s="1" t="s">
        <v>23</v>
      </c>
      <c r="J83" s="1">
        <v>206</v>
      </c>
      <c r="K83" s="1">
        <v>1117.8181818181799</v>
      </c>
      <c r="L83" s="1" t="s">
        <v>224</v>
      </c>
      <c r="M83" s="1" t="s">
        <v>262</v>
      </c>
      <c r="N83" s="4">
        <v>61800</v>
      </c>
      <c r="O83" s="4">
        <v>55264.930909090901</v>
      </c>
      <c r="P83" s="3">
        <v>5.23</v>
      </c>
      <c r="Q83" s="3">
        <v>38.630186705454499</v>
      </c>
      <c r="R83" s="1" t="s">
        <v>263</v>
      </c>
    </row>
    <row r="84" spans="1:18" ht="15.75" customHeight="1">
      <c r="A84" s="1">
        <v>39.791195000000002</v>
      </c>
      <c r="B84" s="1">
        <v>-87.365361999800001</v>
      </c>
      <c r="C84" s="1" t="s">
        <v>264</v>
      </c>
      <c r="D84" s="1" t="s">
        <v>51</v>
      </c>
      <c r="E84" s="1">
        <v>47862</v>
      </c>
      <c r="F84" s="1" t="s">
        <v>20</v>
      </c>
      <c r="G84" s="1" t="s">
        <v>52</v>
      </c>
      <c r="H84" s="1" t="s">
        <v>53</v>
      </c>
      <c r="I84" s="1" t="s">
        <v>23</v>
      </c>
      <c r="J84" s="1">
        <v>181</v>
      </c>
      <c r="K84" s="1">
        <v>1254.6363636363601</v>
      </c>
      <c r="L84" s="1" t="s">
        <v>265</v>
      </c>
      <c r="M84" s="1" t="s">
        <v>266</v>
      </c>
      <c r="N84" s="4">
        <v>54300</v>
      </c>
      <c r="O84" s="4">
        <v>54501.403636363597</v>
      </c>
      <c r="P84" s="3">
        <v>5.16</v>
      </c>
      <c r="Q84" s="3">
        <v>38.096481141818103</v>
      </c>
      <c r="R84" s="1" t="s">
        <v>267</v>
      </c>
    </row>
    <row r="85" spans="1:18" ht="15.75" customHeight="1">
      <c r="A85" s="1">
        <v>39.791191999699997</v>
      </c>
      <c r="B85" s="1">
        <v>-87.365600000000001</v>
      </c>
      <c r="C85" s="1" t="s">
        <v>268</v>
      </c>
      <c r="D85" s="1" t="s">
        <v>51</v>
      </c>
      <c r="E85" s="1">
        <v>47862</v>
      </c>
      <c r="F85" s="1" t="s">
        <v>20</v>
      </c>
      <c r="G85" s="1" t="s">
        <v>52</v>
      </c>
      <c r="H85" s="1" t="s">
        <v>53</v>
      </c>
      <c r="I85" s="1" t="s">
        <v>23</v>
      </c>
      <c r="J85" s="1">
        <v>181</v>
      </c>
      <c r="K85" s="1">
        <v>1254.6363636363601</v>
      </c>
      <c r="L85" s="1" t="s">
        <v>265</v>
      </c>
      <c r="M85" s="1" t="s">
        <v>269</v>
      </c>
      <c r="N85" s="4">
        <v>54300</v>
      </c>
      <c r="O85" s="4">
        <v>54501.403636363597</v>
      </c>
      <c r="P85" s="3">
        <v>5.16</v>
      </c>
      <c r="Q85" s="3">
        <v>38.096481141818103</v>
      </c>
      <c r="R85" s="1" t="s">
        <v>267</v>
      </c>
    </row>
    <row r="86" spans="1:18" ht="15.75" customHeight="1">
      <c r="A86" s="1">
        <v>39.791189000300001</v>
      </c>
      <c r="B86" s="1">
        <v>-87.365490999499997</v>
      </c>
      <c r="C86" s="1" t="s">
        <v>270</v>
      </c>
      <c r="D86" s="1" t="s">
        <v>51</v>
      </c>
      <c r="E86" s="1">
        <v>47862</v>
      </c>
      <c r="F86" s="1" t="s">
        <v>20</v>
      </c>
      <c r="G86" s="1" t="s">
        <v>52</v>
      </c>
      <c r="H86" s="1" t="s">
        <v>53</v>
      </c>
      <c r="I86" s="1" t="s">
        <v>23</v>
      </c>
      <c r="J86" s="1">
        <v>181</v>
      </c>
      <c r="K86" s="1">
        <v>1254.6363636363601</v>
      </c>
      <c r="L86" s="1" t="s">
        <v>265</v>
      </c>
      <c r="M86" s="1" t="s">
        <v>271</v>
      </c>
      <c r="N86" s="4">
        <v>54300</v>
      </c>
      <c r="O86" s="4">
        <v>54501.403636363597</v>
      </c>
      <c r="P86" s="3">
        <v>5.16</v>
      </c>
      <c r="Q86" s="3">
        <v>38.096481141818103</v>
      </c>
      <c r="R86" s="1" t="s">
        <v>267</v>
      </c>
    </row>
    <row r="87" spans="1:18" ht="15.75" customHeight="1">
      <c r="A87" s="1">
        <v>39.791200000300002</v>
      </c>
      <c r="B87" s="1">
        <v>-87.366085999800006</v>
      </c>
      <c r="C87" s="1" t="s">
        <v>272</v>
      </c>
      <c r="D87" s="1" t="s">
        <v>51</v>
      </c>
      <c r="E87" s="1">
        <v>47862</v>
      </c>
      <c r="F87" s="1" t="s">
        <v>20</v>
      </c>
      <c r="G87" s="1" t="s">
        <v>52</v>
      </c>
      <c r="H87" s="1" t="s">
        <v>53</v>
      </c>
      <c r="I87" s="1" t="s">
        <v>23</v>
      </c>
      <c r="J87" s="1">
        <v>180</v>
      </c>
      <c r="K87" s="1">
        <v>1237.72727272727</v>
      </c>
      <c r="L87" s="1" t="s">
        <v>265</v>
      </c>
      <c r="M87" s="1" t="s">
        <v>273</v>
      </c>
      <c r="N87" s="4">
        <v>54000</v>
      </c>
      <c r="O87" s="4">
        <v>53469.818181818096</v>
      </c>
      <c r="P87" s="3">
        <v>5.0599999999999996</v>
      </c>
      <c r="Q87" s="3">
        <v>37.375402909090901</v>
      </c>
      <c r="R87" s="1" t="s">
        <v>267</v>
      </c>
    </row>
    <row r="88" spans="1:18" ht="15.75" customHeight="1">
      <c r="A88" s="1">
        <v>39.791194999699997</v>
      </c>
      <c r="B88" s="1">
        <v>-87.365828000299999</v>
      </c>
      <c r="C88" s="1" t="s">
        <v>274</v>
      </c>
      <c r="D88" s="1" t="s">
        <v>51</v>
      </c>
      <c r="E88" s="1">
        <v>47862</v>
      </c>
      <c r="F88" s="1" t="s">
        <v>20</v>
      </c>
      <c r="G88" s="1" t="s">
        <v>52</v>
      </c>
      <c r="H88" s="1" t="s">
        <v>53</v>
      </c>
      <c r="I88" s="1" t="s">
        <v>23</v>
      </c>
      <c r="J88" s="1">
        <v>180</v>
      </c>
      <c r="K88" s="1">
        <v>1237.72727272727</v>
      </c>
      <c r="L88" s="1" t="s">
        <v>265</v>
      </c>
      <c r="M88" s="1" t="s">
        <v>275</v>
      </c>
      <c r="N88" s="4">
        <v>54000</v>
      </c>
      <c r="O88" s="4">
        <v>53469.818181818096</v>
      </c>
      <c r="P88" s="3">
        <v>5.0599999999999996</v>
      </c>
      <c r="Q88" s="3">
        <v>37.375402909090901</v>
      </c>
      <c r="R88" s="1" t="s">
        <v>267</v>
      </c>
    </row>
    <row r="89" spans="1:18" ht="15.75" customHeight="1">
      <c r="A89" s="1">
        <v>39.791194999699997</v>
      </c>
      <c r="B89" s="1">
        <v>-87.365966000499995</v>
      </c>
      <c r="C89" s="1" t="s">
        <v>276</v>
      </c>
      <c r="D89" s="1" t="s">
        <v>51</v>
      </c>
      <c r="E89" s="1">
        <v>47862</v>
      </c>
      <c r="F89" s="1" t="s">
        <v>20</v>
      </c>
      <c r="G89" s="1" t="s">
        <v>52</v>
      </c>
      <c r="H89" s="1" t="s">
        <v>53</v>
      </c>
      <c r="I89" s="1" t="s">
        <v>23</v>
      </c>
      <c r="J89" s="1">
        <v>180</v>
      </c>
      <c r="K89" s="1">
        <v>1237.72727272727</v>
      </c>
      <c r="L89" s="1" t="s">
        <v>265</v>
      </c>
      <c r="M89" s="1" t="s">
        <v>277</v>
      </c>
      <c r="N89" s="4">
        <v>54000</v>
      </c>
      <c r="O89" s="4">
        <v>53469.818181818096</v>
      </c>
      <c r="P89" s="3">
        <v>5.0599999999999996</v>
      </c>
      <c r="Q89" s="3">
        <v>37.375402909090901</v>
      </c>
      <c r="R89" s="1" t="s">
        <v>267</v>
      </c>
    </row>
    <row r="90" spans="1:18" ht="15.75" customHeight="1">
      <c r="A90" s="1">
        <v>38.2946389998</v>
      </c>
      <c r="B90" s="1">
        <v>-86.958088999599994</v>
      </c>
      <c r="C90" s="1" t="s">
        <v>278</v>
      </c>
      <c r="D90" s="1" t="s">
        <v>19</v>
      </c>
      <c r="E90" s="1">
        <v>47542</v>
      </c>
      <c r="F90" s="1" t="s">
        <v>20</v>
      </c>
      <c r="G90" s="1" t="s">
        <v>21</v>
      </c>
      <c r="H90" s="1" t="s">
        <v>22</v>
      </c>
      <c r="I90" s="1" t="s">
        <v>23</v>
      </c>
      <c r="J90" s="1">
        <v>167</v>
      </c>
      <c r="K90" s="1">
        <v>1334.3636363636299</v>
      </c>
      <c r="L90" s="1" t="s">
        <v>78</v>
      </c>
      <c r="M90" s="1" t="s">
        <v>279</v>
      </c>
      <c r="N90" s="4">
        <v>50100</v>
      </c>
      <c r="O90" s="4">
        <v>53481.294545454497</v>
      </c>
      <c r="P90" s="3">
        <v>5.0599999999999996</v>
      </c>
      <c r="Q90" s="3">
        <v>37.383424887272703</v>
      </c>
      <c r="R90" s="5" t="s">
        <v>280</v>
      </c>
    </row>
    <row r="91" spans="1:18" ht="15.75" customHeight="1">
      <c r="A91" s="1">
        <v>39.041501999600001</v>
      </c>
      <c r="B91" s="1">
        <v>-87.173577000199998</v>
      </c>
      <c r="C91" s="1" t="s">
        <v>281</v>
      </c>
      <c r="D91" s="1" t="s">
        <v>39</v>
      </c>
      <c r="E91" s="1">
        <v>47441</v>
      </c>
      <c r="F91" s="1" t="s">
        <v>20</v>
      </c>
      <c r="G91" s="1" t="s">
        <v>40</v>
      </c>
      <c r="H91" s="1" t="s">
        <v>41</v>
      </c>
      <c r="I91" s="1" t="s">
        <v>23</v>
      </c>
      <c r="J91" s="1">
        <v>172</v>
      </c>
      <c r="K91" s="1">
        <v>1289.1818181818101</v>
      </c>
      <c r="L91" s="1" t="s">
        <v>282</v>
      </c>
      <c r="M91" s="1" t="s">
        <v>283</v>
      </c>
      <c r="N91" s="4">
        <v>51600</v>
      </c>
      <c r="O91" s="4">
        <v>53217.425454545402</v>
      </c>
      <c r="P91" s="3">
        <v>5.04</v>
      </c>
      <c r="Q91" s="3">
        <v>37.198980392727201</v>
      </c>
      <c r="R91" s="1" t="s">
        <v>45</v>
      </c>
    </row>
    <row r="92" spans="1:18" ht="15.75" customHeight="1">
      <c r="A92" s="1">
        <v>39.0414969996</v>
      </c>
      <c r="B92" s="1">
        <v>-87.1734150005</v>
      </c>
      <c r="C92" s="1" t="s">
        <v>284</v>
      </c>
      <c r="D92" s="1" t="s">
        <v>39</v>
      </c>
      <c r="E92" s="1">
        <v>47441</v>
      </c>
      <c r="F92" s="1" t="s">
        <v>20</v>
      </c>
      <c r="G92" s="1" t="s">
        <v>40</v>
      </c>
      <c r="H92" s="1" t="s">
        <v>41</v>
      </c>
      <c r="I92" s="1" t="s">
        <v>23</v>
      </c>
      <c r="J92" s="1">
        <v>172</v>
      </c>
      <c r="K92" s="1">
        <v>1289.1818181818101</v>
      </c>
      <c r="L92" s="1" t="s">
        <v>282</v>
      </c>
      <c r="M92" s="1" t="s">
        <v>285</v>
      </c>
      <c r="N92" s="4">
        <v>51600</v>
      </c>
      <c r="O92" s="4">
        <v>53217.425454545402</v>
      </c>
      <c r="P92" s="3">
        <v>5.04</v>
      </c>
      <c r="Q92" s="3">
        <v>37.198980392727201</v>
      </c>
      <c r="R92" s="1" t="s">
        <v>45</v>
      </c>
    </row>
    <row r="93" spans="1:18" ht="15.75" customHeight="1">
      <c r="A93" s="1">
        <v>38.6567149997</v>
      </c>
      <c r="B93" s="1">
        <v>-87.179775000399999</v>
      </c>
      <c r="C93" s="1" t="s">
        <v>286</v>
      </c>
      <c r="D93" s="1" t="s">
        <v>27</v>
      </c>
      <c r="E93" s="1">
        <v>47501</v>
      </c>
      <c r="F93" s="1" t="s">
        <v>20</v>
      </c>
      <c r="G93" s="1" t="s">
        <v>28</v>
      </c>
      <c r="H93" s="1" t="s">
        <v>29</v>
      </c>
      <c r="I93" s="1" t="s">
        <v>23</v>
      </c>
      <c r="J93" s="1">
        <v>175</v>
      </c>
      <c r="K93" s="1">
        <v>1247.1818181818101</v>
      </c>
      <c r="L93" s="1" t="s">
        <v>287</v>
      </c>
      <c r="M93" s="1" t="s">
        <v>288</v>
      </c>
      <c r="N93" s="4">
        <v>52500</v>
      </c>
      <c r="O93" s="4">
        <v>52381.636363636302</v>
      </c>
      <c r="P93" s="3">
        <v>4.96</v>
      </c>
      <c r="Q93" s="3">
        <v>36.6147638181818</v>
      </c>
      <c r="R93" s="1" t="s">
        <v>287</v>
      </c>
    </row>
    <row r="94" spans="1:18" ht="15.75" customHeight="1">
      <c r="A94" s="1">
        <v>38.656535999600003</v>
      </c>
      <c r="B94" s="1">
        <v>-87.1802650005</v>
      </c>
      <c r="C94" s="1" t="s">
        <v>289</v>
      </c>
      <c r="D94" s="1" t="s">
        <v>27</v>
      </c>
      <c r="E94" s="1">
        <v>47501</v>
      </c>
      <c r="F94" s="1" t="s">
        <v>20</v>
      </c>
      <c r="G94" s="1" t="s">
        <v>28</v>
      </c>
      <c r="H94" s="1" t="s">
        <v>29</v>
      </c>
      <c r="I94" s="1" t="s">
        <v>23</v>
      </c>
      <c r="J94" s="1">
        <v>175</v>
      </c>
      <c r="K94" s="1">
        <v>1247.1818181818101</v>
      </c>
      <c r="L94" s="1" t="s">
        <v>290</v>
      </c>
      <c r="M94" s="1" t="s">
        <v>291</v>
      </c>
      <c r="N94" s="4">
        <v>52500</v>
      </c>
      <c r="O94" s="4">
        <v>52381.636363636302</v>
      </c>
      <c r="P94" s="3">
        <v>4.96</v>
      </c>
      <c r="Q94" s="3">
        <v>36.6147638181818</v>
      </c>
      <c r="R94" s="1" t="s">
        <v>290</v>
      </c>
    </row>
    <row r="95" spans="1:18" ht="15.75" customHeight="1">
      <c r="A95" s="1">
        <v>38.2936730001</v>
      </c>
      <c r="B95" s="1">
        <v>-86.955103999800002</v>
      </c>
      <c r="C95" s="1" t="s">
        <v>292</v>
      </c>
      <c r="D95" s="1" t="s">
        <v>19</v>
      </c>
      <c r="E95" s="1">
        <v>47542</v>
      </c>
      <c r="F95" s="1" t="s">
        <v>20</v>
      </c>
      <c r="G95" s="1" t="s">
        <v>21</v>
      </c>
      <c r="H95" s="1" t="s">
        <v>22</v>
      </c>
      <c r="I95" s="1" t="s">
        <v>23</v>
      </c>
      <c r="J95" s="1">
        <v>177</v>
      </c>
      <c r="K95" s="1">
        <v>1231.72727272727</v>
      </c>
      <c r="L95" s="1" t="s">
        <v>293</v>
      </c>
      <c r="M95" s="1" t="s">
        <v>294</v>
      </c>
      <c r="N95" s="4">
        <v>53100</v>
      </c>
      <c r="O95" s="4">
        <v>52323.7745454545</v>
      </c>
      <c r="P95" s="3">
        <v>4.95</v>
      </c>
      <c r="Q95" s="3">
        <v>36.574318407272699</v>
      </c>
      <c r="R95" s="6" t="s">
        <v>293</v>
      </c>
    </row>
    <row r="96" spans="1:18" ht="15.75" customHeight="1">
      <c r="A96" s="1">
        <v>39.791511</v>
      </c>
      <c r="B96" s="1">
        <v>-87.3660939998</v>
      </c>
      <c r="C96" s="1" t="s">
        <v>295</v>
      </c>
      <c r="D96" s="1" t="s">
        <v>51</v>
      </c>
      <c r="E96" s="1">
        <v>47862</v>
      </c>
      <c r="F96" s="1" t="s">
        <v>20</v>
      </c>
      <c r="G96" s="1" t="s">
        <v>52</v>
      </c>
      <c r="H96" s="1" t="s">
        <v>53</v>
      </c>
      <c r="I96" s="1" t="s">
        <v>23</v>
      </c>
      <c r="J96" s="1">
        <v>173</v>
      </c>
      <c r="K96" s="1">
        <v>1254.72727272727</v>
      </c>
      <c r="L96" s="1" t="s">
        <v>265</v>
      </c>
      <c r="M96" s="1" t="s">
        <v>296</v>
      </c>
      <c r="N96" s="4">
        <v>51900</v>
      </c>
      <c r="O96" s="4">
        <v>52096.276363636302</v>
      </c>
      <c r="P96" s="3">
        <v>4.93</v>
      </c>
      <c r="Q96" s="3">
        <v>36.415297178181802</v>
      </c>
      <c r="R96" s="1" t="s">
        <v>267</v>
      </c>
    </row>
    <row r="97" spans="1:18" ht="15.75" customHeight="1">
      <c r="A97" s="1">
        <v>39.791503999600003</v>
      </c>
      <c r="B97" s="1">
        <v>-87.365968999800003</v>
      </c>
      <c r="C97" s="1" t="s">
        <v>297</v>
      </c>
      <c r="D97" s="1" t="s">
        <v>51</v>
      </c>
      <c r="E97" s="1">
        <v>47862</v>
      </c>
      <c r="F97" s="1" t="s">
        <v>20</v>
      </c>
      <c r="G97" s="1" t="s">
        <v>52</v>
      </c>
      <c r="H97" s="1" t="s">
        <v>53</v>
      </c>
      <c r="I97" s="1" t="s">
        <v>23</v>
      </c>
      <c r="J97" s="1">
        <v>173</v>
      </c>
      <c r="K97" s="1">
        <v>1254.72727272727</v>
      </c>
      <c r="L97" s="1" t="s">
        <v>265</v>
      </c>
      <c r="M97" s="1" t="s">
        <v>298</v>
      </c>
      <c r="N97" s="4">
        <v>51900</v>
      </c>
      <c r="O97" s="4">
        <v>52096.276363636302</v>
      </c>
      <c r="P97" s="3">
        <v>4.93</v>
      </c>
      <c r="Q97" s="3">
        <v>36.415297178181802</v>
      </c>
      <c r="R97" s="1" t="s">
        <v>267</v>
      </c>
    </row>
    <row r="98" spans="1:18" ht="15.75" customHeight="1">
      <c r="A98" s="1">
        <v>39.791501000099998</v>
      </c>
      <c r="B98" s="1">
        <v>-87.365833000199999</v>
      </c>
      <c r="C98" s="1" t="s">
        <v>299</v>
      </c>
      <c r="D98" s="1" t="s">
        <v>51</v>
      </c>
      <c r="E98" s="1">
        <v>47862</v>
      </c>
      <c r="F98" s="1" t="s">
        <v>20</v>
      </c>
      <c r="G98" s="1" t="s">
        <v>52</v>
      </c>
      <c r="H98" s="1" t="s">
        <v>53</v>
      </c>
      <c r="I98" s="1" t="s">
        <v>23</v>
      </c>
      <c r="J98" s="1">
        <v>173</v>
      </c>
      <c r="K98" s="1">
        <v>1254.72727272727</v>
      </c>
      <c r="L98" s="1" t="s">
        <v>265</v>
      </c>
      <c r="M98" s="1" t="s">
        <v>300</v>
      </c>
      <c r="N98" s="4">
        <v>51900</v>
      </c>
      <c r="O98" s="4">
        <v>52096.276363636302</v>
      </c>
      <c r="P98" s="3">
        <v>4.93</v>
      </c>
      <c r="Q98" s="3">
        <v>36.415297178181802</v>
      </c>
      <c r="R98" s="1" t="s">
        <v>267</v>
      </c>
    </row>
    <row r="99" spans="1:18" ht="15.75" customHeight="1">
      <c r="A99" s="1">
        <v>39.042069000200001</v>
      </c>
      <c r="B99" s="1">
        <v>-87.174965000599997</v>
      </c>
      <c r="C99" s="1" t="s">
        <v>301</v>
      </c>
      <c r="D99" s="1" t="s">
        <v>39</v>
      </c>
      <c r="E99" s="1">
        <v>47441</v>
      </c>
      <c r="F99" s="1" t="s">
        <v>20</v>
      </c>
      <c r="G99" s="1" t="s">
        <v>40</v>
      </c>
      <c r="H99" s="1" t="s">
        <v>41</v>
      </c>
      <c r="I99" s="1" t="s">
        <v>23</v>
      </c>
      <c r="J99" s="1">
        <v>170</v>
      </c>
      <c r="K99" s="1">
        <v>1271.0909090908999</v>
      </c>
      <c r="L99" s="1" t="s">
        <v>302</v>
      </c>
      <c r="M99" s="1" t="s">
        <v>303</v>
      </c>
      <c r="N99" s="4">
        <v>51000</v>
      </c>
      <c r="O99" s="4">
        <v>51860.509090908999</v>
      </c>
      <c r="P99" s="3">
        <v>4.91</v>
      </c>
      <c r="Q99" s="3">
        <v>36.250495854545399</v>
      </c>
      <c r="R99" s="1" t="s">
        <v>45</v>
      </c>
    </row>
    <row r="100" spans="1:18" ht="15.75" customHeight="1">
      <c r="A100" s="1">
        <v>39.042052999900001</v>
      </c>
      <c r="B100" s="1">
        <v>-87.174768999799994</v>
      </c>
      <c r="C100" s="1" t="s">
        <v>304</v>
      </c>
      <c r="D100" s="1" t="s">
        <v>39</v>
      </c>
      <c r="E100" s="1">
        <v>47441</v>
      </c>
      <c r="F100" s="1" t="s">
        <v>20</v>
      </c>
      <c r="G100" s="1" t="s">
        <v>40</v>
      </c>
      <c r="H100" s="1" t="s">
        <v>41</v>
      </c>
      <c r="I100" s="1" t="s">
        <v>23</v>
      </c>
      <c r="J100" s="1">
        <v>170</v>
      </c>
      <c r="K100" s="1">
        <v>1271.0909090908999</v>
      </c>
      <c r="L100" s="1" t="s">
        <v>302</v>
      </c>
      <c r="M100" s="1" t="s">
        <v>305</v>
      </c>
      <c r="N100" s="4">
        <v>51000</v>
      </c>
      <c r="O100" s="4">
        <v>51860.509090908999</v>
      </c>
      <c r="P100" s="3">
        <v>4.91</v>
      </c>
      <c r="Q100" s="3">
        <v>36.250495854545399</v>
      </c>
      <c r="R100" s="1" t="s">
        <v>45</v>
      </c>
    </row>
    <row r="101" spans="1:18" ht="15.75" customHeight="1">
      <c r="A101" s="1">
        <v>39.042451</v>
      </c>
      <c r="B101" s="1">
        <v>-87.174063000199993</v>
      </c>
      <c r="C101" s="1" t="s">
        <v>306</v>
      </c>
      <c r="D101" s="1" t="s">
        <v>39</v>
      </c>
      <c r="E101" s="1">
        <v>47441</v>
      </c>
      <c r="F101" s="1" t="s">
        <v>20</v>
      </c>
      <c r="G101" s="1" t="s">
        <v>40</v>
      </c>
      <c r="H101" s="1" t="s">
        <v>41</v>
      </c>
      <c r="I101" s="1" t="s">
        <v>23</v>
      </c>
      <c r="J101" s="1">
        <v>174</v>
      </c>
      <c r="K101" s="1">
        <v>1235.45454545454</v>
      </c>
      <c r="L101" s="1" t="s">
        <v>282</v>
      </c>
      <c r="M101" s="1" t="s">
        <v>307</v>
      </c>
      <c r="N101" s="4">
        <v>52200</v>
      </c>
      <c r="O101" s="4">
        <v>51592.581818181803</v>
      </c>
      <c r="P101" s="3">
        <v>4.88</v>
      </c>
      <c r="Q101" s="3">
        <v>36.063214690909</v>
      </c>
      <c r="R101" s="1" t="s">
        <v>45</v>
      </c>
    </row>
    <row r="102" spans="1:18" ht="15.75" customHeight="1">
      <c r="A102" s="1">
        <v>39.042318999599999</v>
      </c>
      <c r="B102" s="1">
        <v>-87.174050000099996</v>
      </c>
      <c r="C102" s="1" t="s">
        <v>308</v>
      </c>
      <c r="D102" s="1" t="s">
        <v>39</v>
      </c>
      <c r="E102" s="1">
        <v>47441</v>
      </c>
      <c r="F102" s="1" t="s">
        <v>20</v>
      </c>
      <c r="G102" s="1" t="s">
        <v>40</v>
      </c>
      <c r="H102" s="1" t="s">
        <v>41</v>
      </c>
      <c r="I102" s="1" t="s">
        <v>23</v>
      </c>
      <c r="J102" s="1">
        <v>174</v>
      </c>
      <c r="K102" s="1">
        <v>1235.45454545454</v>
      </c>
      <c r="L102" s="1" t="s">
        <v>282</v>
      </c>
      <c r="M102" s="1" t="s">
        <v>309</v>
      </c>
      <c r="N102" s="4">
        <v>52200</v>
      </c>
      <c r="O102" s="4">
        <v>51592.581818181803</v>
      </c>
      <c r="P102" s="3">
        <v>4.88</v>
      </c>
      <c r="Q102" s="3">
        <v>36.063214690909</v>
      </c>
      <c r="R102" s="1" t="s">
        <v>45</v>
      </c>
    </row>
    <row r="103" spans="1:18" ht="15.75" customHeight="1">
      <c r="A103" s="1">
        <v>39.042090999800003</v>
      </c>
      <c r="B103" s="1">
        <v>-87.174544999399998</v>
      </c>
      <c r="C103" s="1" t="s">
        <v>310</v>
      </c>
      <c r="D103" s="1" t="s">
        <v>39</v>
      </c>
      <c r="E103" s="1">
        <v>47441</v>
      </c>
      <c r="F103" s="1" t="s">
        <v>20</v>
      </c>
      <c r="G103" s="1" t="s">
        <v>40</v>
      </c>
      <c r="H103" s="1" t="s">
        <v>41</v>
      </c>
      <c r="I103" s="1" t="s">
        <v>23</v>
      </c>
      <c r="J103" s="1">
        <v>168</v>
      </c>
      <c r="K103" s="1">
        <v>1239.54545454545</v>
      </c>
      <c r="L103" s="1" t="s">
        <v>302</v>
      </c>
      <c r="M103" s="1" t="s">
        <v>311</v>
      </c>
      <c r="N103" s="4">
        <v>50400</v>
      </c>
      <c r="O103" s="4">
        <v>49978.472727272703</v>
      </c>
      <c r="P103" s="3">
        <v>4.7300000000000004</v>
      </c>
      <c r="Q103" s="3">
        <v>34.934952436363602</v>
      </c>
      <c r="R103" s="1" t="s">
        <v>45</v>
      </c>
    </row>
    <row r="104" spans="1:18" ht="15.75" customHeight="1">
      <c r="A104" s="1">
        <v>39.042086000300003</v>
      </c>
      <c r="B104" s="1">
        <v>-87.174398000500005</v>
      </c>
      <c r="C104" s="1" t="s">
        <v>312</v>
      </c>
      <c r="D104" s="1" t="s">
        <v>39</v>
      </c>
      <c r="E104" s="1">
        <v>47441</v>
      </c>
      <c r="F104" s="1" t="s">
        <v>20</v>
      </c>
      <c r="G104" s="1" t="s">
        <v>40</v>
      </c>
      <c r="H104" s="1" t="s">
        <v>41</v>
      </c>
      <c r="I104" s="1" t="s">
        <v>23</v>
      </c>
      <c r="J104" s="1">
        <v>168</v>
      </c>
      <c r="K104" s="1">
        <v>1239.54545454545</v>
      </c>
      <c r="L104" s="1" t="s">
        <v>302</v>
      </c>
      <c r="M104" s="1" t="s">
        <v>313</v>
      </c>
      <c r="N104" s="4">
        <v>50400</v>
      </c>
      <c r="O104" s="4">
        <v>49978.472727272703</v>
      </c>
      <c r="P104" s="3">
        <v>4.7300000000000004</v>
      </c>
      <c r="Q104" s="3">
        <v>34.934952436363602</v>
      </c>
      <c r="R104" s="1" t="s">
        <v>45</v>
      </c>
    </row>
    <row r="105" spans="1:18" ht="15.75" customHeight="1">
      <c r="A105" s="1">
        <v>39.041118999799998</v>
      </c>
      <c r="B105" s="1">
        <v>-87.172521000299994</v>
      </c>
      <c r="C105" s="1" t="s">
        <v>314</v>
      </c>
      <c r="D105" s="1" t="s">
        <v>39</v>
      </c>
      <c r="E105" s="1">
        <v>47441</v>
      </c>
      <c r="F105" s="1" t="s">
        <v>20</v>
      </c>
      <c r="G105" s="1" t="s">
        <v>40</v>
      </c>
      <c r="H105" s="1" t="s">
        <v>41</v>
      </c>
      <c r="I105" s="1" t="s">
        <v>23</v>
      </c>
      <c r="J105" s="1">
        <v>170</v>
      </c>
      <c r="K105" s="1">
        <v>1212.54545454545</v>
      </c>
      <c r="L105" s="1" t="s">
        <v>187</v>
      </c>
      <c r="M105" s="1" t="s">
        <v>315</v>
      </c>
      <c r="N105" s="4">
        <v>51000</v>
      </c>
      <c r="O105" s="4">
        <v>49471.854545454502</v>
      </c>
      <c r="P105" s="3">
        <v>4.68</v>
      </c>
      <c r="Q105" s="3">
        <v>34.580826327272703</v>
      </c>
      <c r="R105" s="1" t="s">
        <v>45</v>
      </c>
    </row>
    <row r="106" spans="1:18" ht="15.75" customHeight="1">
      <c r="A106" s="1">
        <v>39.040980999600002</v>
      </c>
      <c r="B106" s="1">
        <v>-87.172513999700001</v>
      </c>
      <c r="C106" s="1" t="s">
        <v>316</v>
      </c>
      <c r="D106" s="1" t="s">
        <v>39</v>
      </c>
      <c r="E106" s="1">
        <v>47441</v>
      </c>
      <c r="F106" s="1" t="s">
        <v>20</v>
      </c>
      <c r="G106" s="1" t="s">
        <v>40</v>
      </c>
      <c r="H106" s="1" t="s">
        <v>41</v>
      </c>
      <c r="I106" s="1" t="s">
        <v>23</v>
      </c>
      <c r="J106" s="1">
        <v>170</v>
      </c>
      <c r="K106" s="1">
        <v>1212.54545454545</v>
      </c>
      <c r="L106" s="1" t="s">
        <v>187</v>
      </c>
      <c r="M106" s="1" t="s">
        <v>317</v>
      </c>
      <c r="N106" s="4">
        <v>51000</v>
      </c>
      <c r="O106" s="4">
        <v>49471.854545454502</v>
      </c>
      <c r="P106" s="3">
        <v>4.68</v>
      </c>
      <c r="Q106" s="3">
        <v>34.580826327272703</v>
      </c>
      <c r="R106" s="1" t="s">
        <v>45</v>
      </c>
    </row>
    <row r="107" spans="1:18" ht="15.75" customHeight="1">
      <c r="A107" s="2">
        <v>39.792662871900902</v>
      </c>
      <c r="B107" s="2">
        <v>-87.370133277908096</v>
      </c>
      <c r="C107" s="1" t="s">
        <v>318</v>
      </c>
      <c r="D107" s="1" t="s">
        <v>51</v>
      </c>
      <c r="E107" s="1">
        <v>47862</v>
      </c>
      <c r="F107" s="1" t="s">
        <v>20</v>
      </c>
      <c r="G107" s="1" t="s">
        <v>52</v>
      </c>
      <c r="H107" s="1" t="s">
        <v>53</v>
      </c>
      <c r="I107" s="1" t="s">
        <v>23</v>
      </c>
      <c r="J107" s="3">
        <v>135.77142857142857</v>
      </c>
      <c r="K107" s="1">
        <v>1211</v>
      </c>
      <c r="L107" s="1" t="s">
        <v>319</v>
      </c>
      <c r="M107" s="1" t="s">
        <v>320</v>
      </c>
      <c r="N107" s="4">
        <v>40731.428571428572</v>
      </c>
      <c r="O107" s="4">
        <v>49325.760000000002</v>
      </c>
      <c r="P107" s="3">
        <v>4.6683475298126069</v>
      </c>
      <c r="Q107" s="4">
        <f>O107*0.000699</f>
        <v>34.478706240000001</v>
      </c>
      <c r="R107" s="1" t="s">
        <v>319</v>
      </c>
    </row>
    <row r="108" spans="1:18" ht="15.75" customHeight="1">
      <c r="A108" s="1">
        <v>39.040986999600001</v>
      </c>
      <c r="B108" s="1">
        <v>-87.174016999499997</v>
      </c>
      <c r="C108" s="1" t="s">
        <v>321</v>
      </c>
      <c r="D108" s="1" t="s">
        <v>39</v>
      </c>
      <c r="E108" s="1">
        <v>47441</v>
      </c>
      <c r="F108" s="1" t="s">
        <v>20</v>
      </c>
      <c r="G108" s="1" t="s">
        <v>40</v>
      </c>
      <c r="H108" s="1" t="s">
        <v>41</v>
      </c>
      <c r="I108" s="1" t="s">
        <v>23</v>
      </c>
      <c r="J108" s="1">
        <v>166</v>
      </c>
      <c r="K108" s="1">
        <v>1233.72727272727</v>
      </c>
      <c r="L108" s="1" t="s">
        <v>302</v>
      </c>
      <c r="M108" s="1" t="s">
        <v>322</v>
      </c>
      <c r="N108" s="4">
        <v>49800</v>
      </c>
      <c r="O108" s="4">
        <v>49151.694545454498</v>
      </c>
      <c r="P108" s="3">
        <v>4.6500000000000004</v>
      </c>
      <c r="Q108" s="3">
        <v>34.357034487272699</v>
      </c>
      <c r="R108" s="1" t="s">
        <v>45</v>
      </c>
    </row>
    <row r="109" spans="1:18" ht="15.75" customHeight="1">
      <c r="A109" s="1">
        <v>39.0409560003</v>
      </c>
      <c r="B109" s="1">
        <v>-87.174193000000002</v>
      </c>
      <c r="C109" s="1" t="s">
        <v>323</v>
      </c>
      <c r="D109" s="1" t="s">
        <v>39</v>
      </c>
      <c r="E109" s="1">
        <v>47441</v>
      </c>
      <c r="F109" s="1" t="s">
        <v>20</v>
      </c>
      <c r="G109" s="1" t="s">
        <v>40</v>
      </c>
      <c r="H109" s="1" t="s">
        <v>41</v>
      </c>
      <c r="I109" s="1" t="s">
        <v>23</v>
      </c>
      <c r="J109" s="1">
        <v>166</v>
      </c>
      <c r="K109" s="1">
        <v>1233.72727272727</v>
      </c>
      <c r="L109" s="1" t="s">
        <v>302</v>
      </c>
      <c r="M109" s="1" t="s">
        <v>324</v>
      </c>
      <c r="N109" s="4">
        <v>49800</v>
      </c>
      <c r="O109" s="4">
        <v>49151.694545454498</v>
      </c>
      <c r="P109" s="3">
        <v>4.6500000000000004</v>
      </c>
      <c r="Q109" s="3">
        <v>34.357034487272699</v>
      </c>
      <c r="R109" s="1" t="s">
        <v>45</v>
      </c>
    </row>
    <row r="110" spans="1:18" ht="15.75" customHeight="1">
      <c r="A110" s="1">
        <v>39.042069999600002</v>
      </c>
      <c r="B110" s="1">
        <v>-87.174166000400007</v>
      </c>
      <c r="C110" s="1" t="s">
        <v>325</v>
      </c>
      <c r="D110" s="1" t="s">
        <v>39</v>
      </c>
      <c r="E110" s="1">
        <v>47441</v>
      </c>
      <c r="F110" s="1" t="s">
        <v>20</v>
      </c>
      <c r="G110" s="1" t="s">
        <v>40</v>
      </c>
      <c r="H110" s="1" t="s">
        <v>41</v>
      </c>
      <c r="I110" s="1" t="s">
        <v>23</v>
      </c>
      <c r="J110" s="1">
        <v>159</v>
      </c>
      <c r="K110" s="1">
        <v>1249.9090909090901</v>
      </c>
      <c r="L110" s="1" t="s">
        <v>282</v>
      </c>
      <c r="M110" s="1" t="s">
        <v>326</v>
      </c>
      <c r="N110" s="4">
        <v>47700</v>
      </c>
      <c r="O110" s="4">
        <v>47696.5309090909</v>
      </c>
      <c r="P110" s="3">
        <v>4.51</v>
      </c>
      <c r="Q110" s="3">
        <v>33.339875105454503</v>
      </c>
      <c r="R110" s="1" t="s">
        <v>45</v>
      </c>
    </row>
    <row r="111" spans="1:18" ht="15.75" customHeight="1">
      <c r="A111" s="1">
        <v>39.042036999600001</v>
      </c>
      <c r="B111" s="1">
        <v>-87.174033000199998</v>
      </c>
      <c r="C111" s="1" t="s">
        <v>327</v>
      </c>
      <c r="D111" s="1" t="s">
        <v>39</v>
      </c>
      <c r="E111" s="1">
        <v>47441</v>
      </c>
      <c r="F111" s="1" t="s">
        <v>20</v>
      </c>
      <c r="G111" s="1" t="s">
        <v>40</v>
      </c>
      <c r="H111" s="1" t="s">
        <v>41</v>
      </c>
      <c r="I111" s="1" t="s">
        <v>23</v>
      </c>
      <c r="J111" s="1">
        <v>159</v>
      </c>
      <c r="K111" s="1">
        <v>1249.9090909090901</v>
      </c>
      <c r="L111" s="1" t="s">
        <v>282</v>
      </c>
      <c r="M111" s="1" t="s">
        <v>328</v>
      </c>
      <c r="N111" s="4">
        <v>47700</v>
      </c>
      <c r="O111" s="4">
        <v>47696.5309090909</v>
      </c>
      <c r="P111" s="3">
        <v>4.51</v>
      </c>
      <c r="Q111" s="3">
        <v>33.339875105454503</v>
      </c>
      <c r="R111" s="1" t="s">
        <v>45</v>
      </c>
    </row>
    <row r="112" spans="1:18" ht="15.75" customHeight="1">
      <c r="A112" s="1">
        <v>38.657063999899997</v>
      </c>
      <c r="B112" s="1">
        <v>-87.180543999799994</v>
      </c>
      <c r="C112" s="1" t="s">
        <v>329</v>
      </c>
      <c r="D112" s="1" t="s">
        <v>27</v>
      </c>
      <c r="E112" s="1">
        <v>47501</v>
      </c>
      <c r="F112" s="1" t="s">
        <v>20</v>
      </c>
      <c r="G112" s="1" t="s">
        <v>28</v>
      </c>
      <c r="H112" s="1" t="s">
        <v>29</v>
      </c>
      <c r="I112" s="1" t="s">
        <v>23</v>
      </c>
      <c r="J112" s="1">
        <v>144</v>
      </c>
      <c r="K112" s="1">
        <v>1349.0909090908999</v>
      </c>
      <c r="L112" s="1" t="s">
        <v>330</v>
      </c>
      <c r="M112" s="1" t="s">
        <v>331</v>
      </c>
      <c r="N112" s="4">
        <v>43200</v>
      </c>
      <c r="O112" s="4">
        <v>46624.581818181803</v>
      </c>
      <c r="P112" s="3">
        <v>4.41</v>
      </c>
      <c r="Q112" s="3">
        <v>32.590582690909002</v>
      </c>
      <c r="R112" s="5" t="s">
        <v>332</v>
      </c>
    </row>
    <row r="113" spans="1:18" ht="15.75" customHeight="1">
      <c r="A113" s="1">
        <v>39.793523999900003</v>
      </c>
      <c r="B113" s="1">
        <v>-87.371364999899995</v>
      </c>
      <c r="C113" s="1" t="s">
        <v>333</v>
      </c>
      <c r="D113" s="1" t="s">
        <v>51</v>
      </c>
      <c r="E113" s="1">
        <v>47862</v>
      </c>
      <c r="F113" s="1" t="s">
        <v>20</v>
      </c>
      <c r="G113" s="1" t="s">
        <v>52</v>
      </c>
      <c r="H113" s="1" t="s">
        <v>53</v>
      </c>
      <c r="I113" s="1" t="s">
        <v>23</v>
      </c>
      <c r="J113" s="1">
        <v>152</v>
      </c>
      <c r="K113" s="1">
        <v>1250.6363636363601</v>
      </c>
      <c r="L113" s="1" t="s">
        <v>334</v>
      </c>
      <c r="M113" s="1" t="s">
        <v>335</v>
      </c>
      <c r="N113" s="4">
        <v>45600</v>
      </c>
      <c r="O113" s="4">
        <v>45623.214545454503</v>
      </c>
      <c r="P113" s="3">
        <v>4.32</v>
      </c>
      <c r="Q113" s="3">
        <v>31.890626967272699</v>
      </c>
      <c r="R113" s="5" t="s">
        <v>336</v>
      </c>
    </row>
    <row r="114" spans="1:18" ht="15.75" customHeight="1">
      <c r="A114" s="2">
        <v>38.304965826753403</v>
      </c>
      <c r="B114" s="2">
        <v>-86.949358218803994</v>
      </c>
      <c r="C114" s="1" t="s">
        <v>337</v>
      </c>
      <c r="D114" s="1" t="s">
        <v>19</v>
      </c>
      <c r="E114" s="1">
        <v>47542</v>
      </c>
      <c r="F114" s="1" t="s">
        <v>20</v>
      </c>
      <c r="G114" s="1" t="s">
        <v>21</v>
      </c>
      <c r="H114" s="1" t="s">
        <v>22</v>
      </c>
      <c r="I114" s="1" t="s">
        <v>23</v>
      </c>
      <c r="J114" s="3">
        <v>125.52857142857142</v>
      </c>
      <c r="K114" s="1">
        <v>1232</v>
      </c>
      <c r="L114" s="1" t="s">
        <v>338</v>
      </c>
      <c r="M114" s="1" t="s">
        <v>339</v>
      </c>
      <c r="N114" s="4">
        <v>37658.571428571428</v>
      </c>
      <c r="O114" s="4">
        <v>45604.53</v>
      </c>
      <c r="P114" s="3">
        <v>4.3161584327086882</v>
      </c>
      <c r="Q114" s="4">
        <f>O114*0.000699</f>
        <v>31.877566469999998</v>
      </c>
      <c r="R114" s="1" t="s">
        <v>338</v>
      </c>
    </row>
    <row r="115" spans="1:18" ht="15.75" customHeight="1">
      <c r="A115" s="1">
        <v>39.791893999999999</v>
      </c>
      <c r="B115" s="1">
        <v>-87.373665000000003</v>
      </c>
      <c r="C115" s="1" t="s">
        <v>340</v>
      </c>
      <c r="D115" s="1" t="s">
        <v>51</v>
      </c>
      <c r="E115" s="1">
        <v>47862</v>
      </c>
      <c r="F115" s="1" t="s">
        <v>20</v>
      </c>
      <c r="G115" s="1" t="s">
        <v>52</v>
      </c>
      <c r="H115" s="1" t="s">
        <v>53</v>
      </c>
      <c r="I115" s="1" t="s">
        <v>23</v>
      </c>
      <c r="J115" s="1">
        <v>153</v>
      </c>
      <c r="K115" s="1">
        <v>1237.45454545454</v>
      </c>
      <c r="L115" s="1" t="s">
        <v>341</v>
      </c>
      <c r="M115" s="1" t="s">
        <v>342</v>
      </c>
      <c r="N115" s="4">
        <v>45900</v>
      </c>
      <c r="O115" s="4">
        <v>45439.330909090902</v>
      </c>
      <c r="P115" s="3">
        <v>4.3</v>
      </c>
      <c r="Q115" s="3">
        <v>31.762092305454502</v>
      </c>
      <c r="R115" s="1" t="s">
        <v>343</v>
      </c>
    </row>
    <row r="116" spans="1:18" ht="15.75" customHeight="1">
      <c r="A116" s="1">
        <v>38.656777999900001</v>
      </c>
      <c r="B116" s="1">
        <v>-87.172775000100003</v>
      </c>
      <c r="C116" s="1" t="s">
        <v>344</v>
      </c>
      <c r="D116" s="1" t="s">
        <v>27</v>
      </c>
      <c r="E116" s="1">
        <v>47501</v>
      </c>
      <c r="F116" s="1" t="s">
        <v>20</v>
      </c>
      <c r="G116" s="1" t="s">
        <v>28</v>
      </c>
      <c r="H116" s="1" t="s">
        <v>29</v>
      </c>
      <c r="I116" s="1" t="s">
        <v>23</v>
      </c>
      <c r="J116" s="1">
        <v>138</v>
      </c>
      <c r="K116" s="1">
        <v>1367.3636363636299</v>
      </c>
      <c r="L116" s="5" t="s">
        <v>345</v>
      </c>
      <c r="M116" s="1" t="s">
        <v>346</v>
      </c>
      <c r="N116" s="4">
        <v>41400</v>
      </c>
      <c r="O116" s="4">
        <v>45287.083636363597</v>
      </c>
      <c r="P116" s="3">
        <v>4.29</v>
      </c>
      <c r="Q116" s="3">
        <v>31.655671461818098</v>
      </c>
      <c r="R116" s="1" t="s">
        <v>345</v>
      </c>
    </row>
    <row r="117" spans="1:18" ht="15.75" customHeight="1">
      <c r="A117" s="1">
        <v>38.308894000000002</v>
      </c>
      <c r="B117" s="1">
        <v>-86.952516000399996</v>
      </c>
      <c r="C117" s="1" t="s">
        <v>347</v>
      </c>
      <c r="D117" s="1" t="s">
        <v>19</v>
      </c>
      <c r="E117" s="1">
        <v>47542</v>
      </c>
      <c r="F117" s="1" t="s">
        <v>20</v>
      </c>
      <c r="G117" s="1" t="s">
        <v>21</v>
      </c>
      <c r="H117" s="1" t="s">
        <v>22</v>
      </c>
      <c r="I117" s="1" t="s">
        <v>23</v>
      </c>
      <c r="J117" s="1">
        <v>143</v>
      </c>
      <c r="K117" s="1">
        <v>1284.1818181818101</v>
      </c>
      <c r="L117" s="1" t="s">
        <v>78</v>
      </c>
      <c r="M117" s="1" t="s">
        <v>348</v>
      </c>
      <c r="N117" s="4">
        <v>42900</v>
      </c>
      <c r="O117" s="4">
        <v>44073.120000000003</v>
      </c>
      <c r="P117" s="3">
        <v>4.17</v>
      </c>
      <c r="Q117" s="3">
        <v>30.80711088</v>
      </c>
      <c r="R117" s="5" t="s">
        <v>239</v>
      </c>
    </row>
    <row r="118" spans="1:18" ht="15.75" customHeight="1">
      <c r="A118" s="1">
        <v>39.041513000400002</v>
      </c>
      <c r="B118" s="1">
        <v>-87.1732110003</v>
      </c>
      <c r="C118" s="1" t="s">
        <v>349</v>
      </c>
      <c r="D118" s="1" t="s">
        <v>39</v>
      </c>
      <c r="E118" s="1">
        <v>47441</v>
      </c>
      <c r="F118" s="1" t="s">
        <v>20</v>
      </c>
      <c r="G118" s="1" t="s">
        <v>40</v>
      </c>
      <c r="H118" s="1" t="s">
        <v>41</v>
      </c>
      <c r="I118" s="1" t="s">
        <v>23</v>
      </c>
      <c r="J118" s="1">
        <v>150</v>
      </c>
      <c r="K118" s="1">
        <v>1204.8181818181799</v>
      </c>
      <c r="L118" s="1" t="s">
        <v>282</v>
      </c>
      <c r="M118" s="1" t="s">
        <v>350</v>
      </c>
      <c r="N118" s="4">
        <v>45000</v>
      </c>
      <c r="O118" s="4">
        <v>43373.4545454545</v>
      </c>
      <c r="P118" s="3">
        <v>4.1100000000000003</v>
      </c>
      <c r="Q118" s="3">
        <v>30.318044727272699</v>
      </c>
      <c r="R118" s="1" t="s">
        <v>45</v>
      </c>
    </row>
    <row r="119" spans="1:18" ht="15.75" customHeight="1">
      <c r="A119" s="1">
        <v>39.041486000200003</v>
      </c>
      <c r="B119" s="1">
        <v>-87.173056000200006</v>
      </c>
      <c r="C119" s="1" t="s">
        <v>351</v>
      </c>
      <c r="D119" s="1" t="s">
        <v>39</v>
      </c>
      <c r="E119" s="1">
        <v>47441</v>
      </c>
      <c r="F119" s="1" t="s">
        <v>20</v>
      </c>
      <c r="G119" s="1" t="s">
        <v>40</v>
      </c>
      <c r="H119" s="1" t="s">
        <v>41</v>
      </c>
      <c r="I119" s="1" t="s">
        <v>23</v>
      </c>
      <c r="J119" s="1">
        <v>150</v>
      </c>
      <c r="K119" s="1">
        <v>1204.8181818181799</v>
      </c>
      <c r="L119" s="1" t="s">
        <v>45</v>
      </c>
      <c r="M119" s="1" t="s">
        <v>352</v>
      </c>
      <c r="N119" s="4">
        <v>45000</v>
      </c>
      <c r="O119" s="4">
        <v>43373.4545454545</v>
      </c>
      <c r="P119" s="3">
        <v>4.1100000000000003</v>
      </c>
      <c r="Q119" s="3">
        <v>30.318044727272699</v>
      </c>
      <c r="R119" s="1" t="s">
        <v>45</v>
      </c>
    </row>
    <row r="120" spans="1:18" ht="15.75" customHeight="1">
      <c r="A120" s="2">
        <v>38.304715572296999</v>
      </c>
      <c r="B120" s="2">
        <v>-86.949337341630894</v>
      </c>
      <c r="C120" s="1" t="s">
        <v>337</v>
      </c>
      <c r="D120" s="1" t="s">
        <v>19</v>
      </c>
      <c r="E120" s="1">
        <v>47542</v>
      </c>
      <c r="F120" s="1" t="s">
        <v>20</v>
      </c>
      <c r="G120" s="1" t="s">
        <v>21</v>
      </c>
      <c r="H120" s="1" t="s">
        <v>22</v>
      </c>
      <c r="I120" s="1" t="s">
        <v>23</v>
      </c>
      <c r="J120" s="3">
        <v>118.07142857142856</v>
      </c>
      <c r="K120" s="1">
        <v>1232</v>
      </c>
      <c r="L120" s="1" t="s">
        <v>338</v>
      </c>
      <c r="M120" s="1" t="s">
        <v>339</v>
      </c>
      <c r="N120" s="4">
        <v>35421.428571428565</v>
      </c>
      <c r="O120" s="4">
        <v>42895.349999999991</v>
      </c>
      <c r="P120" s="3">
        <v>4.0597529812606465</v>
      </c>
      <c r="Q120" s="4">
        <f>O120*0.000699</f>
        <v>29.983849649999993</v>
      </c>
      <c r="R120" s="1" t="s">
        <v>338</v>
      </c>
    </row>
    <row r="121" spans="1:18" ht="15.75" customHeight="1">
      <c r="A121" s="1">
        <v>39.794814000300001</v>
      </c>
      <c r="B121" s="1">
        <v>-87.371572000499995</v>
      </c>
      <c r="C121" s="1" t="s">
        <v>353</v>
      </c>
      <c r="D121" s="1" t="s">
        <v>51</v>
      </c>
      <c r="E121" s="1">
        <v>47862</v>
      </c>
      <c r="F121" s="1" t="s">
        <v>20</v>
      </c>
      <c r="G121" s="1" t="s">
        <v>52</v>
      </c>
      <c r="H121" s="1" t="s">
        <v>53</v>
      </c>
      <c r="I121" s="1" t="s">
        <v>23</v>
      </c>
      <c r="J121" s="1">
        <v>152</v>
      </c>
      <c r="K121" s="1">
        <v>1158.27272727272</v>
      </c>
      <c r="L121" s="1" t="s">
        <v>354</v>
      </c>
      <c r="M121" s="1" t="s">
        <v>355</v>
      </c>
      <c r="N121" s="4">
        <v>45600</v>
      </c>
      <c r="O121" s="4">
        <v>42253.789090908998</v>
      </c>
      <c r="P121" s="3">
        <v>4</v>
      </c>
      <c r="Q121" s="3">
        <v>29.5353985745454</v>
      </c>
      <c r="R121" s="5" t="s">
        <v>356</v>
      </c>
    </row>
    <row r="122" spans="1:18" ht="15.75" customHeight="1">
      <c r="A122" s="1">
        <v>38.295426000399999</v>
      </c>
      <c r="B122" s="1">
        <v>-86.949367999499998</v>
      </c>
      <c r="C122" s="1" t="s">
        <v>198</v>
      </c>
      <c r="D122" s="1" t="s">
        <v>19</v>
      </c>
      <c r="E122" s="1">
        <v>47542</v>
      </c>
      <c r="F122" s="1" t="s">
        <v>20</v>
      </c>
      <c r="G122" s="1" t="s">
        <v>21</v>
      </c>
      <c r="H122" s="1" t="s">
        <v>22</v>
      </c>
      <c r="I122" s="1" t="s">
        <v>23</v>
      </c>
      <c r="J122" s="1">
        <v>152</v>
      </c>
      <c r="K122" s="1">
        <v>1142.0909090908999</v>
      </c>
      <c r="L122" s="1" t="s">
        <v>199</v>
      </c>
      <c r="M122" s="1" t="s">
        <v>357</v>
      </c>
      <c r="N122" s="4">
        <v>45600</v>
      </c>
      <c r="O122" s="4">
        <v>41663.476363636299</v>
      </c>
      <c r="P122" s="3">
        <v>3.94</v>
      </c>
      <c r="Q122" s="3">
        <v>29.1227699781818</v>
      </c>
      <c r="R122" s="1" t="s">
        <v>199</v>
      </c>
    </row>
    <row r="123" spans="1:18" ht="15.75" customHeight="1">
      <c r="A123" s="1">
        <v>39.794289999999997</v>
      </c>
      <c r="B123" s="1">
        <v>-87.370410999499995</v>
      </c>
      <c r="C123" s="1" t="s">
        <v>358</v>
      </c>
      <c r="D123" s="1" t="s">
        <v>51</v>
      </c>
      <c r="E123" s="1">
        <v>47862</v>
      </c>
      <c r="F123" s="1" t="s">
        <v>20</v>
      </c>
      <c r="G123" s="1" t="s">
        <v>52</v>
      </c>
      <c r="H123" s="1" t="s">
        <v>53</v>
      </c>
      <c r="I123" s="1" t="s">
        <v>23</v>
      </c>
      <c r="J123" s="1">
        <v>149</v>
      </c>
      <c r="K123" s="1">
        <v>1140.27272727272</v>
      </c>
      <c r="L123" s="1" t="s">
        <v>354</v>
      </c>
      <c r="M123" s="1" t="s">
        <v>359</v>
      </c>
      <c r="N123" s="4">
        <v>44700</v>
      </c>
      <c r="O123" s="4">
        <v>40776.152727272703</v>
      </c>
      <c r="P123" s="3">
        <v>3.86</v>
      </c>
      <c r="Q123" s="3">
        <v>28.502530756363601</v>
      </c>
      <c r="R123" s="5" t="s">
        <v>360</v>
      </c>
    </row>
    <row r="124" spans="1:18" ht="15.75" customHeight="1">
      <c r="A124" s="2">
        <v>38.304479719229903</v>
      </c>
      <c r="B124" s="2">
        <v>-86.950025300596394</v>
      </c>
      <c r="C124" s="1" t="s">
        <v>337</v>
      </c>
      <c r="D124" s="1" t="s">
        <v>19</v>
      </c>
      <c r="E124" s="1">
        <v>47542</v>
      </c>
      <c r="F124" s="1" t="s">
        <v>20</v>
      </c>
      <c r="G124" s="1" t="s">
        <v>21</v>
      </c>
      <c r="H124" s="1" t="s">
        <v>22</v>
      </c>
      <c r="I124" s="1" t="s">
        <v>23</v>
      </c>
      <c r="J124" s="3">
        <v>111.68571428571428</v>
      </c>
      <c r="K124" s="1">
        <v>1232</v>
      </c>
      <c r="L124" s="1" t="s">
        <v>338</v>
      </c>
      <c r="M124" s="1" t="s">
        <v>339</v>
      </c>
      <c r="N124" s="4">
        <v>33505.714285714283</v>
      </c>
      <c r="O124" s="4">
        <v>40575.42</v>
      </c>
      <c r="P124" s="3">
        <v>3.8401873935264055</v>
      </c>
      <c r="Q124" s="4">
        <f t="shared" ref="Q124:Q125" si="6">O124*0.000699</f>
        <v>28.362218579999997</v>
      </c>
      <c r="R124" s="1" t="s">
        <v>338</v>
      </c>
    </row>
    <row r="125" spans="1:18" ht="15.75" customHeight="1">
      <c r="A125" s="2">
        <v>38.3048644128923</v>
      </c>
      <c r="B125" s="2">
        <v>-86.950078059258203</v>
      </c>
      <c r="C125" s="1" t="s">
        <v>337</v>
      </c>
      <c r="D125" s="1" t="s">
        <v>19</v>
      </c>
      <c r="E125" s="1">
        <v>47542</v>
      </c>
      <c r="F125" s="1" t="s">
        <v>20</v>
      </c>
      <c r="G125" s="1" t="s">
        <v>21</v>
      </c>
      <c r="H125" s="1" t="s">
        <v>22</v>
      </c>
      <c r="I125" s="1" t="s">
        <v>23</v>
      </c>
      <c r="J125" s="3">
        <v>106.97142857142858</v>
      </c>
      <c r="K125" s="1">
        <v>1232</v>
      </c>
      <c r="L125" s="1" t="s">
        <v>338</v>
      </c>
      <c r="M125" s="1" t="s">
        <v>339</v>
      </c>
      <c r="N125" s="4">
        <v>32091.428571428572</v>
      </c>
      <c r="O125" s="4">
        <v>38862.720000000001</v>
      </c>
      <c r="P125" s="3">
        <v>3.6780919931856899</v>
      </c>
      <c r="Q125" s="4">
        <f t="shared" si="6"/>
        <v>27.165041280000001</v>
      </c>
      <c r="R125" s="1" t="s">
        <v>338</v>
      </c>
    </row>
    <row r="126" spans="1:18" ht="15.75" customHeight="1">
      <c r="A126" s="1">
        <v>38.658567000200001</v>
      </c>
      <c r="B126" s="1">
        <v>-87.169429000099996</v>
      </c>
      <c r="C126" s="1" t="s">
        <v>361</v>
      </c>
      <c r="D126" s="1" t="s">
        <v>27</v>
      </c>
      <c r="E126" s="1">
        <v>47501</v>
      </c>
      <c r="F126" s="1" t="s">
        <v>20</v>
      </c>
      <c r="G126" s="1" t="s">
        <v>28</v>
      </c>
      <c r="H126" s="1" t="s">
        <v>29</v>
      </c>
      <c r="I126" s="1" t="s">
        <v>23</v>
      </c>
      <c r="J126" s="1">
        <v>146</v>
      </c>
      <c r="K126" s="1">
        <v>1107.27272727272</v>
      </c>
      <c r="L126" s="1" t="s">
        <v>362</v>
      </c>
      <c r="M126" s="1" t="s">
        <v>363</v>
      </c>
      <c r="N126" s="4">
        <v>43800</v>
      </c>
      <c r="O126" s="4">
        <v>38798.836363636299</v>
      </c>
      <c r="P126" s="3">
        <v>3.67</v>
      </c>
      <c r="Q126" s="3">
        <v>27.120386618181801</v>
      </c>
      <c r="R126" s="1" t="s">
        <v>362</v>
      </c>
    </row>
    <row r="127" spans="1:18" ht="15.75" customHeight="1">
      <c r="A127" s="1">
        <v>38.658555000200003</v>
      </c>
      <c r="B127" s="1">
        <v>-87.169238999699999</v>
      </c>
      <c r="C127" s="1" t="s">
        <v>364</v>
      </c>
      <c r="D127" s="1" t="s">
        <v>27</v>
      </c>
      <c r="E127" s="1">
        <v>47501</v>
      </c>
      <c r="F127" s="1" t="s">
        <v>20</v>
      </c>
      <c r="G127" s="1" t="s">
        <v>28</v>
      </c>
      <c r="H127" s="1" t="s">
        <v>29</v>
      </c>
      <c r="I127" s="1" t="s">
        <v>23</v>
      </c>
      <c r="J127" s="1">
        <v>146</v>
      </c>
      <c r="K127" s="1">
        <v>1107.27272727272</v>
      </c>
      <c r="L127" s="1" t="s">
        <v>362</v>
      </c>
      <c r="M127" s="1" t="s">
        <v>365</v>
      </c>
      <c r="N127" s="4">
        <v>43800</v>
      </c>
      <c r="O127" s="4">
        <v>38798.836363636299</v>
      </c>
      <c r="P127" s="3">
        <v>3.67</v>
      </c>
      <c r="Q127" s="3">
        <v>27.120386618181801</v>
      </c>
      <c r="R127" s="1" t="s">
        <v>362</v>
      </c>
    </row>
    <row r="128" spans="1:18" ht="15.75" customHeight="1">
      <c r="A128" s="1">
        <v>39.7914990003</v>
      </c>
      <c r="B128" s="1">
        <v>-87.365490000500003</v>
      </c>
      <c r="C128" s="1" t="s">
        <v>366</v>
      </c>
      <c r="D128" s="1" t="s">
        <v>51</v>
      </c>
      <c r="E128" s="1">
        <v>47862</v>
      </c>
      <c r="F128" s="1" t="s">
        <v>20</v>
      </c>
      <c r="G128" s="1" t="s">
        <v>52</v>
      </c>
      <c r="H128" s="1" t="s">
        <v>53</v>
      </c>
      <c r="I128" s="1" t="s">
        <v>23</v>
      </c>
      <c r="J128" s="1">
        <v>128</v>
      </c>
      <c r="K128" s="1">
        <v>1254.6363636363601</v>
      </c>
      <c r="L128" s="1" t="s">
        <v>265</v>
      </c>
      <c r="M128" s="1" t="s">
        <v>367</v>
      </c>
      <c r="N128" s="4">
        <v>38400</v>
      </c>
      <c r="O128" s="4">
        <v>38542.429090908998</v>
      </c>
      <c r="P128" s="3">
        <v>3.65</v>
      </c>
      <c r="Q128" s="3">
        <v>26.941157934545402</v>
      </c>
      <c r="R128" s="1" t="s">
        <v>267</v>
      </c>
    </row>
    <row r="129" spans="1:18" ht="15.75" customHeight="1">
      <c r="A129" s="1">
        <v>39.791486999599996</v>
      </c>
      <c r="B129" s="1">
        <v>-87.365358999999998</v>
      </c>
      <c r="C129" s="1" t="s">
        <v>368</v>
      </c>
      <c r="D129" s="1" t="s">
        <v>51</v>
      </c>
      <c r="E129" s="1">
        <v>47862</v>
      </c>
      <c r="F129" s="1" t="s">
        <v>20</v>
      </c>
      <c r="G129" s="1" t="s">
        <v>52</v>
      </c>
      <c r="H129" s="1" t="s">
        <v>53</v>
      </c>
      <c r="I129" s="1" t="s">
        <v>23</v>
      </c>
      <c r="J129" s="1">
        <v>128</v>
      </c>
      <c r="K129" s="1">
        <v>1254.6363636363601</v>
      </c>
      <c r="L129" s="1" t="s">
        <v>265</v>
      </c>
      <c r="M129" s="1" t="s">
        <v>369</v>
      </c>
      <c r="N129" s="4">
        <v>38400</v>
      </c>
      <c r="O129" s="4">
        <v>38542.429090908998</v>
      </c>
      <c r="P129" s="3">
        <v>3.65</v>
      </c>
      <c r="Q129" s="3">
        <v>26.941157934545402</v>
      </c>
      <c r="R129" s="1" t="s">
        <v>267</v>
      </c>
    </row>
    <row r="130" spans="1:18" ht="15.75" customHeight="1">
      <c r="A130" s="2">
        <v>38.305351057154397</v>
      </c>
      <c r="B130" s="2">
        <v>-86.950139142796104</v>
      </c>
      <c r="C130" s="1" t="s">
        <v>337</v>
      </c>
      <c r="D130" s="1" t="s">
        <v>19</v>
      </c>
      <c r="E130" s="1">
        <v>47542</v>
      </c>
      <c r="F130" s="1" t="s">
        <v>20</v>
      </c>
      <c r="G130" s="1" t="s">
        <v>21</v>
      </c>
      <c r="H130" s="1" t="s">
        <v>22</v>
      </c>
      <c r="I130" s="1" t="s">
        <v>23</v>
      </c>
      <c r="J130" s="3">
        <v>103.84285714285714</v>
      </c>
      <c r="K130" s="1">
        <v>1232</v>
      </c>
      <c r="L130" s="1" t="s">
        <v>338</v>
      </c>
      <c r="M130" s="1" t="s">
        <v>339</v>
      </c>
      <c r="N130" s="4">
        <v>31152.857142857141</v>
      </c>
      <c r="O130" s="4">
        <v>37726.11</v>
      </c>
      <c r="P130" s="3">
        <v>3.5705195911413972</v>
      </c>
      <c r="Q130" s="4">
        <f t="shared" ref="Q130:Q131" si="7">O130*0.000699</f>
        <v>26.370550890000001</v>
      </c>
      <c r="R130" s="1" t="s">
        <v>338</v>
      </c>
    </row>
    <row r="131" spans="1:18" ht="15.75" customHeight="1">
      <c r="A131" s="2">
        <v>38.304442854378799</v>
      </c>
      <c r="B131" s="2">
        <v>-86.949438876412103</v>
      </c>
      <c r="C131" s="1" t="s">
        <v>337</v>
      </c>
      <c r="D131" s="1" t="s">
        <v>19</v>
      </c>
      <c r="E131" s="1">
        <v>47542</v>
      </c>
      <c r="F131" s="1" t="s">
        <v>20</v>
      </c>
      <c r="G131" s="1" t="s">
        <v>21</v>
      </c>
      <c r="H131" s="1" t="s">
        <v>22</v>
      </c>
      <c r="I131" s="1" t="s">
        <v>23</v>
      </c>
      <c r="J131" s="3">
        <v>102.42857142857144</v>
      </c>
      <c r="K131" s="1">
        <v>1232</v>
      </c>
      <c r="L131" s="1" t="s">
        <v>338</v>
      </c>
      <c r="M131" s="1" t="s">
        <v>339</v>
      </c>
      <c r="N131" s="4">
        <v>30728.571428571435</v>
      </c>
      <c r="O131" s="4">
        <v>37212.30000000001</v>
      </c>
      <c r="P131" s="3">
        <v>3.5218909710391832</v>
      </c>
      <c r="Q131" s="4">
        <f t="shared" si="7"/>
        <v>26.011397700000007</v>
      </c>
      <c r="R131" s="1" t="s">
        <v>338</v>
      </c>
    </row>
    <row r="132" spans="1:18" ht="15.75" customHeight="1">
      <c r="A132" s="1">
        <v>39.040725999899998</v>
      </c>
      <c r="B132" s="1">
        <v>-87.174164000600001</v>
      </c>
      <c r="C132" s="1" t="s">
        <v>370</v>
      </c>
      <c r="D132" s="1" t="s">
        <v>39</v>
      </c>
      <c r="E132" s="1">
        <v>47441</v>
      </c>
      <c r="F132" s="1" t="s">
        <v>20</v>
      </c>
      <c r="G132" s="1" t="s">
        <v>40</v>
      </c>
      <c r="H132" s="1" t="s">
        <v>41</v>
      </c>
      <c r="I132" s="1" t="s">
        <v>23</v>
      </c>
      <c r="J132" s="1">
        <v>151</v>
      </c>
      <c r="K132" s="1">
        <v>1023.54545454545</v>
      </c>
      <c r="L132" s="1" t="s">
        <v>302</v>
      </c>
      <c r="M132" s="1" t="s">
        <v>371</v>
      </c>
      <c r="N132" s="4">
        <v>45300</v>
      </c>
      <c r="O132" s="4">
        <v>37093.287272727197</v>
      </c>
      <c r="P132" s="3">
        <v>3.51</v>
      </c>
      <c r="Q132" s="3">
        <v>25.928207803636301</v>
      </c>
      <c r="R132" s="1" t="s">
        <v>45</v>
      </c>
    </row>
    <row r="133" spans="1:18" ht="15.75" customHeight="1">
      <c r="A133" s="1">
        <v>39.040720000299999</v>
      </c>
      <c r="B133" s="1">
        <v>-87.174044999900005</v>
      </c>
      <c r="C133" s="1" t="s">
        <v>372</v>
      </c>
      <c r="D133" s="1" t="s">
        <v>39</v>
      </c>
      <c r="E133" s="1">
        <v>47441</v>
      </c>
      <c r="F133" s="1" t="s">
        <v>20</v>
      </c>
      <c r="G133" s="1" t="s">
        <v>40</v>
      </c>
      <c r="H133" s="1" t="s">
        <v>41</v>
      </c>
      <c r="I133" s="1" t="s">
        <v>23</v>
      </c>
      <c r="J133" s="1">
        <v>151</v>
      </c>
      <c r="K133" s="1">
        <v>1023.54545454545</v>
      </c>
      <c r="L133" s="1" t="s">
        <v>302</v>
      </c>
      <c r="M133" s="1" t="s">
        <v>373</v>
      </c>
      <c r="N133" s="4">
        <v>45300</v>
      </c>
      <c r="O133" s="4">
        <v>37093.287272727197</v>
      </c>
      <c r="P133" s="3">
        <v>3.51</v>
      </c>
      <c r="Q133" s="3">
        <v>25.928207803636301</v>
      </c>
      <c r="R133" s="1" t="s">
        <v>45</v>
      </c>
    </row>
    <row r="134" spans="1:18" ht="15.75" customHeight="1">
      <c r="A134" s="1">
        <v>38.657059999600001</v>
      </c>
      <c r="B134" s="1">
        <v>-87.180318999600004</v>
      </c>
      <c r="C134" s="1" t="s">
        <v>374</v>
      </c>
      <c r="D134" s="1" t="s">
        <v>27</v>
      </c>
      <c r="E134" s="1">
        <v>47501</v>
      </c>
      <c r="F134" s="1" t="s">
        <v>20</v>
      </c>
      <c r="G134" s="1" t="s">
        <v>28</v>
      </c>
      <c r="H134" s="1" t="s">
        <v>29</v>
      </c>
      <c r="I134" s="1" t="s">
        <v>23</v>
      </c>
      <c r="J134" s="1">
        <v>118</v>
      </c>
      <c r="K134" s="1">
        <v>1300.72727272727</v>
      </c>
      <c r="L134" s="1" t="s">
        <v>330</v>
      </c>
      <c r="M134" s="1" t="s">
        <v>375</v>
      </c>
      <c r="N134" s="4">
        <v>35400</v>
      </c>
      <c r="O134" s="4">
        <v>36836.596363636301</v>
      </c>
      <c r="P134" s="3">
        <v>3.49</v>
      </c>
      <c r="Q134" s="3">
        <v>25.748780858181799</v>
      </c>
      <c r="R134" s="5" t="s">
        <v>376</v>
      </c>
    </row>
    <row r="135" spans="1:18" ht="15.75" customHeight="1">
      <c r="A135" s="1">
        <v>38.295818999799998</v>
      </c>
      <c r="B135" s="1">
        <v>-86.948828000600002</v>
      </c>
      <c r="C135" s="1" t="s">
        <v>81</v>
      </c>
      <c r="D135" s="1" t="s">
        <v>19</v>
      </c>
      <c r="E135" s="1">
        <v>47542</v>
      </c>
      <c r="F135" s="1" t="s">
        <v>20</v>
      </c>
      <c r="G135" s="1" t="s">
        <v>21</v>
      </c>
      <c r="H135" s="1" t="s">
        <v>22</v>
      </c>
      <c r="I135" s="1" t="s">
        <v>23</v>
      </c>
      <c r="J135" s="1">
        <v>127</v>
      </c>
      <c r="K135" s="1">
        <v>1210.27272727272</v>
      </c>
      <c r="L135" s="1" t="s">
        <v>199</v>
      </c>
      <c r="M135" s="1" t="s">
        <v>377</v>
      </c>
      <c r="N135" s="4">
        <v>38100</v>
      </c>
      <c r="O135" s="4">
        <v>36889.112727272703</v>
      </c>
      <c r="P135" s="3">
        <v>3.49</v>
      </c>
      <c r="Q135" s="3">
        <v>25.785489796363599</v>
      </c>
      <c r="R135" s="1" t="s">
        <v>199</v>
      </c>
    </row>
    <row r="136" spans="1:18" ht="15.75" customHeight="1">
      <c r="A136" s="2">
        <v>38.304473939597997</v>
      </c>
      <c r="B136" s="2">
        <v>-86.949211867771595</v>
      </c>
      <c r="C136" s="1" t="s">
        <v>337</v>
      </c>
      <c r="D136" s="1" t="s">
        <v>19</v>
      </c>
      <c r="E136" s="1">
        <v>47542</v>
      </c>
      <c r="F136" s="1" t="s">
        <v>20</v>
      </c>
      <c r="G136" s="1" t="s">
        <v>21</v>
      </c>
      <c r="H136" s="1" t="s">
        <v>22</v>
      </c>
      <c r="I136" s="1" t="s">
        <v>23</v>
      </c>
      <c r="J136" s="3">
        <v>100.5</v>
      </c>
      <c r="K136" s="1">
        <v>1232</v>
      </c>
      <c r="L136" s="1" t="s">
        <v>338</v>
      </c>
      <c r="M136" s="1" t="s">
        <v>339</v>
      </c>
      <c r="N136" s="4">
        <v>30150</v>
      </c>
      <c r="O136" s="4">
        <v>36511.65</v>
      </c>
      <c r="P136" s="3">
        <v>3.4555792163543444</v>
      </c>
      <c r="Q136" s="4">
        <f>O136*0.000699</f>
        <v>25.521643350000002</v>
      </c>
      <c r="R136" s="1" t="s">
        <v>338</v>
      </c>
    </row>
    <row r="137" spans="1:18" ht="15.75" customHeight="1">
      <c r="A137" s="1">
        <v>38.660619999600002</v>
      </c>
      <c r="B137" s="1">
        <v>-87.171853000499993</v>
      </c>
      <c r="C137" s="1" t="s">
        <v>378</v>
      </c>
      <c r="D137" s="1" t="s">
        <v>27</v>
      </c>
      <c r="E137" s="1">
        <v>47501</v>
      </c>
      <c r="F137" s="1" t="s">
        <v>20</v>
      </c>
      <c r="G137" s="1" t="s">
        <v>28</v>
      </c>
      <c r="H137" s="1" t="s">
        <v>29</v>
      </c>
      <c r="I137" s="1" t="s">
        <v>23</v>
      </c>
      <c r="J137" s="1">
        <v>135</v>
      </c>
      <c r="K137" s="1">
        <v>1126.6363636363601</v>
      </c>
      <c r="L137" s="1" t="s">
        <v>379</v>
      </c>
      <c r="M137" s="1" t="s">
        <v>380</v>
      </c>
      <c r="N137" s="4">
        <v>40500</v>
      </c>
      <c r="O137" s="4">
        <v>36503.018181818101</v>
      </c>
      <c r="P137" s="3">
        <v>3.45</v>
      </c>
      <c r="Q137" s="3">
        <v>25.515609709090899</v>
      </c>
      <c r="R137" s="1" t="s">
        <v>379</v>
      </c>
    </row>
    <row r="138" spans="1:18" ht="15.75" customHeight="1">
      <c r="A138" s="2">
        <v>38.305142160161999</v>
      </c>
      <c r="B138" s="2">
        <v>-86.950221029714996</v>
      </c>
      <c r="C138" s="1" t="s">
        <v>337</v>
      </c>
      <c r="D138" s="1" t="s">
        <v>19</v>
      </c>
      <c r="E138" s="1">
        <v>47542</v>
      </c>
      <c r="F138" s="1" t="s">
        <v>20</v>
      </c>
      <c r="G138" s="1" t="s">
        <v>21</v>
      </c>
      <c r="H138" s="1" t="s">
        <v>22</v>
      </c>
      <c r="I138" s="1" t="s">
        <v>23</v>
      </c>
      <c r="J138" s="3">
        <v>98.785714285714292</v>
      </c>
      <c r="K138" s="1">
        <v>1232</v>
      </c>
      <c r="L138" s="1" t="s">
        <v>338</v>
      </c>
      <c r="M138" s="1" t="s">
        <v>339</v>
      </c>
      <c r="N138" s="4">
        <v>29635.714285714286</v>
      </c>
      <c r="O138" s="4">
        <v>35888.85</v>
      </c>
      <c r="P138" s="3">
        <v>3.3966354344122656</v>
      </c>
      <c r="Q138" s="4">
        <f>O138*0.000699</f>
        <v>25.086306149999999</v>
      </c>
      <c r="R138" s="1" t="s">
        <v>338</v>
      </c>
    </row>
    <row r="139" spans="1:18" ht="15.75" customHeight="1">
      <c r="A139" s="1">
        <v>38.668402999900003</v>
      </c>
      <c r="B139" s="1">
        <v>-87.167321999799995</v>
      </c>
      <c r="C139" s="1" t="s">
        <v>381</v>
      </c>
      <c r="D139" s="1" t="s">
        <v>27</v>
      </c>
      <c r="E139" s="1">
        <v>47501</v>
      </c>
      <c r="F139" s="1" t="s">
        <v>20</v>
      </c>
      <c r="G139" s="1" t="s">
        <v>28</v>
      </c>
      <c r="H139" s="1" t="s">
        <v>29</v>
      </c>
      <c r="I139" s="1" t="s">
        <v>23</v>
      </c>
      <c r="J139" s="1">
        <v>138</v>
      </c>
      <c r="K139" s="1">
        <v>1074.9090909090901</v>
      </c>
      <c r="L139" s="1" t="s">
        <v>382</v>
      </c>
      <c r="M139" s="1" t="s">
        <v>383</v>
      </c>
      <c r="N139" s="4">
        <v>41400</v>
      </c>
      <c r="O139" s="4">
        <v>35600.989090909097</v>
      </c>
      <c r="P139" s="3">
        <v>3.37</v>
      </c>
      <c r="Q139" s="3">
        <v>24.8850913745454</v>
      </c>
      <c r="R139" s="1" t="s">
        <v>384</v>
      </c>
    </row>
    <row r="140" spans="1:18" ht="15.75" customHeight="1">
      <c r="A140" s="2">
        <v>38.305364760374701</v>
      </c>
      <c r="B140" s="2">
        <v>-86.949376173985101</v>
      </c>
      <c r="C140" s="1" t="s">
        <v>337</v>
      </c>
      <c r="D140" s="1" t="s">
        <v>19</v>
      </c>
      <c r="E140" s="1">
        <v>47542</v>
      </c>
      <c r="F140" s="1" t="s">
        <v>20</v>
      </c>
      <c r="G140" s="1" t="s">
        <v>21</v>
      </c>
      <c r="H140" s="1" t="s">
        <v>22</v>
      </c>
      <c r="I140" s="1" t="s">
        <v>23</v>
      </c>
      <c r="J140" s="3">
        <v>97.671428571428578</v>
      </c>
      <c r="K140" s="1">
        <v>1232</v>
      </c>
      <c r="L140" s="1" t="s">
        <v>338</v>
      </c>
      <c r="M140" s="1" t="s">
        <v>339</v>
      </c>
      <c r="N140" s="4">
        <v>29301.428571428572</v>
      </c>
      <c r="O140" s="4">
        <v>35484.03</v>
      </c>
      <c r="P140" s="3">
        <v>3.3583219761499148</v>
      </c>
      <c r="Q140" s="4">
        <f>O140*0.000699</f>
        <v>24.803336969999997</v>
      </c>
      <c r="R140" s="1" t="s">
        <v>338</v>
      </c>
    </row>
    <row r="141" spans="1:18" ht="15.75" customHeight="1">
      <c r="A141" s="1">
        <v>38.659948999699999</v>
      </c>
      <c r="B141" s="1">
        <v>-87.174241000400002</v>
      </c>
      <c r="C141" s="1" t="s">
        <v>385</v>
      </c>
      <c r="D141" s="1" t="s">
        <v>27</v>
      </c>
      <c r="E141" s="1">
        <v>47501</v>
      </c>
      <c r="F141" s="1" t="s">
        <v>20</v>
      </c>
      <c r="G141" s="1" t="s">
        <v>28</v>
      </c>
      <c r="H141" s="1" t="s">
        <v>29</v>
      </c>
      <c r="I141" s="1" t="s">
        <v>23</v>
      </c>
      <c r="J141" s="1">
        <v>113</v>
      </c>
      <c r="K141" s="1">
        <v>1279.3636363636299</v>
      </c>
      <c r="L141" s="1" t="s">
        <v>123</v>
      </c>
      <c r="M141" s="1" t="s">
        <v>386</v>
      </c>
      <c r="N141" s="4">
        <v>33900</v>
      </c>
      <c r="O141" s="4">
        <v>34696.341818181798</v>
      </c>
      <c r="P141" s="3">
        <v>3.28</v>
      </c>
      <c r="Q141" s="3">
        <v>24.252742930909001</v>
      </c>
      <c r="R141" s="1" t="s">
        <v>123</v>
      </c>
    </row>
    <row r="142" spans="1:18" ht="15.75" customHeight="1">
      <c r="A142" s="1">
        <v>38.658706999800003</v>
      </c>
      <c r="B142" s="1">
        <v>-87.195664000500003</v>
      </c>
      <c r="C142" s="1" t="s">
        <v>387</v>
      </c>
      <c r="D142" s="1" t="s">
        <v>27</v>
      </c>
      <c r="E142" s="1">
        <v>47501</v>
      </c>
      <c r="F142" s="1" t="s">
        <v>20</v>
      </c>
      <c r="G142" s="1" t="s">
        <v>28</v>
      </c>
      <c r="H142" s="1" t="s">
        <v>29</v>
      </c>
      <c r="I142" s="1" t="s">
        <v>23</v>
      </c>
      <c r="J142" s="1">
        <v>111</v>
      </c>
      <c r="K142" s="1">
        <v>1271.54545454545</v>
      </c>
      <c r="L142" s="1" t="s">
        <v>234</v>
      </c>
      <c r="M142" s="1" t="s">
        <v>388</v>
      </c>
      <c r="N142" s="4">
        <v>33300</v>
      </c>
      <c r="O142" s="4">
        <v>33873.970909090902</v>
      </c>
      <c r="P142" s="3">
        <v>3.21</v>
      </c>
      <c r="Q142" s="3">
        <v>23.677905665454499</v>
      </c>
      <c r="R142" s="5" t="s">
        <v>389</v>
      </c>
    </row>
    <row r="143" spans="1:18" ht="15.75" customHeight="1">
      <c r="A143" s="1">
        <v>38.288402999900001</v>
      </c>
      <c r="B143" s="1">
        <v>-86.9576400001</v>
      </c>
      <c r="C143" s="1" t="s">
        <v>390</v>
      </c>
      <c r="D143" s="1" t="s">
        <v>19</v>
      </c>
      <c r="E143" s="1">
        <v>47542</v>
      </c>
      <c r="F143" s="1" t="s">
        <v>20</v>
      </c>
      <c r="G143" s="1" t="s">
        <v>21</v>
      </c>
      <c r="H143" s="1" t="s">
        <v>22</v>
      </c>
      <c r="I143" s="1" t="s">
        <v>23</v>
      </c>
      <c r="J143" s="1">
        <v>113</v>
      </c>
      <c r="K143" s="1">
        <v>1218.8181818181799</v>
      </c>
      <c r="L143" s="1" t="s">
        <v>391</v>
      </c>
      <c r="M143" s="1" t="s">
        <v>392</v>
      </c>
      <c r="N143" s="4">
        <v>33900</v>
      </c>
      <c r="O143" s="4">
        <v>33054.349090909003</v>
      </c>
      <c r="P143" s="3">
        <v>3.13</v>
      </c>
      <c r="Q143" s="3">
        <v>23.1049900145454</v>
      </c>
      <c r="R143" s="5" t="s">
        <v>391</v>
      </c>
    </row>
    <row r="144" spans="1:18" ht="15.75" customHeight="1">
      <c r="A144" s="1">
        <v>38.661049999799999</v>
      </c>
      <c r="B144" s="1">
        <v>-87.185242000299993</v>
      </c>
      <c r="C144" s="1" t="s">
        <v>393</v>
      </c>
      <c r="D144" s="1" t="s">
        <v>27</v>
      </c>
      <c r="E144" s="1">
        <v>47501</v>
      </c>
      <c r="F144" s="1" t="s">
        <v>20</v>
      </c>
      <c r="G144" s="1" t="s">
        <v>28</v>
      </c>
      <c r="H144" s="1" t="s">
        <v>29</v>
      </c>
      <c r="I144" s="1" t="s">
        <v>23</v>
      </c>
      <c r="J144" s="1">
        <v>110</v>
      </c>
      <c r="K144" s="1">
        <v>1242</v>
      </c>
      <c r="L144" s="1" t="s">
        <v>234</v>
      </c>
      <c r="M144" s="1" t="s">
        <v>394</v>
      </c>
      <c r="N144" s="4">
        <v>33000</v>
      </c>
      <c r="O144" s="4">
        <v>32788.800000000003</v>
      </c>
      <c r="P144" s="3">
        <v>3.1</v>
      </c>
      <c r="Q144" s="3">
        <v>22.9193712</v>
      </c>
      <c r="R144" s="1" t="s">
        <v>395</v>
      </c>
    </row>
    <row r="145" spans="1:18" ht="15.75" customHeight="1">
      <c r="A145" s="1">
        <v>39.038854999999998</v>
      </c>
      <c r="B145" s="1">
        <v>-87.1694920005</v>
      </c>
      <c r="C145" s="1" t="s">
        <v>396</v>
      </c>
      <c r="D145" s="1" t="s">
        <v>39</v>
      </c>
      <c r="E145" s="1">
        <v>47441</v>
      </c>
      <c r="F145" s="1" t="s">
        <v>20</v>
      </c>
      <c r="G145" s="1" t="s">
        <v>40</v>
      </c>
      <c r="H145" s="1" t="s">
        <v>41</v>
      </c>
      <c r="I145" s="1" t="s">
        <v>23</v>
      </c>
      <c r="J145" s="1">
        <v>113</v>
      </c>
      <c r="K145" s="1">
        <v>1195.0909090908999</v>
      </c>
      <c r="L145" s="1" t="s">
        <v>302</v>
      </c>
      <c r="M145" s="1" t="s">
        <v>397</v>
      </c>
      <c r="N145" s="4">
        <v>33900</v>
      </c>
      <c r="O145" s="4">
        <v>32410.865454545401</v>
      </c>
      <c r="P145" s="3">
        <v>3.07</v>
      </c>
      <c r="Q145" s="3">
        <v>22.6551949527272</v>
      </c>
      <c r="R145" s="1" t="s">
        <v>398</v>
      </c>
    </row>
    <row r="146" spans="1:18" ht="15.75" customHeight="1">
      <c r="A146" s="1">
        <v>39.033113000299998</v>
      </c>
      <c r="B146" s="1">
        <v>-87.1691479996</v>
      </c>
      <c r="C146" s="1" t="s">
        <v>399</v>
      </c>
      <c r="D146" s="1" t="s">
        <v>39</v>
      </c>
      <c r="E146" s="1">
        <v>47441</v>
      </c>
      <c r="F146" s="1" t="s">
        <v>20</v>
      </c>
      <c r="G146" s="1" t="s">
        <v>40</v>
      </c>
      <c r="H146" s="1" t="s">
        <v>41</v>
      </c>
      <c r="I146" s="1" t="s">
        <v>23</v>
      </c>
      <c r="J146" s="1">
        <v>114</v>
      </c>
      <c r="K146" s="1">
        <v>1182</v>
      </c>
      <c r="L146" s="1" t="s">
        <v>400</v>
      </c>
      <c r="M146" s="1" t="s">
        <v>401</v>
      </c>
      <c r="N146" s="4">
        <v>34200</v>
      </c>
      <c r="O146" s="4">
        <v>32339.52</v>
      </c>
      <c r="P146" s="3">
        <v>3.06</v>
      </c>
      <c r="Q146" s="3">
        <v>22.60532448</v>
      </c>
      <c r="R146" s="1" t="s">
        <v>398</v>
      </c>
    </row>
    <row r="147" spans="1:18" ht="15.75" customHeight="1">
      <c r="A147" s="1">
        <v>38.652065999800001</v>
      </c>
      <c r="B147" s="1">
        <v>-87.1754429999</v>
      </c>
      <c r="C147" s="1" t="s">
        <v>402</v>
      </c>
      <c r="D147" s="1" t="s">
        <v>27</v>
      </c>
      <c r="E147" s="1">
        <v>47501</v>
      </c>
      <c r="F147" s="1" t="s">
        <v>20</v>
      </c>
      <c r="G147" s="1" t="s">
        <v>28</v>
      </c>
      <c r="H147" s="1" t="s">
        <v>29</v>
      </c>
      <c r="I147" s="1" t="s">
        <v>23</v>
      </c>
      <c r="J147" s="1">
        <v>105</v>
      </c>
      <c r="K147" s="1">
        <v>1265.54545454545</v>
      </c>
      <c r="L147" s="1" t="s">
        <v>403</v>
      </c>
      <c r="M147" s="1" t="s">
        <v>404</v>
      </c>
      <c r="N147" s="4">
        <v>31500</v>
      </c>
      <c r="O147" s="4">
        <v>31891.745454545398</v>
      </c>
      <c r="P147" s="3">
        <v>3.02</v>
      </c>
      <c r="Q147" s="3">
        <v>22.2923300727272</v>
      </c>
      <c r="R147" s="5" t="s">
        <v>405</v>
      </c>
    </row>
    <row r="148" spans="1:18" ht="15.75" customHeight="1">
      <c r="A148" s="1">
        <v>39.042094000299997</v>
      </c>
      <c r="B148" s="1">
        <v>-87.1702869999</v>
      </c>
      <c r="C148" s="1" t="s">
        <v>406</v>
      </c>
      <c r="D148" s="1" t="s">
        <v>39</v>
      </c>
      <c r="E148" s="1">
        <v>47441</v>
      </c>
      <c r="F148" s="1" t="s">
        <v>20</v>
      </c>
      <c r="G148" s="1" t="s">
        <v>40</v>
      </c>
      <c r="H148" s="1" t="s">
        <v>41</v>
      </c>
      <c r="I148" s="1" t="s">
        <v>23</v>
      </c>
      <c r="J148" s="1">
        <v>115</v>
      </c>
      <c r="K148" s="1">
        <v>1145.9090909090901</v>
      </c>
      <c r="L148" s="1" t="s">
        <v>407</v>
      </c>
      <c r="M148" s="1" t="s">
        <v>408</v>
      </c>
      <c r="N148" s="4">
        <v>34500</v>
      </c>
      <c r="O148" s="4">
        <v>31627.090909090901</v>
      </c>
      <c r="P148" s="3">
        <v>2.99</v>
      </c>
      <c r="Q148" s="3">
        <v>22.107336545454501</v>
      </c>
      <c r="R148" s="1" t="s">
        <v>398</v>
      </c>
    </row>
    <row r="149" spans="1:18" ht="15.75" customHeight="1">
      <c r="A149" s="1">
        <v>38.656757999900002</v>
      </c>
      <c r="B149" s="1">
        <v>-87.173204000300004</v>
      </c>
      <c r="C149" s="1" t="s">
        <v>409</v>
      </c>
      <c r="D149" s="1" t="s">
        <v>27</v>
      </c>
      <c r="E149" s="1">
        <v>47501</v>
      </c>
      <c r="F149" s="1" t="s">
        <v>20</v>
      </c>
      <c r="G149" s="1" t="s">
        <v>28</v>
      </c>
      <c r="H149" s="1" t="s">
        <v>29</v>
      </c>
      <c r="I149" s="1" t="s">
        <v>23</v>
      </c>
      <c r="J149" s="1">
        <v>111</v>
      </c>
      <c r="K149" s="1">
        <v>1186.54545454545</v>
      </c>
      <c r="L149" s="1" t="s">
        <v>410</v>
      </c>
      <c r="M149" s="1" t="s">
        <v>411</v>
      </c>
      <c r="N149" s="4">
        <v>33300</v>
      </c>
      <c r="O149" s="4">
        <v>31609.5709090909</v>
      </c>
      <c r="P149" s="3">
        <v>2.99</v>
      </c>
      <c r="Q149" s="3">
        <v>22.095090065454499</v>
      </c>
      <c r="R149" s="5" t="s">
        <v>412</v>
      </c>
    </row>
    <row r="150" spans="1:18" ht="15.75" customHeight="1">
      <c r="A150" s="1">
        <v>38.657001999899997</v>
      </c>
      <c r="B150" s="1">
        <v>-87.185417999500004</v>
      </c>
      <c r="C150" s="1" t="s">
        <v>413</v>
      </c>
      <c r="D150" s="1" t="s">
        <v>27</v>
      </c>
      <c r="E150" s="1">
        <v>47501</v>
      </c>
      <c r="F150" s="1" t="s">
        <v>20</v>
      </c>
      <c r="G150" s="1" t="s">
        <v>28</v>
      </c>
      <c r="H150" s="1" t="s">
        <v>29</v>
      </c>
      <c r="I150" s="1" t="s">
        <v>23</v>
      </c>
      <c r="J150" s="1">
        <v>104</v>
      </c>
      <c r="K150" s="1">
        <v>1196.9090909090901</v>
      </c>
      <c r="L150" s="1" t="s">
        <v>414</v>
      </c>
      <c r="M150" s="1" t="s">
        <v>415</v>
      </c>
      <c r="N150" s="4">
        <v>31200</v>
      </c>
      <c r="O150" s="4">
        <v>29874.850909090899</v>
      </c>
      <c r="P150" s="3">
        <v>2.83</v>
      </c>
      <c r="Q150" s="3">
        <v>20.882520785454499</v>
      </c>
      <c r="R150" s="1" t="s">
        <v>414</v>
      </c>
    </row>
    <row r="151" spans="1:18" ht="15.75" customHeight="1">
      <c r="A151" s="1">
        <v>39.040910999600001</v>
      </c>
      <c r="B151" s="1">
        <v>-87.171322000299995</v>
      </c>
      <c r="C151" s="1" t="s">
        <v>416</v>
      </c>
      <c r="D151" s="1" t="s">
        <v>39</v>
      </c>
      <c r="E151" s="1">
        <v>47441</v>
      </c>
      <c r="F151" s="1" t="s">
        <v>20</v>
      </c>
      <c r="G151" s="1" t="s">
        <v>40</v>
      </c>
      <c r="H151" s="1" t="s">
        <v>41</v>
      </c>
      <c r="I151" s="1" t="s">
        <v>23</v>
      </c>
      <c r="J151" s="1">
        <v>108</v>
      </c>
      <c r="K151" s="1">
        <v>1129</v>
      </c>
      <c r="L151" s="1" t="s">
        <v>187</v>
      </c>
      <c r="M151" s="1" t="s">
        <v>417</v>
      </c>
      <c r="N151" s="4">
        <v>32400</v>
      </c>
      <c r="O151" s="4">
        <v>29263.68</v>
      </c>
      <c r="P151" s="3">
        <v>2.77</v>
      </c>
      <c r="Q151" s="3">
        <v>20.455312320000001</v>
      </c>
      <c r="R151" s="1" t="s">
        <v>45</v>
      </c>
    </row>
    <row r="152" spans="1:18" ht="15.75" customHeight="1">
      <c r="A152" s="2">
        <v>38.305171869034503</v>
      </c>
      <c r="B152" s="2">
        <v>-86.949334777140095</v>
      </c>
      <c r="C152" s="1" t="s">
        <v>337</v>
      </c>
      <c r="D152" s="1" t="s">
        <v>19</v>
      </c>
      <c r="E152" s="1">
        <v>47542</v>
      </c>
      <c r="F152" s="1" t="s">
        <v>20</v>
      </c>
      <c r="G152" s="1" t="s">
        <v>21</v>
      </c>
      <c r="H152" s="1" t="s">
        <v>22</v>
      </c>
      <c r="I152" s="1" t="s">
        <v>23</v>
      </c>
      <c r="J152" s="3">
        <v>78.728571428571428</v>
      </c>
      <c r="K152" s="1">
        <v>1232</v>
      </c>
      <c r="L152" s="1" t="s">
        <v>338</v>
      </c>
      <c r="M152" s="1" t="s">
        <v>339</v>
      </c>
      <c r="N152" s="4">
        <v>23618.571428571428</v>
      </c>
      <c r="O152" s="4">
        <v>28602.09</v>
      </c>
      <c r="P152" s="3">
        <v>2.706993185689949</v>
      </c>
      <c r="Q152" s="4">
        <f>O152*0.000699</f>
        <v>19.992860909999997</v>
      </c>
      <c r="R152" s="1" t="s">
        <v>338</v>
      </c>
    </row>
    <row r="153" spans="1:18" ht="15.75" customHeight="1">
      <c r="A153" s="1">
        <v>38.657034999700002</v>
      </c>
      <c r="B153" s="1">
        <v>-87.179931000400003</v>
      </c>
      <c r="C153" s="1" t="s">
        <v>418</v>
      </c>
      <c r="D153" s="1" t="s">
        <v>27</v>
      </c>
      <c r="E153" s="1">
        <v>47501</v>
      </c>
      <c r="F153" s="1" t="s">
        <v>20</v>
      </c>
      <c r="G153" s="1" t="s">
        <v>28</v>
      </c>
      <c r="H153" s="1" t="s">
        <v>29</v>
      </c>
      <c r="I153" s="1" t="s">
        <v>23</v>
      </c>
      <c r="J153" s="1">
        <v>92</v>
      </c>
      <c r="K153" s="1">
        <v>1273.3636363636299</v>
      </c>
      <c r="L153" s="1" t="s">
        <v>287</v>
      </c>
      <c r="M153" s="1" t="s">
        <v>419</v>
      </c>
      <c r="N153" s="4">
        <v>27600</v>
      </c>
      <c r="O153" s="4">
        <v>28115.869090909098</v>
      </c>
      <c r="P153" s="3">
        <v>2.66</v>
      </c>
      <c r="Q153" s="3">
        <v>19.652992494545401</v>
      </c>
      <c r="R153" s="1" t="s">
        <v>287</v>
      </c>
    </row>
    <row r="154" spans="1:18" ht="15.75" customHeight="1">
      <c r="A154" s="1">
        <v>38.656789999899999</v>
      </c>
      <c r="B154" s="1">
        <v>-87.167028999699994</v>
      </c>
      <c r="C154" s="1" t="s">
        <v>420</v>
      </c>
      <c r="D154" s="1" t="s">
        <v>27</v>
      </c>
      <c r="E154" s="1">
        <v>47501</v>
      </c>
      <c r="F154" s="1" t="s">
        <v>20</v>
      </c>
      <c r="G154" s="1" t="s">
        <v>28</v>
      </c>
      <c r="H154" s="1" t="s">
        <v>29</v>
      </c>
      <c r="I154" s="1" t="s">
        <v>23</v>
      </c>
      <c r="J154" s="1">
        <v>96</v>
      </c>
      <c r="K154" s="1">
        <v>1186.54545454545</v>
      </c>
      <c r="L154" s="1" t="s">
        <v>421</v>
      </c>
      <c r="M154" s="1" t="s">
        <v>422</v>
      </c>
      <c r="N154" s="4">
        <v>28800</v>
      </c>
      <c r="O154" s="4">
        <v>27338.007272727202</v>
      </c>
      <c r="P154" s="3">
        <v>2.59</v>
      </c>
      <c r="Q154" s="3">
        <v>19.109267083636301</v>
      </c>
      <c r="R154" s="5" t="s">
        <v>423</v>
      </c>
    </row>
    <row r="155" spans="1:18" ht="15.75" customHeight="1">
      <c r="A155" s="1">
        <v>39.033766999800001</v>
      </c>
      <c r="B155" s="1">
        <v>-87.180832000199999</v>
      </c>
      <c r="C155" s="1" t="s">
        <v>424</v>
      </c>
      <c r="D155" s="1" t="s">
        <v>39</v>
      </c>
      <c r="E155" s="1">
        <v>47441</v>
      </c>
      <c r="F155" s="1" t="s">
        <v>20</v>
      </c>
      <c r="G155" s="1" t="s">
        <v>40</v>
      </c>
      <c r="H155" s="1" t="s">
        <v>41</v>
      </c>
      <c r="I155" s="1" t="s">
        <v>23</v>
      </c>
      <c r="J155" s="1">
        <v>93</v>
      </c>
      <c r="K155" s="1">
        <v>1199</v>
      </c>
      <c r="L155" s="1" t="s">
        <v>425</v>
      </c>
      <c r="M155" s="1" t="s">
        <v>426</v>
      </c>
      <c r="N155" s="4">
        <v>27900</v>
      </c>
      <c r="O155" s="4">
        <v>26761.68</v>
      </c>
      <c r="P155" s="3">
        <v>2.5299999999999998</v>
      </c>
      <c r="Q155" s="3">
        <v>18.70641432</v>
      </c>
      <c r="R155" s="1" t="s">
        <v>427</v>
      </c>
    </row>
    <row r="156" spans="1:18" ht="15.75" customHeight="1">
      <c r="A156" s="1">
        <v>39.033469999799998</v>
      </c>
      <c r="B156" s="1">
        <v>-87.180971000200003</v>
      </c>
      <c r="C156" s="1" t="s">
        <v>428</v>
      </c>
      <c r="D156" s="1" t="s">
        <v>39</v>
      </c>
      <c r="E156" s="1">
        <v>47441</v>
      </c>
      <c r="F156" s="1" t="s">
        <v>20</v>
      </c>
      <c r="G156" s="1" t="s">
        <v>40</v>
      </c>
      <c r="H156" s="1" t="s">
        <v>41</v>
      </c>
      <c r="I156" s="1" t="s">
        <v>23</v>
      </c>
      <c r="J156" s="1">
        <v>94</v>
      </c>
      <c r="K156" s="1">
        <v>1100.3636363636299</v>
      </c>
      <c r="L156" s="1" t="s">
        <v>425</v>
      </c>
      <c r="M156" s="1" t="s">
        <v>429</v>
      </c>
      <c r="N156" s="4">
        <v>28200</v>
      </c>
      <c r="O156" s="4">
        <v>24824.2036363636</v>
      </c>
      <c r="P156" s="3">
        <v>2.35</v>
      </c>
      <c r="Q156" s="3">
        <v>17.352118341818102</v>
      </c>
      <c r="R156" s="1" t="s">
        <v>427</v>
      </c>
    </row>
    <row r="157" spans="1:18" ht="15.75" customHeight="1">
      <c r="A157" s="1">
        <v>39.041507999799997</v>
      </c>
      <c r="B157" s="1">
        <v>-87.172584999600005</v>
      </c>
      <c r="C157" s="1" t="s">
        <v>430</v>
      </c>
      <c r="D157" s="1" t="s">
        <v>39</v>
      </c>
      <c r="E157" s="1">
        <v>47441</v>
      </c>
      <c r="F157" s="1" t="s">
        <v>20</v>
      </c>
      <c r="G157" s="1" t="s">
        <v>40</v>
      </c>
      <c r="H157" s="1" t="s">
        <v>41</v>
      </c>
      <c r="I157" s="1" t="s">
        <v>23</v>
      </c>
      <c r="J157" s="1">
        <v>95</v>
      </c>
      <c r="K157" s="1">
        <v>1085.0909090908999</v>
      </c>
      <c r="L157" s="1" t="s">
        <v>45</v>
      </c>
      <c r="M157" s="1" t="s">
        <v>431</v>
      </c>
      <c r="N157" s="4">
        <v>28500</v>
      </c>
      <c r="O157" s="4">
        <v>24740.072727272702</v>
      </c>
      <c r="P157" s="3">
        <v>2.34</v>
      </c>
      <c r="Q157" s="3">
        <v>17.293310836363599</v>
      </c>
      <c r="R157" s="1" t="s">
        <v>45</v>
      </c>
    </row>
    <row r="158" spans="1:18" ht="15.75" customHeight="1">
      <c r="A158" s="1">
        <v>39.041503000200002</v>
      </c>
      <c r="B158" s="1">
        <v>-87.172760999499999</v>
      </c>
      <c r="C158" s="1" t="s">
        <v>432</v>
      </c>
      <c r="D158" s="1" t="s">
        <v>39</v>
      </c>
      <c r="E158" s="1">
        <v>47441</v>
      </c>
      <c r="F158" s="1" t="s">
        <v>20</v>
      </c>
      <c r="G158" s="1" t="s">
        <v>40</v>
      </c>
      <c r="H158" s="1" t="s">
        <v>41</v>
      </c>
      <c r="I158" s="1" t="s">
        <v>23</v>
      </c>
      <c r="J158" s="1">
        <v>95</v>
      </c>
      <c r="K158" s="1">
        <v>1085.0909090908999</v>
      </c>
      <c r="L158" s="1" t="s">
        <v>45</v>
      </c>
      <c r="M158" s="1" t="s">
        <v>433</v>
      </c>
      <c r="N158" s="4">
        <v>28500</v>
      </c>
      <c r="O158" s="4">
        <v>24740.072727272702</v>
      </c>
      <c r="P158" s="3">
        <v>2.34</v>
      </c>
      <c r="Q158" s="3">
        <v>17.293310836363599</v>
      </c>
      <c r="R158" s="1" t="s">
        <v>45</v>
      </c>
    </row>
    <row r="159" spans="1:18" ht="15.75" customHeight="1">
      <c r="A159" s="1">
        <v>39.043450000500002</v>
      </c>
      <c r="B159" s="1">
        <v>-87.171352000499994</v>
      </c>
      <c r="C159" s="1" t="s">
        <v>434</v>
      </c>
      <c r="D159" s="1" t="s">
        <v>39</v>
      </c>
      <c r="E159" s="1">
        <v>47441</v>
      </c>
      <c r="F159" s="1" t="s">
        <v>20</v>
      </c>
      <c r="G159" s="1" t="s">
        <v>40</v>
      </c>
      <c r="H159" s="1" t="s">
        <v>41</v>
      </c>
      <c r="I159" s="1" t="s">
        <v>23</v>
      </c>
      <c r="J159" s="1">
        <v>85</v>
      </c>
      <c r="K159" s="1">
        <v>1204.72727272727</v>
      </c>
      <c r="L159" s="1" t="s">
        <v>302</v>
      </c>
      <c r="M159" s="1" t="s">
        <v>435</v>
      </c>
      <c r="N159" s="4">
        <v>25500</v>
      </c>
      <c r="O159" s="4">
        <v>24576.436363636301</v>
      </c>
      <c r="P159" s="3">
        <v>2.33</v>
      </c>
      <c r="Q159" s="3">
        <v>17.178929018181801</v>
      </c>
      <c r="R159" s="1" t="s">
        <v>45</v>
      </c>
    </row>
    <row r="160" spans="1:18" ht="15.75" customHeight="1">
      <c r="A160" s="1">
        <v>38.659762999900003</v>
      </c>
      <c r="B160" s="1">
        <v>-87.205137000099995</v>
      </c>
      <c r="C160" s="1" t="s">
        <v>436</v>
      </c>
      <c r="D160" s="1" t="s">
        <v>27</v>
      </c>
      <c r="E160" s="1">
        <v>47501</v>
      </c>
      <c r="F160" s="1" t="s">
        <v>20</v>
      </c>
      <c r="G160" s="1" t="s">
        <v>28</v>
      </c>
      <c r="H160" s="1" t="s">
        <v>29</v>
      </c>
      <c r="I160" s="1" t="s">
        <v>23</v>
      </c>
      <c r="J160" s="1">
        <v>88</v>
      </c>
      <c r="K160" s="1">
        <v>1138.54545454545</v>
      </c>
      <c r="L160" s="1" t="s">
        <v>234</v>
      </c>
      <c r="M160" s="1" t="s">
        <v>437</v>
      </c>
      <c r="N160" s="4">
        <v>26400</v>
      </c>
      <c r="O160" s="4">
        <v>24046.080000000002</v>
      </c>
      <c r="P160" s="3">
        <v>2.2799999999999998</v>
      </c>
      <c r="Q160" s="3">
        <v>16.808209919999999</v>
      </c>
      <c r="R160" s="1" t="s">
        <v>332</v>
      </c>
    </row>
    <row r="161" spans="1:18" ht="15.75" customHeight="1">
      <c r="A161" s="1">
        <v>38.295247999799997</v>
      </c>
      <c r="B161" s="1">
        <v>-86.953990999599995</v>
      </c>
      <c r="C161" s="1" t="s">
        <v>438</v>
      </c>
      <c r="D161" s="1" t="s">
        <v>19</v>
      </c>
      <c r="E161" s="1">
        <v>47542</v>
      </c>
      <c r="F161" s="1" t="s">
        <v>20</v>
      </c>
      <c r="G161" s="1" t="s">
        <v>21</v>
      </c>
      <c r="H161" s="1" t="s">
        <v>22</v>
      </c>
      <c r="I161" s="1" t="s">
        <v>23</v>
      </c>
      <c r="J161" s="1">
        <v>84</v>
      </c>
      <c r="K161" s="1">
        <v>1192.1818181818101</v>
      </c>
      <c r="L161" s="1" t="s">
        <v>228</v>
      </c>
      <c r="M161" s="1" t="s">
        <v>439</v>
      </c>
      <c r="N161" s="4">
        <v>25200</v>
      </c>
      <c r="O161" s="4">
        <v>24034.385454545401</v>
      </c>
      <c r="P161" s="3">
        <v>2.27</v>
      </c>
      <c r="Q161" s="3">
        <v>16.800035432727199</v>
      </c>
      <c r="R161" s="1" t="s">
        <v>228</v>
      </c>
    </row>
    <row r="162" spans="1:18" ht="15.75" customHeight="1">
      <c r="A162" s="1">
        <v>39.042657999600003</v>
      </c>
      <c r="B162" s="1">
        <v>-87.171313999899994</v>
      </c>
      <c r="C162" s="1" t="s">
        <v>440</v>
      </c>
      <c r="D162" s="1" t="s">
        <v>39</v>
      </c>
      <c r="E162" s="1">
        <v>47441</v>
      </c>
      <c r="F162" s="1" t="s">
        <v>20</v>
      </c>
      <c r="G162" s="1" t="s">
        <v>40</v>
      </c>
      <c r="H162" s="1" t="s">
        <v>41</v>
      </c>
      <c r="I162" s="1" t="s">
        <v>23</v>
      </c>
      <c r="J162" s="1">
        <v>76</v>
      </c>
      <c r="K162" s="1">
        <v>1290.8181818181799</v>
      </c>
      <c r="L162" s="1" t="s">
        <v>302</v>
      </c>
      <c r="M162" s="1" t="s">
        <v>441</v>
      </c>
      <c r="N162" s="4">
        <v>22800</v>
      </c>
      <c r="O162" s="4">
        <v>23544.5236363636</v>
      </c>
      <c r="P162" s="3">
        <v>2.23</v>
      </c>
      <c r="Q162" s="3">
        <v>16.4576220218181</v>
      </c>
      <c r="R162" s="1" t="s">
        <v>45</v>
      </c>
    </row>
    <row r="163" spans="1:18" ht="15.75" customHeight="1">
      <c r="A163" s="1">
        <v>38.296324999900001</v>
      </c>
      <c r="B163" s="1">
        <v>-86.958158000099999</v>
      </c>
      <c r="C163" s="1" t="s">
        <v>442</v>
      </c>
      <c r="D163" s="1" t="s">
        <v>19</v>
      </c>
      <c r="E163" s="1">
        <v>47542</v>
      </c>
      <c r="F163" s="1" t="s">
        <v>20</v>
      </c>
      <c r="G163" s="1" t="s">
        <v>21</v>
      </c>
      <c r="H163" s="1" t="s">
        <v>22</v>
      </c>
      <c r="I163" s="1" t="s">
        <v>23</v>
      </c>
      <c r="J163" s="1">
        <v>84</v>
      </c>
      <c r="K163" s="1">
        <v>1159.0909090908999</v>
      </c>
      <c r="L163" s="1" t="s">
        <v>95</v>
      </c>
      <c r="M163" s="1" t="s">
        <v>443</v>
      </c>
      <c r="N163" s="4">
        <v>25200</v>
      </c>
      <c r="O163" s="4">
        <v>23367.272727272699</v>
      </c>
      <c r="P163" s="3">
        <v>2.21</v>
      </c>
      <c r="Q163" s="3">
        <v>16.333723636363601</v>
      </c>
      <c r="R163" s="1" t="s">
        <v>95</v>
      </c>
    </row>
    <row r="164" spans="1:18" ht="15.75" customHeight="1">
      <c r="A164" s="1">
        <v>39.037452000000002</v>
      </c>
      <c r="B164" s="1">
        <v>-87.165182000499996</v>
      </c>
      <c r="C164" s="1" t="s">
        <v>444</v>
      </c>
      <c r="D164" s="1" t="s">
        <v>39</v>
      </c>
      <c r="E164" s="1">
        <v>47441</v>
      </c>
      <c r="F164" s="1" t="s">
        <v>20</v>
      </c>
      <c r="G164" s="1" t="s">
        <v>40</v>
      </c>
      <c r="H164" s="1" t="s">
        <v>41</v>
      </c>
      <c r="I164" s="1" t="s">
        <v>23</v>
      </c>
      <c r="J164" s="1">
        <v>84</v>
      </c>
      <c r="K164" s="1">
        <v>1151.6363636363601</v>
      </c>
      <c r="L164" s="1" t="s">
        <v>196</v>
      </c>
      <c r="M164" s="1" t="s">
        <v>445</v>
      </c>
      <c r="N164" s="4">
        <v>25200</v>
      </c>
      <c r="O164" s="4">
        <v>23216.989090908999</v>
      </c>
      <c r="P164" s="3">
        <v>2.2000000000000002</v>
      </c>
      <c r="Q164" s="3">
        <v>16.2286753745454</v>
      </c>
      <c r="R164" s="1" t="s">
        <v>196</v>
      </c>
    </row>
    <row r="165" spans="1:18" ht="15.75" customHeight="1">
      <c r="A165" s="1">
        <v>38.307984999699997</v>
      </c>
      <c r="B165" s="1">
        <v>-86.952559000099996</v>
      </c>
      <c r="C165" s="1" t="s">
        <v>446</v>
      </c>
      <c r="D165" s="1" t="s">
        <v>19</v>
      </c>
      <c r="E165" s="1">
        <v>47542</v>
      </c>
      <c r="F165" s="1" t="s">
        <v>20</v>
      </c>
      <c r="G165" s="1" t="s">
        <v>21</v>
      </c>
      <c r="H165" s="1" t="s">
        <v>22</v>
      </c>
      <c r="I165" s="1" t="s">
        <v>23</v>
      </c>
      <c r="J165" s="1">
        <v>73</v>
      </c>
      <c r="K165" s="1">
        <v>1254.9090909090901</v>
      </c>
      <c r="L165" s="1" t="s">
        <v>78</v>
      </c>
      <c r="M165" s="1" t="s">
        <v>447</v>
      </c>
      <c r="N165" s="4">
        <v>21900</v>
      </c>
      <c r="O165" s="4">
        <v>21986.007272727202</v>
      </c>
      <c r="P165" s="3">
        <v>2.08</v>
      </c>
      <c r="Q165" s="3">
        <v>15.3682190836363</v>
      </c>
      <c r="R165" s="5" t="s">
        <v>239</v>
      </c>
    </row>
    <row r="166" spans="1:18" ht="15.75" customHeight="1">
      <c r="A166" s="1">
        <v>39.040978999700002</v>
      </c>
      <c r="B166" s="1">
        <v>-87.172928000400006</v>
      </c>
      <c r="C166" s="1" t="s">
        <v>448</v>
      </c>
      <c r="D166" s="1" t="s">
        <v>39</v>
      </c>
      <c r="E166" s="1">
        <v>47441</v>
      </c>
      <c r="F166" s="1" t="s">
        <v>20</v>
      </c>
      <c r="G166" s="1" t="s">
        <v>40</v>
      </c>
      <c r="H166" s="1" t="s">
        <v>41</v>
      </c>
      <c r="I166" s="1" t="s">
        <v>23</v>
      </c>
      <c r="J166" s="1">
        <v>81</v>
      </c>
      <c r="K166" s="1">
        <v>1125.9090909090901</v>
      </c>
      <c r="L166" s="1" t="s">
        <v>302</v>
      </c>
      <c r="M166" s="1" t="s">
        <v>449</v>
      </c>
      <c r="N166" s="4">
        <v>24300</v>
      </c>
      <c r="O166" s="4">
        <v>21887.6727272727</v>
      </c>
      <c r="P166" s="3">
        <v>2.0699999999999998</v>
      </c>
      <c r="Q166" s="3">
        <v>15.299483236363599</v>
      </c>
      <c r="R166" s="1" t="s">
        <v>45</v>
      </c>
    </row>
    <row r="167" spans="1:18" ht="15.75" customHeight="1">
      <c r="A167" s="1">
        <v>38.309311000400001</v>
      </c>
      <c r="B167" s="1">
        <v>-86.952378000300001</v>
      </c>
      <c r="C167" s="1" t="s">
        <v>450</v>
      </c>
      <c r="D167" s="1" t="s">
        <v>19</v>
      </c>
      <c r="E167" s="1">
        <v>47542</v>
      </c>
      <c r="F167" s="1" t="s">
        <v>20</v>
      </c>
      <c r="G167" s="1" t="s">
        <v>21</v>
      </c>
      <c r="H167" s="1" t="s">
        <v>22</v>
      </c>
      <c r="I167" s="1" t="s">
        <v>23</v>
      </c>
      <c r="J167" s="1">
        <v>73</v>
      </c>
      <c r="K167" s="1">
        <v>1246.1818181818101</v>
      </c>
      <c r="L167" s="1" t="s">
        <v>78</v>
      </c>
      <c r="M167" s="1" t="s">
        <v>451</v>
      </c>
      <c r="N167" s="4">
        <v>21900</v>
      </c>
      <c r="O167" s="4">
        <v>21833.105454545399</v>
      </c>
      <c r="P167" s="3">
        <v>2.0699999999999998</v>
      </c>
      <c r="Q167" s="3">
        <v>15.2613407127272</v>
      </c>
      <c r="R167" s="5" t="s">
        <v>239</v>
      </c>
    </row>
    <row r="168" spans="1:18" ht="15.75" customHeight="1">
      <c r="A168" s="1">
        <v>39.034364999600001</v>
      </c>
      <c r="B168" s="1">
        <v>-87.177126000399994</v>
      </c>
      <c r="C168" s="1" t="s">
        <v>452</v>
      </c>
      <c r="D168" s="1" t="s">
        <v>39</v>
      </c>
      <c r="E168" s="1">
        <v>47441</v>
      </c>
      <c r="F168" s="1" t="s">
        <v>20</v>
      </c>
      <c r="G168" s="1" t="s">
        <v>40</v>
      </c>
      <c r="H168" s="1" t="s">
        <v>41</v>
      </c>
      <c r="I168" s="1" t="s">
        <v>23</v>
      </c>
      <c r="J168" s="1">
        <v>73</v>
      </c>
      <c r="K168" s="1">
        <v>1224.72727272727</v>
      </c>
      <c r="L168" s="1" t="s">
        <v>334</v>
      </c>
      <c r="M168" s="1" t="s">
        <v>453</v>
      </c>
      <c r="N168" s="4">
        <v>21900</v>
      </c>
      <c r="O168" s="4">
        <v>21457.221818181799</v>
      </c>
      <c r="P168" s="3">
        <v>2.0299999999999998</v>
      </c>
      <c r="Q168" s="3">
        <v>14.998598050908999</v>
      </c>
      <c r="R168" s="5" t="s">
        <v>454</v>
      </c>
    </row>
    <row r="169" spans="1:18" ht="15.75" customHeight="1">
      <c r="A169" s="1">
        <v>38.660357000399998</v>
      </c>
      <c r="B169" s="1">
        <v>-87.173696999699999</v>
      </c>
      <c r="C169" s="1" t="s">
        <v>455</v>
      </c>
      <c r="D169" s="1" t="s">
        <v>27</v>
      </c>
      <c r="E169" s="1">
        <v>47501</v>
      </c>
      <c r="F169" s="1" t="s">
        <v>20</v>
      </c>
      <c r="G169" s="1" t="s">
        <v>28</v>
      </c>
      <c r="H169" s="1" t="s">
        <v>29</v>
      </c>
      <c r="I169" s="1" t="s">
        <v>23</v>
      </c>
      <c r="J169" s="1">
        <v>76</v>
      </c>
      <c r="K169" s="1">
        <v>1147.54545454545</v>
      </c>
      <c r="L169" s="1" t="s">
        <v>123</v>
      </c>
      <c r="M169" s="1" t="s">
        <v>456</v>
      </c>
      <c r="N169" s="4">
        <v>22800</v>
      </c>
      <c r="O169" s="4">
        <v>20931.229090909001</v>
      </c>
      <c r="P169" s="3">
        <v>1.98</v>
      </c>
      <c r="Q169" s="3">
        <v>14.630929134545401</v>
      </c>
      <c r="R169" s="1" t="s">
        <v>123</v>
      </c>
    </row>
    <row r="170" spans="1:18" ht="15.75" customHeight="1">
      <c r="A170" s="1">
        <v>38.656766000200001</v>
      </c>
      <c r="B170" s="1">
        <v>-87.1783500003</v>
      </c>
      <c r="C170" s="1" t="s">
        <v>457</v>
      </c>
      <c r="D170" s="1" t="s">
        <v>27</v>
      </c>
      <c r="E170" s="1">
        <v>47501</v>
      </c>
      <c r="F170" s="1" t="s">
        <v>20</v>
      </c>
      <c r="G170" s="1" t="s">
        <v>28</v>
      </c>
      <c r="H170" s="1" t="s">
        <v>29</v>
      </c>
      <c r="I170" s="1" t="s">
        <v>23</v>
      </c>
      <c r="J170" s="1">
        <v>73</v>
      </c>
      <c r="K170" s="1">
        <v>1184.9090909090901</v>
      </c>
      <c r="L170" s="1" t="s">
        <v>129</v>
      </c>
      <c r="M170" s="1" t="s">
        <v>458</v>
      </c>
      <c r="N170" s="4">
        <v>21900</v>
      </c>
      <c r="O170" s="4">
        <v>20759.6072727272</v>
      </c>
      <c r="P170" s="3">
        <v>1.96</v>
      </c>
      <c r="Q170" s="3">
        <v>14.5109654836363</v>
      </c>
      <c r="R170" s="1" t="s">
        <v>129</v>
      </c>
    </row>
    <row r="171" spans="1:18" ht="15.75" customHeight="1">
      <c r="A171" s="1">
        <v>38.303725999999997</v>
      </c>
      <c r="B171" s="1">
        <v>-86.948792999999995</v>
      </c>
      <c r="C171" s="1" t="s">
        <v>459</v>
      </c>
      <c r="D171" s="1" t="s">
        <v>19</v>
      </c>
      <c r="E171" s="1">
        <v>47542</v>
      </c>
      <c r="F171" s="1" t="s">
        <v>20</v>
      </c>
      <c r="G171" s="1" t="s">
        <v>21</v>
      </c>
      <c r="H171" s="1" t="s">
        <v>22</v>
      </c>
      <c r="I171" s="1" t="s">
        <v>23</v>
      </c>
      <c r="J171" s="1">
        <v>73</v>
      </c>
      <c r="K171" s="1">
        <v>1157.6363636363601</v>
      </c>
      <c r="L171" s="1" t="s">
        <v>78</v>
      </c>
      <c r="M171" s="1" t="s">
        <v>460</v>
      </c>
      <c r="N171" s="4">
        <v>21900</v>
      </c>
      <c r="O171" s="4">
        <v>20281.789090908998</v>
      </c>
      <c r="P171" s="3">
        <v>1.92</v>
      </c>
      <c r="Q171" s="3">
        <v>14.1769705745454</v>
      </c>
      <c r="R171" s="5" t="s">
        <v>461</v>
      </c>
    </row>
    <row r="172" spans="1:18" ht="15.75" customHeight="1">
      <c r="A172" s="1">
        <v>38.308886000100003</v>
      </c>
      <c r="B172" s="1">
        <v>-86.951890999499994</v>
      </c>
      <c r="C172" s="1" t="s">
        <v>462</v>
      </c>
      <c r="D172" s="1" t="s">
        <v>19</v>
      </c>
      <c r="E172" s="1">
        <v>47542</v>
      </c>
      <c r="F172" s="1" t="s">
        <v>20</v>
      </c>
      <c r="G172" s="1" t="s">
        <v>21</v>
      </c>
      <c r="H172" s="1" t="s">
        <v>22</v>
      </c>
      <c r="I172" s="1" t="s">
        <v>23</v>
      </c>
      <c r="J172" s="1">
        <v>64</v>
      </c>
      <c r="K172" s="1">
        <v>1315.45454545454</v>
      </c>
      <c r="L172" s="1" t="s">
        <v>78</v>
      </c>
      <c r="M172" s="1" t="s">
        <v>463</v>
      </c>
      <c r="N172" s="4">
        <v>19200</v>
      </c>
      <c r="O172" s="4">
        <v>20205.381818181799</v>
      </c>
      <c r="P172" s="3">
        <v>1.91</v>
      </c>
      <c r="Q172" s="3">
        <v>14.123561890909</v>
      </c>
      <c r="R172" s="5" t="s">
        <v>239</v>
      </c>
    </row>
    <row r="173" spans="1:18" ht="15.75" customHeight="1">
      <c r="A173" s="1">
        <v>38.657105999999999</v>
      </c>
      <c r="B173" s="1">
        <v>-87.165749000399998</v>
      </c>
      <c r="C173" s="1" t="s">
        <v>464</v>
      </c>
      <c r="D173" s="1" t="s">
        <v>27</v>
      </c>
      <c r="E173" s="1">
        <v>47501</v>
      </c>
      <c r="F173" s="1" t="s">
        <v>20</v>
      </c>
      <c r="G173" s="1" t="s">
        <v>28</v>
      </c>
      <c r="H173" s="1" t="s">
        <v>29</v>
      </c>
      <c r="I173" s="1" t="s">
        <v>23</v>
      </c>
      <c r="J173" s="1">
        <v>79</v>
      </c>
      <c r="K173" s="1">
        <v>1058.3636363636299</v>
      </c>
      <c r="L173" s="1" t="s">
        <v>465</v>
      </c>
      <c r="M173" s="1" t="s">
        <v>466</v>
      </c>
      <c r="N173" s="4">
        <v>23700</v>
      </c>
      <c r="O173" s="4">
        <v>20066.574545454499</v>
      </c>
      <c r="P173" s="3">
        <v>1.9</v>
      </c>
      <c r="Q173" s="3">
        <v>14.026535607272701</v>
      </c>
      <c r="R173" s="1" t="s">
        <v>465</v>
      </c>
    </row>
    <row r="174" spans="1:18" ht="15.75" customHeight="1">
      <c r="A174" s="1">
        <v>38.30836</v>
      </c>
      <c r="B174" s="1">
        <v>-86.952103000099996</v>
      </c>
      <c r="C174" s="1" t="s">
        <v>467</v>
      </c>
      <c r="D174" s="1" t="s">
        <v>19</v>
      </c>
      <c r="E174" s="1">
        <v>47542</v>
      </c>
      <c r="F174" s="1" t="s">
        <v>20</v>
      </c>
      <c r="G174" s="1" t="s">
        <v>21</v>
      </c>
      <c r="H174" s="1" t="s">
        <v>22</v>
      </c>
      <c r="I174" s="1" t="s">
        <v>23</v>
      </c>
      <c r="J174" s="1">
        <v>64</v>
      </c>
      <c r="K174" s="1">
        <v>1306.72727272727</v>
      </c>
      <c r="L174" s="1" t="s">
        <v>78</v>
      </c>
      <c r="M174" s="1" t="s">
        <v>468</v>
      </c>
      <c r="N174" s="4">
        <v>19200</v>
      </c>
      <c r="O174" s="4">
        <v>20071.330909090899</v>
      </c>
      <c r="P174" s="3">
        <v>1.9</v>
      </c>
      <c r="Q174" s="3">
        <v>14.0298603054545</v>
      </c>
      <c r="R174" s="5" t="s">
        <v>239</v>
      </c>
    </row>
    <row r="175" spans="1:18" ht="15.75" customHeight="1">
      <c r="A175" s="1">
        <v>38.308359999700002</v>
      </c>
      <c r="B175" s="1">
        <v>-86.9529710005</v>
      </c>
      <c r="C175" s="1" t="s">
        <v>469</v>
      </c>
      <c r="D175" s="1" t="s">
        <v>19</v>
      </c>
      <c r="E175" s="1">
        <v>47542</v>
      </c>
      <c r="F175" s="1" t="s">
        <v>20</v>
      </c>
      <c r="G175" s="1" t="s">
        <v>21</v>
      </c>
      <c r="H175" s="1" t="s">
        <v>22</v>
      </c>
      <c r="I175" s="1" t="s">
        <v>23</v>
      </c>
      <c r="J175" s="1">
        <v>66</v>
      </c>
      <c r="K175" s="1">
        <v>1264.27272727272</v>
      </c>
      <c r="L175" s="1" t="s">
        <v>78</v>
      </c>
      <c r="M175" s="1" t="s">
        <v>470</v>
      </c>
      <c r="N175" s="4">
        <v>19800</v>
      </c>
      <c r="O175" s="4">
        <v>20026.080000000002</v>
      </c>
      <c r="P175" s="3">
        <v>1.9</v>
      </c>
      <c r="Q175" s="3">
        <v>13.99822992</v>
      </c>
      <c r="R175" s="5" t="s">
        <v>239</v>
      </c>
    </row>
    <row r="176" spans="1:18" ht="15.75" customHeight="1">
      <c r="A176" s="1">
        <v>38.658493999900003</v>
      </c>
      <c r="B176" s="1">
        <v>-87.176326000000003</v>
      </c>
      <c r="C176" s="1" t="s">
        <v>471</v>
      </c>
      <c r="D176" s="1" t="s">
        <v>27</v>
      </c>
      <c r="E176" s="1">
        <v>47501</v>
      </c>
      <c r="F176" s="1" t="s">
        <v>20</v>
      </c>
      <c r="G176" s="1" t="s">
        <v>28</v>
      </c>
      <c r="H176" s="1" t="s">
        <v>29</v>
      </c>
      <c r="I176" s="1" t="s">
        <v>23</v>
      </c>
      <c r="J176" s="1">
        <v>69</v>
      </c>
      <c r="K176" s="1">
        <v>1203.54545454545</v>
      </c>
      <c r="L176" s="1" t="s">
        <v>103</v>
      </c>
      <c r="M176" s="1" t="s">
        <v>472</v>
      </c>
      <c r="N176" s="4">
        <v>20700</v>
      </c>
      <c r="O176" s="4">
        <v>19930.712727272701</v>
      </c>
      <c r="P176" s="3">
        <v>1.89</v>
      </c>
      <c r="Q176" s="3">
        <v>13.9315681963636</v>
      </c>
      <c r="R176" s="5" t="s">
        <v>75</v>
      </c>
    </row>
    <row r="177" spans="1:18" ht="15.75" customHeight="1">
      <c r="A177" s="1">
        <v>38.658025999899998</v>
      </c>
      <c r="B177" s="1">
        <v>-87.174534999700001</v>
      </c>
      <c r="C177" s="1" t="s">
        <v>473</v>
      </c>
      <c r="D177" s="1" t="s">
        <v>27</v>
      </c>
      <c r="E177" s="1">
        <v>47501</v>
      </c>
      <c r="F177" s="1" t="s">
        <v>20</v>
      </c>
      <c r="G177" s="1" t="s">
        <v>28</v>
      </c>
      <c r="H177" s="1" t="s">
        <v>29</v>
      </c>
      <c r="I177" s="1" t="s">
        <v>23</v>
      </c>
      <c r="J177" s="1">
        <v>68</v>
      </c>
      <c r="K177" s="1">
        <v>1216.72727272727</v>
      </c>
      <c r="L177" s="1" t="s">
        <v>105</v>
      </c>
      <c r="M177" s="1" t="s">
        <v>474</v>
      </c>
      <c r="N177" s="4">
        <v>20400</v>
      </c>
      <c r="O177" s="4">
        <v>19856.989090908999</v>
      </c>
      <c r="P177" s="3">
        <v>1.88</v>
      </c>
      <c r="Q177" s="3">
        <v>13.8800353745454</v>
      </c>
      <c r="R177" s="1" t="s">
        <v>105</v>
      </c>
    </row>
    <row r="178" spans="1:18" ht="15.75" customHeight="1">
      <c r="A178" s="1">
        <v>38.657898000199999</v>
      </c>
      <c r="B178" s="1">
        <v>-87.174869000300006</v>
      </c>
      <c r="C178" s="1" t="s">
        <v>475</v>
      </c>
      <c r="D178" s="1" t="s">
        <v>27</v>
      </c>
      <c r="E178" s="1">
        <v>47501</v>
      </c>
      <c r="F178" s="1" t="s">
        <v>20</v>
      </c>
      <c r="G178" s="1" t="s">
        <v>28</v>
      </c>
      <c r="H178" s="1" t="s">
        <v>29</v>
      </c>
      <c r="I178" s="1" t="s">
        <v>23</v>
      </c>
      <c r="J178" s="1">
        <v>68</v>
      </c>
      <c r="K178" s="1">
        <v>1216.72727272727</v>
      </c>
      <c r="L178" s="1" t="s">
        <v>105</v>
      </c>
      <c r="M178" s="1" t="s">
        <v>476</v>
      </c>
      <c r="N178" s="4">
        <v>20400</v>
      </c>
      <c r="O178" s="4">
        <v>19856.989090908999</v>
      </c>
      <c r="P178" s="3">
        <v>1.88</v>
      </c>
      <c r="Q178" s="3">
        <v>13.8800353745454</v>
      </c>
      <c r="R178" s="1" t="s">
        <v>477</v>
      </c>
    </row>
    <row r="179" spans="1:18" ht="15.75" customHeight="1">
      <c r="A179" s="1">
        <v>38.657893999599999</v>
      </c>
      <c r="B179" s="1">
        <v>-87.174591000000007</v>
      </c>
      <c r="C179" s="1" t="s">
        <v>478</v>
      </c>
      <c r="D179" s="1" t="s">
        <v>27</v>
      </c>
      <c r="E179" s="1">
        <v>47501</v>
      </c>
      <c r="F179" s="1" t="s">
        <v>20</v>
      </c>
      <c r="G179" s="1" t="s">
        <v>28</v>
      </c>
      <c r="H179" s="1" t="s">
        <v>29</v>
      </c>
      <c r="I179" s="1" t="s">
        <v>23</v>
      </c>
      <c r="J179" s="1">
        <v>68</v>
      </c>
      <c r="K179" s="1">
        <v>1216.72727272727</v>
      </c>
      <c r="L179" s="1" t="s">
        <v>105</v>
      </c>
      <c r="M179" s="1" t="s">
        <v>479</v>
      </c>
      <c r="N179" s="4">
        <v>20400</v>
      </c>
      <c r="O179" s="4">
        <v>19856.989090908999</v>
      </c>
      <c r="P179" s="3">
        <v>1.88</v>
      </c>
      <c r="Q179" s="3">
        <v>13.8800353745454</v>
      </c>
      <c r="R179" s="1" t="s">
        <v>105</v>
      </c>
    </row>
    <row r="180" spans="1:18" ht="15.75" customHeight="1">
      <c r="A180" s="1">
        <v>38.301754999899998</v>
      </c>
      <c r="B180" s="1">
        <v>-86.949603999700003</v>
      </c>
      <c r="C180" s="1" t="s">
        <v>480</v>
      </c>
      <c r="D180" s="1" t="s">
        <v>19</v>
      </c>
      <c r="E180" s="1">
        <v>47542</v>
      </c>
      <c r="F180" s="1" t="s">
        <v>20</v>
      </c>
      <c r="G180" s="1" t="s">
        <v>21</v>
      </c>
      <c r="H180" s="1" t="s">
        <v>22</v>
      </c>
      <c r="I180" s="1" t="s">
        <v>23</v>
      </c>
      <c r="J180" s="1">
        <v>67</v>
      </c>
      <c r="K180" s="1">
        <v>1226.54545454545</v>
      </c>
      <c r="L180" s="1" t="s">
        <v>481</v>
      </c>
      <c r="M180" s="1" t="s">
        <v>482</v>
      </c>
      <c r="N180" s="4">
        <v>20100</v>
      </c>
      <c r="O180" s="4">
        <v>19722.850909090899</v>
      </c>
      <c r="P180" s="3">
        <v>1.87</v>
      </c>
      <c r="Q180" s="3">
        <v>13.7862727854545</v>
      </c>
      <c r="R180" s="1" t="s">
        <v>481</v>
      </c>
    </row>
    <row r="181" spans="1:18" ht="15.75" customHeight="1">
      <c r="A181" s="1">
        <v>38.659562000299999</v>
      </c>
      <c r="B181" s="1">
        <v>-87.1954560004</v>
      </c>
      <c r="C181" s="1" t="s">
        <v>483</v>
      </c>
      <c r="D181" s="1" t="s">
        <v>27</v>
      </c>
      <c r="E181" s="1">
        <v>47501</v>
      </c>
      <c r="F181" s="1" t="s">
        <v>20</v>
      </c>
      <c r="G181" s="1" t="s">
        <v>28</v>
      </c>
      <c r="H181" s="1" t="s">
        <v>29</v>
      </c>
      <c r="I181" s="1" t="s">
        <v>23</v>
      </c>
      <c r="J181" s="1">
        <v>76</v>
      </c>
      <c r="K181" s="1">
        <v>1066.72727272727</v>
      </c>
      <c r="L181" s="1" t="s">
        <v>234</v>
      </c>
      <c r="M181" s="1" t="s">
        <v>484</v>
      </c>
      <c r="N181" s="4">
        <v>22800</v>
      </c>
      <c r="O181" s="4">
        <v>19457.105454545399</v>
      </c>
      <c r="P181" s="3">
        <v>1.84</v>
      </c>
      <c r="Q181" s="3">
        <v>13.600516712727201</v>
      </c>
      <c r="R181" s="1" t="s">
        <v>485</v>
      </c>
    </row>
    <row r="182" spans="1:18" ht="15.75" customHeight="1">
      <c r="A182" s="1">
        <v>38.658276999900004</v>
      </c>
      <c r="B182" s="1">
        <v>-87.174556000400003</v>
      </c>
      <c r="C182" s="1" t="s">
        <v>486</v>
      </c>
      <c r="D182" s="1" t="s">
        <v>27</v>
      </c>
      <c r="E182" s="1">
        <v>47501</v>
      </c>
      <c r="F182" s="1" t="s">
        <v>20</v>
      </c>
      <c r="G182" s="1" t="s">
        <v>28</v>
      </c>
      <c r="H182" s="1" t="s">
        <v>29</v>
      </c>
      <c r="I182" s="1" t="s">
        <v>23</v>
      </c>
      <c r="J182" s="1">
        <v>65</v>
      </c>
      <c r="K182" s="1">
        <v>1232.3636363636299</v>
      </c>
      <c r="L182" s="1" t="s">
        <v>105</v>
      </c>
      <c r="M182" s="1" t="s">
        <v>487</v>
      </c>
      <c r="N182" s="4">
        <v>19500</v>
      </c>
      <c r="O182" s="4">
        <v>19224.872727272701</v>
      </c>
      <c r="P182" s="3">
        <v>1.82</v>
      </c>
      <c r="Q182" s="3">
        <v>13.4381860363636</v>
      </c>
      <c r="R182" s="1" t="s">
        <v>105</v>
      </c>
    </row>
    <row r="183" spans="1:18" ht="15.75" customHeight="1">
      <c r="A183" s="1">
        <v>38.658137000399996</v>
      </c>
      <c r="B183" s="1">
        <v>-87.174555999700004</v>
      </c>
      <c r="C183" s="1" t="s">
        <v>488</v>
      </c>
      <c r="D183" s="1" t="s">
        <v>27</v>
      </c>
      <c r="E183" s="1">
        <v>47501</v>
      </c>
      <c r="F183" s="1" t="s">
        <v>20</v>
      </c>
      <c r="G183" s="1" t="s">
        <v>28</v>
      </c>
      <c r="H183" s="1" t="s">
        <v>29</v>
      </c>
      <c r="I183" s="1" t="s">
        <v>23</v>
      </c>
      <c r="J183" s="1">
        <v>65</v>
      </c>
      <c r="K183" s="1">
        <v>1232.3636363636299</v>
      </c>
      <c r="L183" s="1" t="s">
        <v>105</v>
      </c>
      <c r="M183" s="1" t="s">
        <v>474</v>
      </c>
      <c r="N183" s="4">
        <v>19500</v>
      </c>
      <c r="O183" s="4">
        <v>19224.872727272701</v>
      </c>
      <c r="P183" s="3">
        <v>1.82</v>
      </c>
      <c r="Q183" s="3">
        <v>13.4381860363636</v>
      </c>
      <c r="R183" s="1" t="s">
        <v>105</v>
      </c>
    </row>
    <row r="184" spans="1:18" ht="15.75" customHeight="1">
      <c r="A184" s="1">
        <v>38.656856000399998</v>
      </c>
      <c r="B184" s="1">
        <v>-87.171687999599996</v>
      </c>
      <c r="C184" s="1" t="s">
        <v>489</v>
      </c>
      <c r="D184" s="1" t="s">
        <v>27</v>
      </c>
      <c r="E184" s="1">
        <v>47501</v>
      </c>
      <c r="F184" s="1" t="s">
        <v>20</v>
      </c>
      <c r="G184" s="1" t="s">
        <v>28</v>
      </c>
      <c r="H184" s="1" t="s">
        <v>29</v>
      </c>
      <c r="I184" s="1" t="s">
        <v>23</v>
      </c>
      <c r="J184" s="1">
        <v>60</v>
      </c>
      <c r="K184" s="1">
        <v>1320.72727272727</v>
      </c>
      <c r="L184" s="1" t="s">
        <v>490</v>
      </c>
      <c r="M184" s="1" t="s">
        <v>491</v>
      </c>
      <c r="N184" s="4">
        <v>18000</v>
      </c>
      <c r="O184" s="4">
        <v>19018.4727272727</v>
      </c>
      <c r="P184" s="3">
        <v>1.8</v>
      </c>
      <c r="Q184" s="3">
        <v>13.2939124363636</v>
      </c>
      <c r="R184" s="1" t="s">
        <v>490</v>
      </c>
    </row>
    <row r="185" spans="1:18" ht="15.75" customHeight="1">
      <c r="A185" s="1">
        <v>38.6570190001</v>
      </c>
      <c r="B185" s="1">
        <v>-87.185150999900003</v>
      </c>
      <c r="C185" s="1" t="s">
        <v>492</v>
      </c>
      <c r="D185" s="1" t="s">
        <v>27</v>
      </c>
      <c r="E185" s="1">
        <v>47501</v>
      </c>
      <c r="F185" s="1" t="s">
        <v>20</v>
      </c>
      <c r="G185" s="1" t="s">
        <v>28</v>
      </c>
      <c r="H185" s="1" t="s">
        <v>29</v>
      </c>
      <c r="I185" s="1" t="s">
        <v>23</v>
      </c>
      <c r="J185" s="1">
        <v>68</v>
      </c>
      <c r="K185" s="1">
        <v>1149.6363636363601</v>
      </c>
      <c r="L185" s="1" t="s">
        <v>493</v>
      </c>
      <c r="M185" s="1" t="s">
        <v>494</v>
      </c>
      <c r="N185" s="4">
        <v>20400</v>
      </c>
      <c r="O185" s="4">
        <v>18762.065454545402</v>
      </c>
      <c r="P185" s="3">
        <v>1.78</v>
      </c>
      <c r="Q185" s="3">
        <v>13.114683752727201</v>
      </c>
      <c r="R185" s="1" t="s">
        <v>493</v>
      </c>
    </row>
    <row r="186" spans="1:18" ht="15.75" customHeight="1">
      <c r="A186" s="1">
        <v>38.6585569999</v>
      </c>
      <c r="B186" s="1">
        <v>-87.186126999799995</v>
      </c>
      <c r="C186" s="1" t="s">
        <v>495</v>
      </c>
      <c r="D186" s="1" t="s">
        <v>27</v>
      </c>
      <c r="E186" s="1">
        <v>47501</v>
      </c>
      <c r="F186" s="1" t="s">
        <v>20</v>
      </c>
      <c r="G186" s="1" t="s">
        <v>28</v>
      </c>
      <c r="H186" s="1" t="s">
        <v>29</v>
      </c>
      <c r="I186" s="1" t="s">
        <v>23</v>
      </c>
      <c r="J186" s="1">
        <v>70</v>
      </c>
      <c r="K186" s="1">
        <v>1112</v>
      </c>
      <c r="L186" s="1" t="s">
        <v>243</v>
      </c>
      <c r="M186" s="1" t="s">
        <v>496</v>
      </c>
      <c r="N186" s="4">
        <v>21000</v>
      </c>
      <c r="O186" s="4">
        <v>18681.599999999999</v>
      </c>
      <c r="P186" s="3">
        <v>1.77</v>
      </c>
      <c r="Q186" s="3">
        <v>13.0584384</v>
      </c>
      <c r="R186" s="1" t="s">
        <v>243</v>
      </c>
    </row>
    <row r="187" spans="1:18" ht="15.75" customHeight="1">
      <c r="A187" s="1">
        <v>38.658386999900003</v>
      </c>
      <c r="B187" s="1">
        <v>-87.195119000399998</v>
      </c>
      <c r="C187" s="1" t="s">
        <v>497</v>
      </c>
      <c r="D187" s="1" t="s">
        <v>27</v>
      </c>
      <c r="E187" s="1">
        <v>47501</v>
      </c>
      <c r="F187" s="1" t="s">
        <v>20</v>
      </c>
      <c r="G187" s="1" t="s">
        <v>28</v>
      </c>
      <c r="H187" s="1" t="s">
        <v>29</v>
      </c>
      <c r="I187" s="1" t="s">
        <v>23</v>
      </c>
      <c r="J187" s="1">
        <v>61</v>
      </c>
      <c r="K187" s="1">
        <v>1250.6363636363601</v>
      </c>
      <c r="L187" s="1" t="s">
        <v>234</v>
      </c>
      <c r="M187" s="1" t="s">
        <v>498</v>
      </c>
      <c r="N187" s="4">
        <v>18300</v>
      </c>
      <c r="O187" s="4">
        <v>18309.316363636299</v>
      </c>
      <c r="P187" s="3">
        <v>1.73</v>
      </c>
      <c r="Q187" s="3">
        <v>12.7982121381818</v>
      </c>
      <c r="R187" s="5" t="s">
        <v>485</v>
      </c>
    </row>
    <row r="188" spans="1:18" ht="15.75" customHeight="1">
      <c r="A188" s="1">
        <v>38.656875999599997</v>
      </c>
      <c r="B188" s="1">
        <v>-87.164489999899999</v>
      </c>
      <c r="C188" s="1" t="s">
        <v>499</v>
      </c>
      <c r="D188" s="1" t="s">
        <v>27</v>
      </c>
      <c r="E188" s="1">
        <v>47501</v>
      </c>
      <c r="F188" s="1" t="s">
        <v>20</v>
      </c>
      <c r="G188" s="1" t="s">
        <v>28</v>
      </c>
      <c r="H188" s="1" t="s">
        <v>29</v>
      </c>
      <c r="I188" s="1" t="s">
        <v>23</v>
      </c>
      <c r="J188" s="1">
        <v>66</v>
      </c>
      <c r="K188" s="1">
        <v>1154.27272727272</v>
      </c>
      <c r="L188" s="5" t="s">
        <v>500</v>
      </c>
      <c r="M188" s="1" t="s">
        <v>501</v>
      </c>
      <c r="N188" s="4">
        <v>19800</v>
      </c>
      <c r="O188" s="4">
        <v>18283.68</v>
      </c>
      <c r="P188" s="3">
        <v>1.73</v>
      </c>
      <c r="Q188" s="3">
        <v>12.780292319999999</v>
      </c>
      <c r="R188" s="5" t="s">
        <v>500</v>
      </c>
    </row>
    <row r="189" spans="1:18" ht="15.75" customHeight="1">
      <c r="A189" s="1">
        <v>38.295891000399997</v>
      </c>
      <c r="B189" s="1">
        <v>-86.958379000199997</v>
      </c>
      <c r="C189" s="1" t="s">
        <v>502</v>
      </c>
      <c r="D189" s="1" t="s">
        <v>19</v>
      </c>
      <c r="E189" s="1">
        <v>47542</v>
      </c>
      <c r="F189" s="1" t="s">
        <v>20</v>
      </c>
      <c r="G189" s="1" t="s">
        <v>21</v>
      </c>
      <c r="H189" s="1" t="s">
        <v>22</v>
      </c>
      <c r="I189" s="1" t="s">
        <v>23</v>
      </c>
      <c r="J189" s="1">
        <v>63</v>
      </c>
      <c r="K189" s="1">
        <v>1192.54545454545</v>
      </c>
      <c r="L189" s="1" t="s">
        <v>95</v>
      </c>
      <c r="M189" s="1" t="s">
        <v>503</v>
      </c>
      <c r="N189" s="4">
        <v>18900</v>
      </c>
      <c r="O189" s="4">
        <v>18031.287272727201</v>
      </c>
      <c r="P189" s="3">
        <v>1.71</v>
      </c>
      <c r="Q189" s="3">
        <v>12.6038698036363</v>
      </c>
      <c r="R189" s="1" t="s">
        <v>95</v>
      </c>
    </row>
    <row r="190" spans="1:18" ht="15.75" customHeight="1">
      <c r="A190" s="1">
        <v>38.296345000000002</v>
      </c>
      <c r="B190" s="1">
        <v>-86.949632999599999</v>
      </c>
      <c r="C190" s="1" t="s">
        <v>504</v>
      </c>
      <c r="D190" s="1" t="s">
        <v>19</v>
      </c>
      <c r="E190" s="1">
        <v>47542</v>
      </c>
      <c r="F190" s="1" t="s">
        <v>20</v>
      </c>
      <c r="G190" s="1" t="s">
        <v>21</v>
      </c>
      <c r="H190" s="1" t="s">
        <v>22</v>
      </c>
      <c r="I190" s="1" t="s">
        <v>23</v>
      </c>
      <c r="J190" s="1">
        <v>60</v>
      </c>
      <c r="K190" s="1">
        <v>1232.45454545454</v>
      </c>
      <c r="L190" s="1" t="s">
        <v>199</v>
      </c>
      <c r="M190" s="1" t="s">
        <v>505</v>
      </c>
      <c r="N190" s="4">
        <v>18000</v>
      </c>
      <c r="O190" s="4">
        <v>17747.345454545401</v>
      </c>
      <c r="P190" s="3">
        <v>1.68</v>
      </c>
      <c r="Q190" s="3">
        <v>12.405394472727201</v>
      </c>
      <c r="R190" s="1" t="s">
        <v>199</v>
      </c>
    </row>
    <row r="191" spans="1:18" ht="15.75" customHeight="1">
      <c r="A191" s="1">
        <v>39.040043000200001</v>
      </c>
      <c r="B191" s="1">
        <v>-87.172662000100004</v>
      </c>
      <c r="C191" s="1" t="s">
        <v>506</v>
      </c>
      <c r="D191" s="1" t="s">
        <v>39</v>
      </c>
      <c r="E191" s="1">
        <v>47441</v>
      </c>
      <c r="F191" s="1" t="s">
        <v>20</v>
      </c>
      <c r="G191" s="1" t="s">
        <v>40</v>
      </c>
      <c r="H191" s="1" t="s">
        <v>41</v>
      </c>
      <c r="I191" s="1" t="s">
        <v>23</v>
      </c>
      <c r="J191" s="1">
        <v>66</v>
      </c>
      <c r="K191" s="1">
        <v>1103.0909090908999</v>
      </c>
      <c r="L191" s="1" t="s">
        <v>302</v>
      </c>
      <c r="M191" s="1" t="s">
        <v>507</v>
      </c>
      <c r="N191" s="4">
        <v>19800</v>
      </c>
      <c r="O191" s="4">
        <v>17472.96</v>
      </c>
      <c r="P191" s="3">
        <v>1.65</v>
      </c>
      <c r="Q191" s="3">
        <v>12.21359904</v>
      </c>
      <c r="R191" s="1" t="s">
        <v>45</v>
      </c>
    </row>
    <row r="192" spans="1:18" ht="15.75" customHeight="1">
      <c r="A192" s="1">
        <v>38.3080849997</v>
      </c>
      <c r="B192" s="1">
        <v>-86.953161999800002</v>
      </c>
      <c r="C192" s="1" t="s">
        <v>508</v>
      </c>
      <c r="D192" s="1" t="s">
        <v>19</v>
      </c>
      <c r="E192" s="1">
        <v>47542</v>
      </c>
      <c r="F192" s="1" t="s">
        <v>20</v>
      </c>
      <c r="G192" s="1" t="s">
        <v>21</v>
      </c>
      <c r="H192" s="1" t="s">
        <v>22</v>
      </c>
      <c r="I192" s="1" t="s">
        <v>23</v>
      </c>
      <c r="J192" s="1">
        <v>60</v>
      </c>
      <c r="K192" s="1">
        <v>1202.1818181818101</v>
      </c>
      <c r="L192" s="1" t="s">
        <v>78</v>
      </c>
      <c r="M192" s="1" t="s">
        <v>509</v>
      </c>
      <c r="N192" s="4">
        <v>18000</v>
      </c>
      <c r="O192" s="4">
        <v>17311.418181818099</v>
      </c>
      <c r="P192" s="3">
        <v>1.64</v>
      </c>
      <c r="Q192" s="3">
        <v>12.1006813090909</v>
      </c>
      <c r="R192" s="5" t="s">
        <v>239</v>
      </c>
    </row>
    <row r="193" spans="1:18" ht="15.75" customHeight="1">
      <c r="A193" s="1">
        <v>38.658448999900003</v>
      </c>
      <c r="B193" s="1">
        <v>-87.194468999600005</v>
      </c>
      <c r="C193" s="1" t="s">
        <v>510</v>
      </c>
      <c r="D193" s="1" t="s">
        <v>27</v>
      </c>
      <c r="E193" s="1">
        <v>47501</v>
      </c>
      <c r="F193" s="1" t="s">
        <v>20</v>
      </c>
      <c r="G193" s="1" t="s">
        <v>28</v>
      </c>
      <c r="H193" s="1" t="s">
        <v>29</v>
      </c>
      <c r="I193" s="1" t="s">
        <v>23</v>
      </c>
      <c r="J193" s="1">
        <v>70</v>
      </c>
      <c r="K193" s="1">
        <v>1019.45454545454</v>
      </c>
      <c r="L193" s="1" t="s">
        <v>234</v>
      </c>
      <c r="M193" s="1" t="s">
        <v>511</v>
      </c>
      <c r="N193" s="4">
        <v>21000</v>
      </c>
      <c r="O193" s="4">
        <v>17126.836363636299</v>
      </c>
      <c r="P193" s="3">
        <v>1.62</v>
      </c>
      <c r="Q193" s="3">
        <v>11.971658618181801</v>
      </c>
      <c r="R193" s="5" t="s">
        <v>485</v>
      </c>
    </row>
    <row r="194" spans="1:18" ht="15.75" customHeight="1">
      <c r="A194" s="1">
        <v>38.309402999900001</v>
      </c>
      <c r="B194" s="1">
        <v>-86.952027999699993</v>
      </c>
      <c r="C194" s="1" t="s">
        <v>512</v>
      </c>
      <c r="D194" s="1" t="s">
        <v>19</v>
      </c>
      <c r="E194" s="1">
        <v>47542</v>
      </c>
      <c r="F194" s="1" t="s">
        <v>20</v>
      </c>
      <c r="G194" s="1" t="s">
        <v>21</v>
      </c>
      <c r="H194" s="1" t="s">
        <v>22</v>
      </c>
      <c r="I194" s="1" t="s">
        <v>23</v>
      </c>
      <c r="J194" s="1">
        <v>59</v>
      </c>
      <c r="K194" s="1">
        <v>1191.9090909090901</v>
      </c>
      <c r="L194" s="1" t="s">
        <v>78</v>
      </c>
      <c r="M194" s="1" t="s">
        <v>513</v>
      </c>
      <c r="N194" s="4">
        <v>17700</v>
      </c>
      <c r="O194" s="4">
        <v>16877.432727272699</v>
      </c>
      <c r="P194" s="3">
        <v>1.6</v>
      </c>
      <c r="Q194" s="3">
        <v>11.7973254763636</v>
      </c>
      <c r="R194" s="5" t="s">
        <v>239</v>
      </c>
    </row>
    <row r="195" spans="1:18" ht="15.75" customHeight="1">
      <c r="A195" s="1">
        <v>38.294578999700001</v>
      </c>
      <c r="B195" s="1">
        <v>-86.954515999999998</v>
      </c>
      <c r="C195" s="1" t="s">
        <v>514</v>
      </c>
      <c r="D195" s="1" t="s">
        <v>19</v>
      </c>
      <c r="E195" s="1">
        <v>47542</v>
      </c>
      <c r="F195" s="1" t="s">
        <v>20</v>
      </c>
      <c r="G195" s="1" t="s">
        <v>21</v>
      </c>
      <c r="H195" s="1" t="s">
        <v>22</v>
      </c>
      <c r="I195" s="1" t="s">
        <v>23</v>
      </c>
      <c r="J195" s="1">
        <v>65</v>
      </c>
      <c r="K195" s="1">
        <v>1086.9090909090901</v>
      </c>
      <c r="L195" s="1" t="s">
        <v>228</v>
      </c>
      <c r="M195" s="1" t="s">
        <v>515</v>
      </c>
      <c r="N195" s="4">
        <v>19500</v>
      </c>
      <c r="O195" s="4">
        <v>16955.7818181818</v>
      </c>
      <c r="P195" s="3">
        <v>1.6</v>
      </c>
      <c r="Q195" s="3">
        <v>11.852091490909</v>
      </c>
      <c r="R195" s="1" t="s">
        <v>228</v>
      </c>
    </row>
    <row r="196" spans="1:18" ht="15.75" customHeight="1">
      <c r="A196" s="1">
        <v>39.794414000300002</v>
      </c>
      <c r="B196" s="1">
        <v>-87.371483000500007</v>
      </c>
      <c r="C196" s="1" t="s">
        <v>516</v>
      </c>
      <c r="D196" s="1" t="s">
        <v>51</v>
      </c>
      <c r="E196" s="1">
        <v>47862</v>
      </c>
      <c r="F196" s="1" t="s">
        <v>20</v>
      </c>
      <c r="G196" s="1" t="s">
        <v>52</v>
      </c>
      <c r="H196" s="1" t="s">
        <v>53</v>
      </c>
      <c r="I196" s="1" t="s">
        <v>23</v>
      </c>
      <c r="J196" s="1">
        <v>63</v>
      </c>
      <c r="K196" s="1">
        <v>1092</v>
      </c>
      <c r="L196" s="1" t="s">
        <v>354</v>
      </c>
      <c r="M196" s="1" t="s">
        <v>517</v>
      </c>
      <c r="N196" s="4">
        <v>18900</v>
      </c>
      <c r="O196" s="4">
        <v>16511.04</v>
      </c>
      <c r="P196" s="3">
        <v>1.56</v>
      </c>
      <c r="Q196" s="3">
        <v>11.54121696</v>
      </c>
      <c r="R196" s="5" t="s">
        <v>356</v>
      </c>
    </row>
    <row r="197" spans="1:18" ht="15.75" customHeight="1">
      <c r="A197" s="1">
        <v>39.040368000199997</v>
      </c>
      <c r="B197" s="1">
        <v>-87.162456000399999</v>
      </c>
      <c r="C197" s="1" t="s">
        <v>518</v>
      </c>
      <c r="D197" s="1" t="s">
        <v>39</v>
      </c>
      <c r="E197" s="1">
        <v>47441</v>
      </c>
      <c r="F197" s="1" t="s">
        <v>20</v>
      </c>
      <c r="G197" s="1" t="s">
        <v>40</v>
      </c>
      <c r="H197" s="1" t="s">
        <v>41</v>
      </c>
      <c r="I197" s="1" t="s">
        <v>23</v>
      </c>
      <c r="J197" s="1">
        <v>57</v>
      </c>
      <c r="K197" s="1">
        <v>1164.0909090908999</v>
      </c>
      <c r="L197" s="1" t="s">
        <v>302</v>
      </c>
      <c r="M197" s="1" t="s">
        <v>519</v>
      </c>
      <c r="N197" s="4">
        <v>17100</v>
      </c>
      <c r="O197" s="4">
        <v>15924.763636363599</v>
      </c>
      <c r="P197" s="3">
        <v>1.51</v>
      </c>
      <c r="Q197" s="3">
        <v>11.1314097818181</v>
      </c>
      <c r="R197" s="1" t="s">
        <v>398</v>
      </c>
    </row>
    <row r="198" spans="1:18" ht="15.75" customHeight="1">
      <c r="A198" s="1">
        <v>38.657904000000002</v>
      </c>
      <c r="B198" s="1">
        <v>-87.1843910005</v>
      </c>
      <c r="C198" s="1" t="s">
        <v>520</v>
      </c>
      <c r="D198" s="1" t="s">
        <v>27</v>
      </c>
      <c r="E198" s="1">
        <v>47501</v>
      </c>
      <c r="F198" s="1" t="s">
        <v>20</v>
      </c>
      <c r="G198" s="1" t="s">
        <v>28</v>
      </c>
      <c r="H198" s="1" t="s">
        <v>29</v>
      </c>
      <c r="I198" s="1" t="s">
        <v>23</v>
      </c>
      <c r="J198" s="1">
        <v>60</v>
      </c>
      <c r="K198" s="1">
        <v>1086.54545454545</v>
      </c>
      <c r="L198" s="1" t="s">
        <v>521</v>
      </c>
      <c r="M198" s="1" t="s">
        <v>522</v>
      </c>
      <c r="N198" s="4">
        <v>18000</v>
      </c>
      <c r="O198" s="4">
        <v>15646.2545454545</v>
      </c>
      <c r="P198" s="3">
        <v>1.48</v>
      </c>
      <c r="Q198" s="3">
        <v>10.936731927272699</v>
      </c>
      <c r="R198" s="1" t="s">
        <v>523</v>
      </c>
    </row>
    <row r="199" spans="1:18" ht="15.75" customHeight="1">
      <c r="A199" s="1">
        <v>38.666296000300001</v>
      </c>
      <c r="B199" s="1">
        <v>-87.169071999799996</v>
      </c>
      <c r="C199" s="1" t="s">
        <v>212</v>
      </c>
      <c r="D199" s="1" t="s">
        <v>27</v>
      </c>
      <c r="E199" s="1">
        <v>47501</v>
      </c>
      <c r="F199" s="1" t="s">
        <v>20</v>
      </c>
      <c r="G199" s="1" t="s">
        <v>28</v>
      </c>
      <c r="H199" s="1" t="s">
        <v>29</v>
      </c>
      <c r="I199" s="1" t="s">
        <v>23</v>
      </c>
      <c r="J199" s="1">
        <v>57</v>
      </c>
      <c r="K199" s="1">
        <v>1135.0909090908999</v>
      </c>
      <c r="L199" s="1" t="s">
        <v>213</v>
      </c>
      <c r="M199" s="1" t="s">
        <v>524</v>
      </c>
      <c r="N199" s="4">
        <v>17100</v>
      </c>
      <c r="O199" s="4">
        <v>15528.0436363636</v>
      </c>
      <c r="P199" s="3">
        <v>1.47</v>
      </c>
      <c r="Q199" s="3">
        <v>10.854102501818099</v>
      </c>
      <c r="R199" s="1" t="s">
        <v>213</v>
      </c>
    </row>
    <row r="200" spans="1:18" ht="15.75" customHeight="1">
      <c r="A200" s="1">
        <v>38.657058999599997</v>
      </c>
      <c r="B200" s="1">
        <v>-87.171524999799999</v>
      </c>
      <c r="C200" s="1" t="s">
        <v>525</v>
      </c>
      <c r="D200" s="1" t="s">
        <v>27</v>
      </c>
      <c r="E200" s="1">
        <v>47501</v>
      </c>
      <c r="F200" s="1" t="s">
        <v>20</v>
      </c>
      <c r="G200" s="1" t="s">
        <v>28</v>
      </c>
      <c r="H200" s="1" t="s">
        <v>29</v>
      </c>
      <c r="I200" s="1" t="s">
        <v>23</v>
      </c>
      <c r="J200" s="1">
        <v>45</v>
      </c>
      <c r="K200" s="1">
        <v>1406.1818181818101</v>
      </c>
      <c r="L200" s="1" t="s">
        <v>490</v>
      </c>
      <c r="M200" s="1" t="s">
        <v>526</v>
      </c>
      <c r="N200" s="4">
        <v>13500</v>
      </c>
      <c r="O200" s="4">
        <v>15186.763636363599</v>
      </c>
      <c r="P200" s="3">
        <v>1.44</v>
      </c>
      <c r="Q200" s="3">
        <v>10.615547781818099</v>
      </c>
      <c r="R200" s="1" t="s">
        <v>490</v>
      </c>
    </row>
    <row r="201" spans="1:18" ht="15.75" customHeight="1">
      <c r="A201" s="1">
        <v>38.660567000100002</v>
      </c>
      <c r="B201" s="1">
        <v>-87.174054999600003</v>
      </c>
      <c r="C201" s="1" t="s">
        <v>527</v>
      </c>
      <c r="D201" s="1" t="s">
        <v>27</v>
      </c>
      <c r="E201" s="1">
        <v>47501</v>
      </c>
      <c r="F201" s="1" t="s">
        <v>20</v>
      </c>
      <c r="G201" s="1" t="s">
        <v>28</v>
      </c>
      <c r="H201" s="1" t="s">
        <v>29</v>
      </c>
      <c r="I201" s="1" t="s">
        <v>23</v>
      </c>
      <c r="J201" s="1">
        <v>50</v>
      </c>
      <c r="K201" s="1">
        <v>1237.0909090908999</v>
      </c>
      <c r="L201" s="1" t="s">
        <v>123</v>
      </c>
      <c r="M201" s="1" t="s">
        <v>528</v>
      </c>
      <c r="N201" s="4">
        <v>15000</v>
      </c>
      <c r="O201" s="4">
        <v>14845.090909090901</v>
      </c>
      <c r="P201" s="3">
        <v>1.4</v>
      </c>
      <c r="Q201" s="3">
        <v>10.3767185454545</v>
      </c>
      <c r="R201" s="1" t="s">
        <v>123</v>
      </c>
    </row>
    <row r="202" spans="1:18" ht="15.75" customHeight="1">
      <c r="A202" s="1">
        <v>39.042964999900001</v>
      </c>
      <c r="B202" s="1">
        <v>-87.171350000399997</v>
      </c>
      <c r="C202" s="1" t="s">
        <v>529</v>
      </c>
      <c r="D202" s="1" t="s">
        <v>39</v>
      </c>
      <c r="E202" s="1">
        <v>47441</v>
      </c>
      <c r="F202" s="1" t="s">
        <v>20</v>
      </c>
      <c r="G202" s="1" t="s">
        <v>40</v>
      </c>
      <c r="H202" s="1" t="s">
        <v>41</v>
      </c>
      <c r="I202" s="1" t="s">
        <v>23</v>
      </c>
      <c r="J202" s="1">
        <v>46</v>
      </c>
      <c r="K202" s="1">
        <v>1218.0909090908999</v>
      </c>
      <c r="L202" s="1" t="s">
        <v>302</v>
      </c>
      <c r="M202" s="1" t="s">
        <v>530</v>
      </c>
      <c r="N202" s="4">
        <v>13800</v>
      </c>
      <c r="O202" s="4">
        <v>13447.7236363636</v>
      </c>
      <c r="P202" s="3">
        <v>1.27</v>
      </c>
      <c r="Q202" s="3">
        <v>9.3999588218181795</v>
      </c>
      <c r="R202" s="1" t="s">
        <v>45</v>
      </c>
    </row>
    <row r="203" spans="1:18" ht="15.75" customHeight="1">
      <c r="A203" s="1">
        <v>38.652348000400004</v>
      </c>
      <c r="B203" s="1">
        <v>-87.176355999799995</v>
      </c>
      <c r="C203" s="1" t="s">
        <v>531</v>
      </c>
      <c r="D203" s="1" t="s">
        <v>27</v>
      </c>
      <c r="E203" s="1">
        <v>47501</v>
      </c>
      <c r="F203" s="1" t="s">
        <v>20</v>
      </c>
      <c r="G203" s="1" t="s">
        <v>28</v>
      </c>
      <c r="H203" s="1" t="s">
        <v>29</v>
      </c>
      <c r="I203" s="1" t="s">
        <v>23</v>
      </c>
      <c r="J203" s="1">
        <v>44</v>
      </c>
      <c r="K203" s="1">
        <v>1236.27272727272</v>
      </c>
      <c r="L203" s="1" t="s">
        <v>405</v>
      </c>
      <c r="M203" s="1" t="s">
        <v>532</v>
      </c>
      <c r="N203" s="4">
        <v>13200</v>
      </c>
      <c r="O203" s="4">
        <v>13055.04</v>
      </c>
      <c r="P203" s="3">
        <v>1.24</v>
      </c>
      <c r="Q203" s="3">
        <v>9.1254729599999997</v>
      </c>
      <c r="R203" s="1" t="s">
        <v>405</v>
      </c>
    </row>
    <row r="204" spans="1:18" ht="15.75" customHeight="1">
      <c r="A204" s="1">
        <v>39.040693000399997</v>
      </c>
      <c r="B204" s="1">
        <v>-87.171313999999995</v>
      </c>
      <c r="C204" s="1" t="s">
        <v>533</v>
      </c>
      <c r="D204" s="1" t="s">
        <v>39</v>
      </c>
      <c r="E204" s="1">
        <v>47441</v>
      </c>
      <c r="F204" s="1" t="s">
        <v>20</v>
      </c>
      <c r="G204" s="1" t="s">
        <v>40</v>
      </c>
      <c r="H204" s="1" t="s">
        <v>41</v>
      </c>
      <c r="I204" s="1" t="s">
        <v>23</v>
      </c>
      <c r="J204" s="1">
        <v>45</v>
      </c>
      <c r="K204" s="1">
        <v>1172.1818181818101</v>
      </c>
      <c r="L204" s="1" t="s">
        <v>302</v>
      </c>
      <c r="M204" s="1" t="s">
        <v>534</v>
      </c>
      <c r="N204" s="4">
        <v>13500</v>
      </c>
      <c r="O204" s="4">
        <v>12659.5636363636</v>
      </c>
      <c r="P204" s="3">
        <v>1.2</v>
      </c>
      <c r="Q204" s="3">
        <v>8.8490349818181802</v>
      </c>
      <c r="R204" s="1" t="s">
        <v>45</v>
      </c>
    </row>
    <row r="205" spans="1:18" ht="15.75" customHeight="1">
      <c r="A205" s="1">
        <v>38.658494000300003</v>
      </c>
      <c r="B205" s="1">
        <v>-87.189873999599996</v>
      </c>
      <c r="C205" s="1" t="s">
        <v>535</v>
      </c>
      <c r="D205" s="1" t="s">
        <v>27</v>
      </c>
      <c r="E205" s="1">
        <v>47501</v>
      </c>
      <c r="F205" s="1" t="s">
        <v>20</v>
      </c>
      <c r="G205" s="1" t="s">
        <v>28</v>
      </c>
      <c r="H205" s="1" t="s">
        <v>29</v>
      </c>
      <c r="I205" s="1" t="s">
        <v>23</v>
      </c>
      <c r="J205" s="1">
        <v>48</v>
      </c>
      <c r="K205" s="1">
        <v>1012.45454545454</v>
      </c>
      <c r="L205" s="1" t="s">
        <v>255</v>
      </c>
      <c r="M205" s="1" t="s">
        <v>536</v>
      </c>
      <c r="N205" s="4">
        <v>14400</v>
      </c>
      <c r="O205" s="4">
        <v>11663.4763636363</v>
      </c>
      <c r="P205" s="3">
        <v>1.1000000000000001</v>
      </c>
      <c r="Q205" s="3">
        <v>8.1527699781818193</v>
      </c>
      <c r="R205" s="1" t="s">
        <v>255</v>
      </c>
    </row>
    <row r="206" spans="1:18" ht="15.75" customHeight="1">
      <c r="A206" s="1">
        <v>39.791596000399998</v>
      </c>
      <c r="B206" s="1">
        <v>-87.371392000200004</v>
      </c>
      <c r="C206" s="1" t="s">
        <v>537</v>
      </c>
      <c r="D206" s="1" t="s">
        <v>51</v>
      </c>
      <c r="E206" s="1">
        <v>47862</v>
      </c>
      <c r="F206" s="1" t="s">
        <v>20</v>
      </c>
      <c r="G206" s="1" t="s">
        <v>52</v>
      </c>
      <c r="H206" s="1" t="s">
        <v>53</v>
      </c>
      <c r="I206" s="1" t="s">
        <v>23</v>
      </c>
      <c r="J206" s="1">
        <v>38</v>
      </c>
      <c r="K206" s="1">
        <v>1238.45454545454</v>
      </c>
      <c r="L206" s="1" t="s">
        <v>224</v>
      </c>
      <c r="M206" s="1" t="s">
        <v>538</v>
      </c>
      <c r="N206" s="4">
        <v>11400</v>
      </c>
      <c r="O206" s="4">
        <v>11294.705454545399</v>
      </c>
      <c r="P206" s="3">
        <v>1.07</v>
      </c>
      <c r="Q206" s="3">
        <v>7.8949991127272696</v>
      </c>
      <c r="R206" s="1" t="s">
        <v>226</v>
      </c>
    </row>
    <row r="207" spans="1:18" ht="15.75" customHeight="1"/>
    <row r="208" spans="1:1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workbookViewId="0">
      <selection activeCell="M27" sqref="M27"/>
    </sheetView>
  </sheetViews>
  <sheetFormatPr defaultColWidth="12.6328125" defaultRowHeight="15" customHeight="1"/>
  <cols>
    <col min="1" max="1" width="53.453125" bestFit="1" customWidth="1"/>
    <col min="2" max="2" width="29.26953125" bestFit="1" customWidth="1"/>
    <col min="3" max="3" width="13.6328125" bestFit="1" customWidth="1"/>
    <col min="4" max="4" width="11" bestFit="1" customWidth="1"/>
    <col min="5" max="5" width="17.54296875" bestFit="1" customWidth="1"/>
    <col min="6" max="6" width="36.6328125" bestFit="1" customWidth="1"/>
    <col min="7" max="7" width="15" bestFit="1" customWidth="1"/>
    <col min="8" max="8" width="32.54296875" bestFit="1" customWidth="1"/>
    <col min="9" max="27" width="8.6328125" customWidth="1"/>
  </cols>
  <sheetData>
    <row r="1" spans="1:8" ht="14.5">
      <c r="A1" s="11" t="s">
        <v>539</v>
      </c>
      <c r="B1" s="11" t="s">
        <v>540</v>
      </c>
      <c r="C1" s="11" t="s">
        <v>543</v>
      </c>
      <c r="D1" s="11" t="s">
        <v>541</v>
      </c>
      <c r="E1" s="11" t="s">
        <v>13</v>
      </c>
      <c r="F1" s="11" t="s">
        <v>14</v>
      </c>
      <c r="G1" s="11" t="s">
        <v>15</v>
      </c>
      <c r="H1" s="11" t="s">
        <v>542</v>
      </c>
    </row>
    <row r="2" spans="1:8" ht="14.5">
      <c r="A2" s="1" t="str">
        <f ca="1">IFERROR(__xludf.DUMMYFUNCTION("ARRAY_CONSTRAIN(ARRAYFORMULA(UNIQUE('Individual Sites'!R2:R206)), 73, 1)"),"Southridge High School / Middle School")</f>
        <v>Southridge High School / Middle School</v>
      </c>
      <c r="B2" s="1" t="str">
        <f ca="1">INDEX('Individual Sites'!C2:C206, MATCH('Grouped Sites'!A2, 'Individual Sites'!R2:R206, 0))</f>
        <v>1110 S Main St</v>
      </c>
      <c r="C2" s="1" t="str">
        <f ca="1">INDEX('Individual Sites'!D2:D206, MATCH('Grouped Sites'!A2, 'Individual Sites'!R2:R206, 0))</f>
        <v>HUNTINGBURG</v>
      </c>
      <c r="D2" s="3">
        <f ca="1">SUMIF('Individual Sites'!R:R, 'Grouped Sites'!$A2, 'Individual Sites'!J:J)</f>
        <v>9052.8857142857141</v>
      </c>
      <c r="E2" s="4">
        <f ca="1">SUMIF('Individual Sites'!$R:$R, 'Grouped Sites'!$A2, 'Individual Sites'!N:N)</f>
        <v>2715865.7142857141</v>
      </c>
      <c r="F2" s="4">
        <f ca="1">SUMIF('Individual Sites'!$R:$R, 'Grouped Sites'!$A2, 'Individual Sites'!O:O)</f>
        <v>3288913.38</v>
      </c>
      <c r="G2" s="4">
        <f ca="1">SUMIF('Individual Sites'!$R:$R, 'Grouped Sites'!$A2, 'Individual Sites'!P:P)</f>
        <v>311.27327086882451</v>
      </c>
      <c r="H2" s="4">
        <f ca="1">SUMIF('Individual Sites'!$R:$R, 'Grouped Sites'!$A2, 'Individual Sites'!Q:Q)</f>
        <v>2298.9504526199999</v>
      </c>
    </row>
    <row r="3" spans="1:8" ht="14.5">
      <c r="A3" s="1" t="str">
        <f ca="1">IFERROR(__xludf.DUMMYFUNCTION("""COMPUTED_VALUE"""),"Washington High School / Jr High")</f>
        <v>Washington High School / Jr High</v>
      </c>
      <c r="B3" s="1" t="str">
        <f ca="1">INDEX('Individual Sites'!C3:C207, MATCH('Grouped Sites'!A3, 'Individual Sites'!R3:R207, 0))</f>
        <v>608 E Walnut St</v>
      </c>
      <c r="C3" s="1" t="str">
        <f ca="1">INDEX('Individual Sites'!D3:D207, MATCH('Grouped Sites'!A3, 'Individual Sites'!R3:R207, 0))</f>
        <v>WASHINGTON</v>
      </c>
      <c r="D3" s="3">
        <f ca="1">SUMIF('Individual Sites'!R:R, 'Grouped Sites'!$A3, 'Individual Sites'!J:J)</f>
        <v>6645.2142857142853</v>
      </c>
      <c r="E3" s="4">
        <f ca="1">SUMIF('Individual Sites'!$R:$R, 'Grouped Sites'!$A3, 'Individual Sites'!N:N)</f>
        <v>1993564.2857142857</v>
      </c>
      <c r="F3" s="4">
        <f ca="1">SUMIF('Individual Sites'!$R:$R, 'Grouped Sites'!$A3, 'Individual Sites'!O:O)</f>
        <v>2414206.35</v>
      </c>
      <c r="G3" s="4">
        <f ca="1">SUMIF('Individual Sites'!$R:$R, 'Grouped Sites'!$A3, 'Individual Sites'!P:P)</f>
        <v>228.48820272572402</v>
      </c>
      <c r="H3" s="4">
        <f ca="1">SUMIF('Individual Sites'!$R:$R, 'Grouped Sites'!$A3, 'Individual Sites'!Q:Q)</f>
        <v>1687.53023865</v>
      </c>
    </row>
    <row r="4" spans="1:8" ht="14.5">
      <c r="A4" s="1" t="str">
        <f ca="1">IFERROR(__xludf.DUMMYFUNCTION("""COMPUTED_VALUE"""),"Daviess Community Hospital")</f>
        <v>Daviess Community Hospital</v>
      </c>
      <c r="B4" s="1" t="str">
        <f ca="1">INDEX('Individual Sites'!C4:C208, MATCH('Grouped Sites'!A4, 'Individual Sites'!R4:R208, 0))</f>
        <v>1314 E Walnut St</v>
      </c>
      <c r="C4" s="1" t="str">
        <f ca="1">INDEX('Individual Sites'!D4:D208, MATCH('Grouped Sites'!A4, 'Individual Sites'!R4:R208, 0))</f>
        <v>WASHINGTON</v>
      </c>
      <c r="D4" s="3">
        <f ca="1">SUMIF('Individual Sites'!R:R, 'Grouped Sites'!$A4, 'Individual Sites'!J:J)</f>
        <v>3941.8285714285712</v>
      </c>
      <c r="E4" s="4">
        <f ca="1">SUMIF('Individual Sites'!$R:$R, 'Grouped Sites'!$A4, 'Individual Sites'!N:N)</f>
        <v>1182548.5714285714</v>
      </c>
      <c r="F4" s="4">
        <f ca="1">SUMIF('Individual Sites'!$R:$R, 'Grouped Sites'!$A4, 'Individual Sites'!O:O)</f>
        <v>1432066.32</v>
      </c>
      <c r="G4" s="4">
        <f ca="1">SUMIF('Individual Sites'!$R:$R, 'Grouped Sites'!$A4, 'Individual Sites'!P:P)</f>
        <v>135.53533219761499</v>
      </c>
      <c r="H4" s="4">
        <f ca="1">SUMIF('Individual Sites'!$R:$R, 'Grouped Sites'!$A4, 'Individual Sites'!Q:Q)</f>
        <v>1001.01435768</v>
      </c>
    </row>
    <row r="5" spans="1:8" ht="14.5">
      <c r="A5" s="1" t="str">
        <f ca="1">IFERROR(__xludf.DUMMYFUNCTION("""COMPUTED_VALUE"""),"Huntingburg Elementary School")</f>
        <v>Huntingburg Elementary School</v>
      </c>
      <c r="B5" s="1" t="str">
        <f ca="1">INDEX('Individual Sites'!C5:C209, MATCH('Grouped Sites'!A5, 'Individual Sites'!R5:R209, 0))</f>
        <v>501 W Sunset Dr</v>
      </c>
      <c r="C5" s="1" t="str">
        <f ca="1">INDEX('Individual Sites'!D5:D209, MATCH('Grouped Sites'!A5, 'Individual Sites'!R5:R209, 0))</f>
        <v>HUNTINGBURG</v>
      </c>
      <c r="D5" s="3">
        <f ca="1">SUMIF('Individual Sites'!R:R, 'Grouped Sites'!$A5, 'Individual Sites'!J:J)</f>
        <v>3571.2857142857138</v>
      </c>
      <c r="E5" s="4">
        <f ca="1">SUMIF('Individual Sites'!$R:$R, 'Grouped Sites'!$A5, 'Individual Sites'!N:N)</f>
        <v>1071385.7142857141</v>
      </c>
      <c r="F5" s="4">
        <f ca="1">SUMIF('Individual Sites'!$R:$R, 'Grouped Sites'!$A5, 'Individual Sites'!O:O)</f>
        <v>1297448.0999999999</v>
      </c>
      <c r="G5" s="4">
        <f ca="1">SUMIF('Individual Sites'!$R:$R, 'Grouped Sites'!$A5, 'Individual Sites'!P:P)</f>
        <v>122.79463373083475</v>
      </c>
      <c r="H5" s="4">
        <f ca="1">SUMIF('Individual Sites'!$R:$R, 'Grouped Sites'!$A5, 'Individual Sites'!Q:Q)</f>
        <v>906.91622189999987</v>
      </c>
    </row>
    <row r="6" spans="1:8" ht="14.5">
      <c r="A6" s="1" t="str">
        <f ca="1">IFERROR(__xludf.DUMMYFUNCTION("""COMPUTED_VALUE"""),"Linton Stockton Middle School")</f>
        <v>Linton Stockton Middle School</v>
      </c>
      <c r="B6" s="1" t="str">
        <f ca="1">INDEX('Individual Sites'!C6:C210, MATCH('Grouped Sites'!A6, 'Individual Sites'!R6:R210, 0))</f>
        <v>109 NW I St</v>
      </c>
      <c r="C6" s="1" t="str">
        <f ca="1">INDEX('Individual Sites'!D6:D210, MATCH('Grouped Sites'!A6, 'Individual Sites'!R6:R210, 0))</f>
        <v>LINTON</v>
      </c>
      <c r="D6" s="3">
        <f ca="1">SUMIF('Individual Sites'!R:R, 'Grouped Sites'!$A6, 'Individual Sites'!J:J)</f>
        <v>3522.3428571428567</v>
      </c>
      <c r="E6" s="4">
        <f ca="1">SUMIF('Individual Sites'!$R:$R, 'Grouped Sites'!$A6, 'Individual Sites'!N:N)</f>
        <v>1056702.857142857</v>
      </c>
      <c r="F6" s="4">
        <f ca="1">SUMIF('Individual Sites'!$R:$R, 'Grouped Sites'!$A6, 'Individual Sites'!O:O)</f>
        <v>1279667.1599999999</v>
      </c>
      <c r="G6" s="4">
        <f ca="1">SUMIF('Individual Sites'!$R:$R, 'Grouped Sites'!$A6, 'Individual Sites'!P:P)</f>
        <v>121.11178875638841</v>
      </c>
      <c r="H6" s="4">
        <f ca="1">SUMIF('Individual Sites'!$R:$R, 'Grouped Sites'!$A6, 'Individual Sites'!Q:Q)</f>
        <v>894.48734483999988</v>
      </c>
    </row>
    <row r="7" spans="1:8" ht="14.5">
      <c r="A7" s="1" t="str">
        <f ca="1">IFERROR(__xludf.DUMMYFUNCTION("""COMPUTED_VALUE"""),"Glenburn Home")</f>
        <v>Glenburn Home</v>
      </c>
      <c r="B7" s="1" t="str">
        <f ca="1">INDEX('Individual Sites'!C7:C211, MATCH('Grouped Sites'!A7, 'Individual Sites'!R7:R211, 0))</f>
        <v>618 W GLENBURN RD</v>
      </c>
      <c r="C7" s="1" t="str">
        <f ca="1">INDEX('Individual Sites'!D7:D211, MATCH('Grouped Sites'!A7, 'Individual Sites'!R7:R211, 0))</f>
        <v>LINTON</v>
      </c>
      <c r="D7" s="3">
        <f ca="1">SUMIF('Individual Sites'!R:R, 'Grouped Sites'!$A7, 'Individual Sites'!J:J)</f>
        <v>7861</v>
      </c>
      <c r="E7" s="4">
        <f ca="1">SUMIF('Individual Sites'!$R:$R, 'Grouped Sites'!$A7, 'Individual Sites'!N:N)</f>
        <v>2358300</v>
      </c>
      <c r="F7" s="4">
        <f ca="1">SUMIF('Individual Sites'!$R:$R, 'Grouped Sites'!$A7, 'Individual Sites'!O:O)</f>
        <v>2351031.403636354</v>
      </c>
      <c r="G7" s="4">
        <f ca="1">SUMIF('Individual Sites'!$R:$R, 'Grouped Sites'!$A7, 'Individual Sites'!P:P)</f>
        <v>222.5</v>
      </c>
      <c r="H7" s="4">
        <f ca="1">SUMIF('Individual Sites'!$R:$R, 'Grouped Sites'!$A7, 'Individual Sites'!Q:Q)</f>
        <v>1643.3709511418169</v>
      </c>
    </row>
    <row r="8" spans="1:8" ht="14.5">
      <c r="A8" s="1" t="str">
        <f ca="1">IFERROR(__xludf.DUMMYFUNCTION("""COMPUTED_VALUE"""),"Linton Stockton High School")</f>
        <v>Linton Stockton High School</v>
      </c>
      <c r="B8" s="1" t="str">
        <f ca="1">INDEX('Individual Sites'!C8:C212, MATCH('Grouped Sites'!A8, 'Individual Sites'!R8:R212, 0))</f>
        <v>10 H St NE</v>
      </c>
      <c r="C8" s="1" t="str">
        <f ca="1">INDEX('Individual Sites'!D8:D212, MATCH('Grouped Sites'!A8, 'Individual Sites'!R8:R212, 0))</f>
        <v>LINTON</v>
      </c>
      <c r="D8" s="3">
        <f ca="1">SUMIF('Individual Sites'!R:R, 'Grouped Sites'!$A8, 'Individual Sites'!J:J)</f>
        <v>2639.2714285714287</v>
      </c>
      <c r="E8" s="4">
        <f ca="1">SUMIF('Individual Sites'!$R:$R, 'Grouped Sites'!$A8, 'Individual Sites'!N:N)</f>
        <v>791781.42857142864</v>
      </c>
      <c r="F8" s="4">
        <f ca="1">SUMIF('Individual Sites'!$R:$R, 'Grouped Sites'!$A8, 'Individual Sites'!O:O)</f>
        <v>958847.31</v>
      </c>
      <c r="G8" s="4">
        <f ca="1">SUMIF('Individual Sites'!$R:$R, 'Grouped Sites'!$A8, 'Individual Sites'!P:P)</f>
        <v>90.7483730834753</v>
      </c>
      <c r="H8" s="4">
        <f ca="1">SUMIF('Individual Sites'!$R:$R, 'Grouped Sites'!$A8, 'Individual Sites'!Q:Q)</f>
        <v>670.23426969000002</v>
      </c>
    </row>
    <row r="9" spans="1:8" ht="14.5">
      <c r="A9" s="1" t="str">
        <f ca="1">IFERROR(__xludf.DUMMYFUNCTION("""COMPUTED_VALUE"""),"Montezuma Elementary School")</f>
        <v>Montezuma Elementary School</v>
      </c>
      <c r="B9" s="1" t="str">
        <f ca="1">INDEX('Individual Sites'!C9:C213, MATCH('Grouped Sites'!A9, 'Individual Sites'!R9:R213, 0))</f>
        <v>459 Strawberry Rd</v>
      </c>
      <c r="C9" s="1" t="str">
        <f ca="1">INDEX('Individual Sites'!D9:D213, MATCH('Grouped Sites'!A9, 'Individual Sites'!R9:R213, 0))</f>
        <v>MONTEZUMA</v>
      </c>
      <c r="D9" s="3">
        <f ca="1">SUMIF('Individual Sites'!R:R, 'Grouped Sites'!$A9, 'Individual Sites'!J:J)</f>
        <v>2429.3571428571431</v>
      </c>
      <c r="E9" s="4">
        <f ca="1">SUMIF('Individual Sites'!$R:$R, 'Grouped Sites'!$A9, 'Individual Sites'!N:N)</f>
        <v>728807.14285714296</v>
      </c>
      <c r="F9" s="4">
        <f ca="1">SUMIF('Individual Sites'!$R:$R, 'Grouped Sites'!$A9, 'Individual Sites'!O:O)</f>
        <v>882585.45000000007</v>
      </c>
      <c r="G9" s="4">
        <f ca="1">SUMIF('Individual Sites'!$R:$R, 'Grouped Sites'!$A9, 'Individual Sites'!P:P)</f>
        <v>83.530706984667816</v>
      </c>
      <c r="H9" s="4">
        <f ca="1">SUMIF('Individual Sites'!$R:$R, 'Grouped Sites'!$A9, 'Individual Sites'!Q:Q)</f>
        <v>616.92722954999999</v>
      </c>
    </row>
    <row r="10" spans="1:8" ht="14.5">
      <c r="A10" s="1" t="str">
        <f ca="1">IFERROR(__xludf.DUMMYFUNCTION("""COMPUTED_VALUE"""),"Washington Intermediate School")</f>
        <v>Washington Intermediate School</v>
      </c>
      <c r="B10" s="1" t="str">
        <f ca="1">INDEX('Individual Sites'!C10:C214, MATCH('Grouped Sites'!A10, 'Individual Sites'!R10:R214, 0))</f>
        <v>801 NW 11th St</v>
      </c>
      <c r="C10" s="1" t="str">
        <f ca="1">INDEX('Individual Sites'!D10:D214, MATCH('Grouped Sites'!A10, 'Individual Sites'!R10:R214, 0))</f>
        <v>WASHINGTON</v>
      </c>
      <c r="D10" s="3">
        <f ca="1">SUMIF('Individual Sites'!R:R, 'Grouped Sites'!$A10, 'Individual Sites'!J:J)</f>
        <v>2380.8000000000002</v>
      </c>
      <c r="E10" s="4">
        <f ca="1">SUMIF('Individual Sites'!$R:$R, 'Grouped Sites'!$A10, 'Individual Sites'!N:N)</f>
        <v>714240</v>
      </c>
      <c r="F10" s="4">
        <f ca="1">SUMIF('Individual Sites'!$R:$R, 'Grouped Sites'!$A10, 'Individual Sites'!O:O)</f>
        <v>864944.64000000001</v>
      </c>
      <c r="G10" s="4">
        <f ca="1">SUMIF('Individual Sites'!$R:$R, 'Grouped Sites'!$A10, 'Individual Sites'!P:P)</f>
        <v>81.861124361158431</v>
      </c>
      <c r="H10" s="4">
        <f ca="1">SUMIF('Individual Sites'!$R:$R, 'Grouped Sites'!$A10, 'Individual Sites'!Q:Q)</f>
        <v>604.59630335999998</v>
      </c>
    </row>
    <row r="11" spans="1:8" ht="14.5">
      <c r="A11" s="1" t="str">
        <f ca="1">IFERROR(__xludf.DUMMYFUNCTION("""COMPUTED_VALUE"""),"Washington Upper Elementary")</f>
        <v>Washington Upper Elementary</v>
      </c>
      <c r="B11" s="1" t="str">
        <f ca="1">INDEX('Individual Sites'!C11:C215, MATCH('Grouped Sites'!A11, 'Individual Sites'!R11:R215, 0))</f>
        <v>600 NE 6th St</v>
      </c>
      <c r="C11" s="1" t="str">
        <f ca="1">INDEX('Individual Sites'!D11:D215, MATCH('Grouped Sites'!A11, 'Individual Sites'!R11:R215, 0))</f>
        <v>WASHINGTON</v>
      </c>
      <c r="D11" s="3">
        <f ca="1">SUMIF('Individual Sites'!R:R, 'Grouped Sites'!$A11, 'Individual Sites'!J:J)</f>
        <v>2147.8285714285716</v>
      </c>
      <c r="E11" s="4">
        <f ca="1">SUMIF('Individual Sites'!$R:$R, 'Grouped Sites'!$A11, 'Individual Sites'!N:N)</f>
        <v>644348.57142857148</v>
      </c>
      <c r="F11" s="4">
        <f ca="1">SUMIF('Individual Sites'!$R:$R, 'Grouped Sites'!$A11, 'Individual Sites'!O:O)</f>
        <v>780306.12000000011</v>
      </c>
      <c r="G11" s="4">
        <f ca="1">SUMIF('Individual Sites'!$R:$R, 'Grouped Sites'!$A11, 'Individual Sites'!P:P)</f>
        <v>73.850664395229998</v>
      </c>
      <c r="H11" s="4">
        <f ca="1">SUMIF('Individual Sites'!$R:$R, 'Grouped Sites'!$A11, 'Individual Sites'!Q:Q)</f>
        <v>545.43397788000004</v>
      </c>
    </row>
    <row r="12" spans="1:8" ht="14.5">
      <c r="A12" s="1" t="str">
        <f ca="1">IFERROR(__xludf.DUMMYFUNCTION("""COMPUTED_VALUE"""),"Daviess County Sheriff")</f>
        <v>Daviess County Sheriff</v>
      </c>
      <c r="B12" s="1" t="str">
        <f ca="1">INDEX('Individual Sites'!C12:C216, MATCH('Grouped Sites'!A12, 'Individual Sites'!R12:R216, 0))</f>
        <v>101 NE 4th St</v>
      </c>
      <c r="C12" s="1" t="str">
        <f ca="1">INDEX('Individual Sites'!D12:D216, MATCH('Grouped Sites'!A12, 'Individual Sites'!R12:R216, 0))</f>
        <v>WASHINGTON</v>
      </c>
      <c r="D12" s="3">
        <f ca="1">SUMIF('Individual Sites'!R:R, 'Grouped Sites'!$A12, 'Individual Sites'!J:J)</f>
        <v>1452.3428571428572</v>
      </c>
      <c r="E12" s="4">
        <f ca="1">SUMIF('Individual Sites'!$R:$R, 'Grouped Sites'!$A12, 'Individual Sites'!N:N)</f>
        <v>435702.85714285716</v>
      </c>
      <c r="F12" s="4">
        <f ca="1">SUMIF('Individual Sites'!$R:$R, 'Grouped Sites'!$A12, 'Individual Sites'!O:O)</f>
        <v>527636.16</v>
      </c>
      <c r="G12" s="4">
        <f ca="1">SUMIF('Individual Sites'!$R:$R, 'Grouped Sites'!$A12, 'Individual Sites'!P:P)</f>
        <v>49.937172061328795</v>
      </c>
      <c r="H12" s="4">
        <f ca="1">SUMIF('Individual Sites'!$R:$R, 'Grouped Sites'!$A12, 'Individual Sites'!Q:Q)</f>
        <v>368.81767583999999</v>
      </c>
    </row>
    <row r="13" spans="1:8" ht="14.5">
      <c r="A13" s="1" t="str">
        <f ca="1">IFERROR(__xludf.DUMMYFUNCTION("""COMPUTED_VALUE"""),"Greene County General Hospital")</f>
        <v>Greene County General Hospital</v>
      </c>
      <c r="B13" s="1" t="str">
        <f ca="1">INDEX('Individual Sites'!C13:C217, MATCH('Grouped Sites'!A13, 'Individual Sites'!R13:R217, 0))</f>
        <v>1185 County Rd 1000 W</v>
      </c>
      <c r="C13" s="1" t="str">
        <f ca="1">INDEX('Individual Sites'!D13:D217, MATCH('Grouped Sites'!A13, 'Individual Sites'!R13:R217, 0))</f>
        <v>LINTON</v>
      </c>
      <c r="D13" s="3">
        <f ca="1">SUMIF('Individual Sites'!R:R, 'Grouped Sites'!$A13, 'Individual Sites'!J:J)</f>
        <v>1448.8285714285714</v>
      </c>
      <c r="E13" s="4">
        <f ca="1">SUMIF('Individual Sites'!$R:$R, 'Grouped Sites'!$A13, 'Individual Sites'!N:N)</f>
        <v>434648.57142857142</v>
      </c>
      <c r="F13" s="4">
        <f ca="1">SUMIF('Individual Sites'!$R:$R, 'Grouped Sites'!$A13, 'Individual Sites'!O:O)</f>
        <v>526359.42000000004</v>
      </c>
      <c r="G13" s="4">
        <f ca="1">SUMIF('Individual Sites'!$R:$R, 'Grouped Sites'!$A13, 'Individual Sites'!P:P)</f>
        <v>49.816337308347535</v>
      </c>
      <c r="H13" s="4">
        <f ca="1">SUMIF('Individual Sites'!$R:$R, 'Grouped Sites'!$A13, 'Individual Sites'!Q:Q)</f>
        <v>367.92523457999999</v>
      </c>
    </row>
    <row r="14" spans="1:8" ht="14.5">
      <c r="A14" s="1" t="str">
        <f ca="1">IFERROR(__xludf.DUMMYFUNCTION("""COMPUTED_VALUE"""),"Linton Stockton Elementary")</f>
        <v>Linton Stockton Elementary</v>
      </c>
      <c r="B14" s="1" t="str">
        <f ca="1">INDEX('Individual Sites'!C14:C218, MATCH('Grouped Sites'!A14, 'Individual Sites'!R14:R218, 0))</f>
        <v>900 4th St NE</v>
      </c>
      <c r="C14" s="1" t="str">
        <f ca="1">INDEX('Individual Sites'!D14:D218, MATCH('Grouped Sites'!A14, 'Individual Sites'!R14:R218, 0))</f>
        <v>LINTON</v>
      </c>
      <c r="D14" s="3">
        <f ca="1">SUMIF('Individual Sites'!R:R, 'Grouped Sites'!$A14, 'Individual Sites'!J:J)</f>
        <v>3687.1285714285714</v>
      </c>
      <c r="E14" s="4">
        <f ca="1">SUMIF('Individual Sites'!$R:$R, 'Grouped Sites'!$A14, 'Individual Sites'!N:N)</f>
        <v>1106138.5714285714</v>
      </c>
      <c r="F14" s="4">
        <f ca="1">SUMIF('Individual Sites'!$R:$R, 'Grouped Sites'!$A14, 'Individual Sites'!O:O)</f>
        <v>1339533.8099999998</v>
      </c>
      <c r="G14" s="4">
        <f ca="1">SUMIF('Individual Sites'!$R:$R, 'Grouped Sites'!$A14, 'Individual Sites'!P:P)</f>
        <v>126.77775979557069</v>
      </c>
      <c r="H14" s="4">
        <f ca="1">SUMIF('Individual Sites'!$R:$R, 'Grouped Sites'!$A14, 'Individual Sites'!Q:Q)</f>
        <v>936.33413318999987</v>
      </c>
    </row>
    <row r="15" spans="1:8" ht="14.5">
      <c r="A15" s="1" t="str">
        <f ca="1">IFERROR(__xludf.DUMMYFUNCTION("""COMPUTED_VALUE"""),"Daviess County 4H Building")</f>
        <v>Daviess County 4H Building</v>
      </c>
      <c r="B15" s="1" t="str">
        <f ca="1">INDEX('Individual Sites'!C15:C219, MATCH('Grouped Sites'!A15, 'Individual Sites'!R15:R219, 0))</f>
        <v>4-H Way</v>
      </c>
      <c r="C15" s="1" t="str">
        <f ca="1">INDEX('Individual Sites'!D15:D219, MATCH('Grouped Sites'!A15, 'Individual Sites'!R15:R219, 0))</f>
        <v>WASHINGTON</v>
      </c>
      <c r="D15" s="3">
        <f ca="1">SUMIF('Individual Sites'!R:R, 'Grouped Sites'!$A15, 'Individual Sites'!J:J)</f>
        <v>1824.3428571428572</v>
      </c>
      <c r="E15" s="4">
        <f ca="1">SUMIF('Individual Sites'!$R:$R, 'Grouped Sites'!$A15, 'Individual Sites'!N:N)</f>
        <v>547302.85714285704</v>
      </c>
      <c r="F15" s="4">
        <f ca="1">SUMIF('Individual Sites'!$R:$R, 'Grouped Sites'!$A15, 'Individual Sites'!O:O)</f>
        <v>662783.75999999989</v>
      </c>
      <c r="G15" s="4">
        <f ca="1">SUMIF('Individual Sites'!$R:$R, 'Grouped Sites'!$A15, 'Individual Sites'!P:P)</f>
        <v>62.727972742759789</v>
      </c>
      <c r="H15" s="4">
        <f ca="1">SUMIF('Individual Sites'!$R:$R, 'Grouped Sites'!$A15, 'Individual Sites'!Q:Q)</f>
        <v>463.28584823999995</v>
      </c>
    </row>
    <row r="16" spans="1:8" ht="14.5">
      <c r="A16" s="1" t="str">
        <f ca="1">IFERROR(__xludf.DUMMYFUNCTION("""COMPUTED_VALUE"""),"Central Christian Church")</f>
        <v>Central Christian Church</v>
      </c>
      <c r="B16" s="1" t="str">
        <f ca="1">INDEX('Individual Sites'!C16:C220, MATCH('Grouped Sites'!A16, 'Individual Sites'!R16:R220, 0))</f>
        <v>903 SOUTH MAIN STREET</v>
      </c>
      <c r="C16" s="1" t="str">
        <f ca="1">INDEX('Individual Sites'!D16:D220, MATCH('Grouped Sites'!A16, 'Individual Sites'!R16:R220, 0))</f>
        <v>HUNTINGBURG</v>
      </c>
      <c r="D16" s="3">
        <f ca="1">SUMIF('Individual Sites'!R:R, 'Grouped Sites'!$A16, 'Individual Sites'!J:J)</f>
        <v>1706</v>
      </c>
      <c r="E16" s="4">
        <f ca="1">SUMIF('Individual Sites'!$R:$R, 'Grouped Sites'!$A16, 'Individual Sites'!N:N)</f>
        <v>511800</v>
      </c>
      <c r="F16" s="4">
        <f ca="1">SUMIF('Individual Sites'!$R:$R, 'Grouped Sites'!$A16, 'Individual Sites'!O:O)</f>
        <v>546625.24363636272</v>
      </c>
      <c r="G16" s="4">
        <f ca="1">SUMIF('Individual Sites'!$R:$R, 'Grouped Sites'!$A16, 'Individual Sites'!P:P)</f>
        <v>51.739999999999995</v>
      </c>
      <c r="H16" s="4">
        <f ca="1">SUMIF('Individual Sites'!$R:$R, 'Grouped Sites'!$A16, 'Individual Sites'!Q:Q)</f>
        <v>382.09104530181742</v>
      </c>
    </row>
    <row r="17" spans="1:8" ht="14.5">
      <c r="A17" s="1" t="str">
        <f ca="1">IFERROR(__xludf.DUMMYFUNCTION("""COMPUTED_VALUE"""),"Huntingburg Event Center")</f>
        <v>Huntingburg Event Center</v>
      </c>
      <c r="B17" s="1" t="str">
        <f ca="1">INDEX('Individual Sites'!C17:C221, MATCH('Grouped Sites'!A17, 'Individual Sites'!R17:R221, 0))</f>
        <v>110 EAST VETERANS PARKWAY</v>
      </c>
      <c r="C17" s="1" t="str">
        <f ca="1">INDEX('Individual Sites'!D17:D221, MATCH('Grouped Sites'!A17, 'Individual Sites'!R17:R221, 0))</f>
        <v>HUNTINGBURG</v>
      </c>
      <c r="D17" s="3">
        <f ca="1">SUMIF('Individual Sites'!R:R, 'Grouped Sites'!$A17, 'Individual Sites'!J:J)</f>
        <v>1228</v>
      </c>
      <c r="E17" s="4">
        <f ca="1">SUMIF('Individual Sites'!$R:$R, 'Grouped Sites'!$A17, 'Individual Sites'!N:N)</f>
        <v>368400</v>
      </c>
      <c r="F17" s="4">
        <f ca="1">SUMIF('Individual Sites'!$R:$R, 'Grouped Sites'!$A17, 'Individual Sites'!O:O)</f>
        <v>389137.57090908999</v>
      </c>
      <c r="G17" s="4">
        <f ca="1">SUMIF('Individual Sites'!$R:$R, 'Grouped Sites'!$A17, 'Individual Sites'!P:P)</f>
        <v>36.83</v>
      </c>
      <c r="H17" s="4">
        <f ca="1">SUMIF('Individual Sites'!$R:$R, 'Grouped Sites'!$A17, 'Individual Sites'!Q:Q)</f>
        <v>272.007162065454</v>
      </c>
    </row>
    <row r="18" spans="1:8" ht="14.5">
      <c r="A18" s="1" t="str">
        <f ca="1">IFERROR(__xludf.DUMMYFUNCTION("""COMPUTED_VALUE"""),"St. Mary's Catholic Church &amp; Rectory")</f>
        <v>St. Mary's Catholic Church &amp; Rectory</v>
      </c>
      <c r="B18" s="1" t="str">
        <f ca="1">INDEX('Individual Sites'!C18:C222, MATCH('Grouped Sites'!A18, 'Individual Sites'!R18:R222, 0))</f>
        <v>317 ST MARYS DRIVE WEST</v>
      </c>
      <c r="C18" s="1" t="str">
        <f ca="1">INDEX('Individual Sites'!D18:D222, MATCH('Grouped Sites'!A18, 'Individual Sites'!R18:R222, 0))</f>
        <v>HUNTINGBURG</v>
      </c>
      <c r="D18" s="3">
        <f ca="1">SUMIF('Individual Sites'!R:R, 'Grouped Sites'!$A18, 'Individual Sites'!J:J)</f>
        <v>961</v>
      </c>
      <c r="E18" s="4">
        <f ca="1">SUMIF('Individual Sites'!$R:$R, 'Grouped Sites'!$A18, 'Individual Sites'!N:N)</f>
        <v>288300</v>
      </c>
      <c r="F18" s="4">
        <f ca="1">SUMIF('Individual Sites'!$R:$R, 'Grouped Sites'!$A18, 'Individual Sites'!O:O)</f>
        <v>306541.52727272699</v>
      </c>
      <c r="G18" s="4">
        <f ca="1">SUMIF('Individual Sites'!$R:$R, 'Grouped Sites'!$A18, 'Individual Sites'!P:P)</f>
        <v>29.01</v>
      </c>
      <c r="H18" s="4">
        <f ca="1">SUMIF('Individual Sites'!$R:$R, 'Grouped Sites'!$A18, 'Individual Sites'!Q:Q)</f>
        <v>214.272527563636</v>
      </c>
    </row>
    <row r="19" spans="1:8" ht="14.5">
      <c r="A19" s="1" t="str">
        <f ca="1">IFERROR(__xludf.DUMMYFUNCTION("""COMPUTED_VALUE"""),"Our Lady of Hope")</f>
        <v>Our Lady of Hope</v>
      </c>
      <c r="B19" s="1" t="str">
        <f ca="1">INDEX('Individual Sites'!C19:C223, MATCH('Grouped Sites'!A19, 'Individual Sites'!R19:R223, 0))</f>
        <v>405 NE 3RD ST</v>
      </c>
      <c r="C19" s="1" t="str">
        <f ca="1">INDEX('Individual Sites'!D19:D223, MATCH('Grouped Sites'!A19, 'Individual Sites'!R19:R223, 0))</f>
        <v>WASHINGTON</v>
      </c>
      <c r="D19" s="3">
        <f ca="1">SUMIF('Individual Sites'!R:R, 'Grouped Sites'!$A19, 'Individual Sites'!J:J)</f>
        <v>960</v>
      </c>
      <c r="E19" s="4">
        <f ca="1">SUMIF('Individual Sites'!$R:$R, 'Grouped Sites'!$A19, 'Individual Sites'!N:N)</f>
        <v>288000</v>
      </c>
      <c r="F19" s="4">
        <f ca="1">SUMIF('Individual Sites'!$R:$R, 'Grouped Sites'!$A19, 'Individual Sites'!O:O)</f>
        <v>303269.23636363598</v>
      </c>
      <c r="G19" s="4">
        <f ca="1">SUMIF('Individual Sites'!$R:$R, 'Grouped Sites'!$A19, 'Individual Sites'!P:P)</f>
        <v>28.7</v>
      </c>
      <c r="H19" s="4">
        <f ca="1">SUMIF('Individual Sites'!$R:$R, 'Grouped Sites'!$A19, 'Individual Sites'!Q:Q)</f>
        <v>211.98519621818099</v>
      </c>
    </row>
    <row r="20" spans="1:8" ht="14.5">
      <c r="A20" s="1" t="str">
        <f ca="1">IFERROR(__xludf.DUMMYFUNCTION("""COMPUTED_VALUE"""),"Transportation Department")</f>
        <v>Transportation Department</v>
      </c>
      <c r="B20" s="1" t="str">
        <f ca="1">INDEX('Individual Sites'!C20:C224, MATCH('Grouped Sites'!A20, 'Individual Sites'!R20:R224, 0))</f>
        <v>616 SE 12th St</v>
      </c>
      <c r="C20" s="1" t="str">
        <f ca="1">INDEX('Individual Sites'!D20:D224, MATCH('Grouped Sites'!A20, 'Individual Sites'!R20:R224, 0))</f>
        <v>LINTON</v>
      </c>
      <c r="D20" s="3">
        <f ca="1">SUMIF('Individual Sites'!R:R, 'Grouped Sites'!$A20, 'Individual Sites'!J:J)</f>
        <v>790.71428571428567</v>
      </c>
      <c r="E20" s="4">
        <f ca="1">SUMIF('Individual Sites'!$R:$R, 'Grouped Sites'!$A20, 'Individual Sites'!N:N)</f>
        <v>237214.28571428571</v>
      </c>
      <c r="F20" s="4">
        <f ca="1">SUMIF('Individual Sites'!$R:$R, 'Grouped Sites'!$A20, 'Individual Sites'!O:O)</f>
        <v>287266.5</v>
      </c>
      <c r="G20" s="4">
        <f ca="1">SUMIF('Individual Sites'!$R:$R, 'Grouped Sites'!$A20, 'Individual Sites'!P:P)</f>
        <v>27.187819420783647</v>
      </c>
      <c r="H20" s="4">
        <f ca="1">SUMIF('Individual Sites'!$R:$R, 'Grouped Sites'!$A20, 'Individual Sites'!Q:Q)</f>
        <v>200.7992835</v>
      </c>
    </row>
    <row r="21" spans="1:8" ht="15.75" customHeight="1">
      <c r="A21" s="1" t="str">
        <f ca="1">IFERROR(__xludf.DUMMYFUNCTION("""COMPUTED_VALUE"""),"Greene County Recycling")</f>
        <v>Greene County Recycling</v>
      </c>
      <c r="B21" s="1" t="str">
        <f ca="1">INDEX('Individual Sites'!C21:C225, MATCH('Grouped Sites'!A21, 'Individual Sites'!R21:R225, 0))</f>
        <v>SE 12th Street</v>
      </c>
      <c r="C21" s="1" t="str">
        <f ca="1">INDEX('Individual Sites'!D21:D225, MATCH('Grouped Sites'!A21, 'Individual Sites'!R21:R225, 0))</f>
        <v>LINTON</v>
      </c>
      <c r="D21" s="3">
        <f ca="1">SUMIF('Individual Sites'!R:R, 'Grouped Sites'!$A21, 'Individual Sites'!J:J)</f>
        <v>676.28571428571422</v>
      </c>
      <c r="E21" s="4">
        <f ca="1">SUMIF('Individual Sites'!$R:$R, 'Grouped Sites'!$A21, 'Individual Sites'!N:N)</f>
        <v>202885.71428571426</v>
      </c>
      <c r="F21" s="4">
        <f ca="1">SUMIF('Individual Sites'!$R:$R, 'Grouped Sites'!$A21, 'Individual Sites'!O:O)</f>
        <v>245694.59999999998</v>
      </c>
      <c r="G21" s="4">
        <f ca="1">SUMIF('Individual Sites'!$R:$R, 'Grouped Sites'!$A21, 'Individual Sites'!P:P)</f>
        <v>23.253321976149913</v>
      </c>
      <c r="H21" s="4">
        <f ca="1">SUMIF('Individual Sites'!$R:$R, 'Grouped Sites'!$A21, 'Individual Sites'!Q:Q)</f>
        <v>171.74052539999997</v>
      </c>
    </row>
    <row r="22" spans="1:8" ht="15.75" customHeight="1">
      <c r="A22" s="1" t="str">
        <f ca="1">IFERROR(__xludf.DUMMYFUNCTION("""COMPUTED_VALUE"""),"Salem United Church of Christ")</f>
        <v>Salem United Church of Christ</v>
      </c>
      <c r="B22" s="1" t="str">
        <f ca="1">INDEX('Individual Sites'!C22:C226, MATCH('Grouped Sites'!A22, 'Individual Sites'!R22:R226, 0))</f>
        <v>202 EAST FOURTH STREET</v>
      </c>
      <c r="C22" s="1" t="str">
        <f ca="1">INDEX('Individual Sites'!D22:D226, MATCH('Grouped Sites'!A22, 'Individual Sites'!R22:R226, 0))</f>
        <v>HUNTINGBURG</v>
      </c>
      <c r="D22" s="3">
        <f ca="1">SUMIF('Individual Sites'!R:R, 'Grouped Sites'!$A22, 'Individual Sites'!J:J)</f>
        <v>884</v>
      </c>
      <c r="E22" s="4">
        <f ca="1">SUMIF('Individual Sites'!$R:$R, 'Grouped Sites'!$A22, 'Individual Sites'!N:N)</f>
        <v>265200</v>
      </c>
      <c r="F22" s="4">
        <f ca="1">SUMIF('Individual Sites'!$R:$R, 'Grouped Sites'!$A22, 'Individual Sites'!O:O)</f>
        <v>256565.0399999989</v>
      </c>
      <c r="G22" s="4">
        <f ca="1">SUMIF('Individual Sites'!$R:$R, 'Grouped Sites'!$A22, 'Individual Sites'!P:P)</f>
        <v>24.28</v>
      </c>
      <c r="H22" s="4">
        <f ca="1">SUMIF('Individual Sites'!$R:$R, 'Grouped Sites'!$A22, 'Individual Sites'!Q:Q)</f>
        <v>179.33896295999892</v>
      </c>
    </row>
    <row r="23" spans="1:8" ht="15.75" customHeight="1">
      <c r="A23" s="1" t="str">
        <f ca="1">IFERROR(__xludf.DUMMYFUNCTION("""COMPUTED_VALUE"""),"Grace Baptist Church")</f>
        <v>Grace Baptist Church</v>
      </c>
      <c r="B23" s="1" t="str">
        <f ca="1">INDEX('Individual Sites'!C23:C227, MATCH('Grouped Sites'!A23, 'Individual Sites'!R23:R227, 0))</f>
        <v>705 TROY RD</v>
      </c>
      <c r="C23" s="1" t="str">
        <f ca="1">INDEX('Individual Sites'!D23:D227, MATCH('Grouped Sites'!A23, 'Individual Sites'!R23:R227, 0))</f>
        <v>WASHINGTON</v>
      </c>
      <c r="D23" s="3">
        <f ca="1">SUMIF('Individual Sites'!R:R, 'Grouped Sites'!$A23, 'Individual Sites'!J:J)</f>
        <v>1428</v>
      </c>
      <c r="E23" s="4">
        <f ca="1">SUMIF('Individual Sites'!$R:$R, 'Grouped Sites'!$A23, 'Individual Sites'!N:N)</f>
        <v>428400</v>
      </c>
      <c r="F23" s="4">
        <f ca="1">SUMIF('Individual Sites'!$R:$R, 'Grouped Sites'!$A23, 'Individual Sites'!O:O)</f>
        <v>424848.17454545398</v>
      </c>
      <c r="G23" s="4">
        <f ca="1">SUMIF('Individual Sites'!$R:$R, 'Grouped Sites'!$A23, 'Individual Sites'!P:P)</f>
        <v>40.200000000000003</v>
      </c>
      <c r="H23" s="4">
        <f ca="1">SUMIF('Individual Sites'!$R:$R, 'Grouped Sites'!$A23, 'Individual Sites'!Q:Q)</f>
        <v>296.96887400727201</v>
      </c>
    </row>
    <row r="24" spans="1:8" ht="15.75" customHeight="1">
      <c r="A24" s="1" t="str">
        <f ca="1">IFERROR(__xludf.DUMMYFUNCTION("""COMPUTED_VALUE"""),"Washington Christ United Methodist Church")</f>
        <v>Washington Christ United Methodist Church</v>
      </c>
      <c r="B24" s="1" t="str">
        <f ca="1">INDEX('Individual Sites'!C24:C228, MATCH('Grouped Sites'!A24, 'Individual Sites'!R24:R228, 0))</f>
        <v>104 N MERIDIAN ST</v>
      </c>
      <c r="C24" s="1" t="str">
        <f ca="1">INDEX('Individual Sites'!D24:D228, MATCH('Grouped Sites'!A24, 'Individual Sites'!R24:R228, 0))</f>
        <v>WASHINGTON</v>
      </c>
      <c r="D24" s="3">
        <f ca="1">SUMIF('Individual Sites'!R:R, 'Grouped Sites'!$A24, 'Individual Sites'!J:J)</f>
        <v>971</v>
      </c>
      <c r="E24" s="4">
        <f ca="1">SUMIF('Individual Sites'!$R:$R, 'Grouped Sites'!$A24, 'Individual Sites'!N:N)</f>
        <v>291300</v>
      </c>
      <c r="F24" s="4">
        <f ca="1">SUMIF('Individual Sites'!$R:$R, 'Grouped Sites'!$A24, 'Individual Sites'!O:O)</f>
        <v>288125.54181818134</v>
      </c>
      <c r="G24" s="4">
        <f ca="1">SUMIF('Individual Sites'!$R:$R, 'Grouped Sites'!$A24, 'Individual Sites'!P:P)</f>
        <v>27.27</v>
      </c>
      <c r="H24" s="4">
        <f ca="1">SUMIF('Individual Sites'!$R:$R, 'Grouped Sites'!$A24, 'Individual Sites'!Q:Q)</f>
        <v>201.39975373090797</v>
      </c>
    </row>
    <row r="25" spans="1:8" ht="15.75" customHeight="1">
      <c r="A25" s="1" t="str">
        <f ca="1">IFERROR(__xludf.DUMMYFUNCTION("""COMPUTED_VALUE"""),"Washington Recycling Center")</f>
        <v>Washington Recycling Center</v>
      </c>
      <c r="B25" s="1" t="str">
        <f ca="1">INDEX('Individual Sites'!C25:C229, MATCH('Grouped Sites'!A25, 'Individual Sites'!R25:R229, 0))</f>
        <v>2200 Memorial Ave</v>
      </c>
      <c r="C25" s="1" t="str">
        <f ca="1">INDEX('Individual Sites'!D25:D229, MATCH('Grouped Sites'!A25, 'Individual Sites'!R25:R229, 0))</f>
        <v>WASHINGTON</v>
      </c>
      <c r="D25" s="3">
        <f ca="1">SUMIF('Individual Sites'!R:R, 'Grouped Sites'!$A25, 'Individual Sites'!J:J)</f>
        <v>1316.3571428571431</v>
      </c>
      <c r="E25" s="4">
        <f ca="1">SUMIF('Individual Sites'!$R:$R, 'Grouped Sites'!$A25, 'Individual Sites'!N:N)</f>
        <v>394907.14285714284</v>
      </c>
      <c r="F25" s="4">
        <f ca="1">SUMIF('Individual Sites'!$R:$R, 'Grouped Sites'!$A25, 'Individual Sites'!O:O)</f>
        <v>478232.55000000005</v>
      </c>
      <c r="G25" s="4">
        <f ca="1">SUMIF('Individual Sites'!$R:$R, 'Grouped Sites'!$A25, 'Individual Sites'!P:P)</f>
        <v>45.261456558773432</v>
      </c>
      <c r="H25" s="4">
        <f ca="1">SUMIF('Individual Sites'!$R:$R, 'Grouped Sites'!$A25, 'Individual Sites'!Q:Q)</f>
        <v>334.28455244999998</v>
      </c>
    </row>
    <row r="26" spans="1:8" ht="15.75" customHeight="1">
      <c r="A26" s="1" t="str">
        <f ca="1">IFERROR(__xludf.DUMMYFUNCTION("""COMPUTED_VALUE"""),"First Baptist Church")</f>
        <v>First Baptist Church</v>
      </c>
      <c r="B26" s="1" t="str">
        <f ca="1">INDEX('Individual Sites'!C26:C230, MATCH('Grouped Sites'!A26, 'Individual Sites'!R26:R230, 0))</f>
        <v>100 E WALNUT ST</v>
      </c>
      <c r="C26" s="1" t="str">
        <f ca="1">INDEX('Individual Sites'!D26:D230, MATCH('Grouped Sites'!A26, 'Individual Sites'!R26:R230, 0))</f>
        <v>WASHINGTON</v>
      </c>
      <c r="D26" s="3">
        <f ca="1">SUMIF('Individual Sites'!R:R, 'Grouped Sites'!$A26, 'Individual Sites'!J:J)</f>
        <v>889</v>
      </c>
      <c r="E26" s="4">
        <f ca="1">SUMIF('Individual Sites'!$R:$R, 'Grouped Sites'!$A26, 'Individual Sites'!N:N)</f>
        <v>266700</v>
      </c>
      <c r="F26" s="4">
        <f ca="1">SUMIF('Individual Sites'!$R:$R, 'Grouped Sites'!$A26, 'Individual Sites'!O:O)</f>
        <v>277756.93090909068</v>
      </c>
      <c r="G26" s="4">
        <f ca="1">SUMIF('Individual Sites'!$R:$R, 'Grouped Sites'!$A26, 'Individual Sites'!P:P)</f>
        <v>26.28</v>
      </c>
      <c r="H26" s="4">
        <f ca="1">SUMIF('Individual Sites'!$R:$R, 'Grouped Sites'!$A26, 'Individual Sites'!Q:Q)</f>
        <v>194.15209470545358</v>
      </c>
    </row>
    <row r="27" spans="1:8" ht="15.75" customHeight="1">
      <c r="A27" s="1" t="str">
        <f ca="1">IFERROR(__xludf.DUMMYFUNCTION("""COMPUTED_VALUE"""),"Evansville Goodwill Industries Inc.")</f>
        <v>Evansville Goodwill Industries Inc.</v>
      </c>
      <c r="B27" s="1" t="str">
        <f ca="1">INDEX('Individual Sites'!C27:C231, MATCH('Grouped Sites'!A27, 'Individual Sites'!R27:R231, 0))</f>
        <v>301 E HIGHLAND AV</v>
      </c>
      <c r="C27" s="1" t="str">
        <f ca="1">INDEX('Individual Sites'!D27:D231, MATCH('Grouped Sites'!A27, 'Individual Sites'!R27:R231, 0))</f>
        <v>WASHINGTON</v>
      </c>
      <c r="D27" s="3">
        <f ca="1">SUMIF('Individual Sites'!R:R, 'Grouped Sites'!$A27, 'Individual Sites'!J:J)</f>
        <v>537</v>
      </c>
      <c r="E27" s="4">
        <f ca="1">SUMIF('Individual Sites'!$R:$R, 'Grouped Sites'!$A27, 'Individual Sites'!N:N)</f>
        <v>161100</v>
      </c>
      <c r="F27" s="4">
        <f ca="1">SUMIF('Individual Sites'!$R:$R, 'Grouped Sites'!$A27, 'Individual Sites'!O:O)</f>
        <v>173062.407272727</v>
      </c>
      <c r="G27" s="4">
        <f ca="1">SUMIF('Individual Sites'!$R:$R, 'Grouped Sites'!$A27, 'Individual Sites'!P:P)</f>
        <v>16.38</v>
      </c>
      <c r="H27" s="4">
        <f ca="1">SUMIF('Individual Sites'!$R:$R, 'Grouped Sites'!$A27, 'Individual Sites'!Q:Q)</f>
        <v>120.97062268363599</v>
      </c>
    </row>
    <row r="28" spans="1:8" ht="15.75" customHeight="1">
      <c r="A28" s="1" t="str">
        <f ca="1">IFERROR(__xludf.DUMMYFUNCTION("""COMPUTED_VALUE"""),"Linton Police Department")</f>
        <v>Linton Police Department</v>
      </c>
      <c r="B28" s="1" t="str">
        <f ca="1">INDEX('Individual Sites'!C28:C232, MATCH('Grouped Sites'!A28, 'Individual Sites'!R28:R232, 0))</f>
        <v>190 A St NW</v>
      </c>
      <c r="C28" s="1" t="str">
        <f ca="1">INDEX('Individual Sites'!D28:D232, MATCH('Grouped Sites'!A28, 'Individual Sites'!R28:R232, 0))</f>
        <v>LINTON</v>
      </c>
      <c r="D28" s="3">
        <f ca="1">SUMIF('Individual Sites'!R:R, 'Grouped Sites'!$A28, 'Individual Sites'!J:J)</f>
        <v>450.34285714285716</v>
      </c>
      <c r="E28" s="4">
        <f ca="1">SUMIF('Individual Sites'!$R:$R, 'Grouped Sites'!$A28, 'Individual Sites'!N:N)</f>
        <v>135102.85714285716</v>
      </c>
      <c r="F28" s="4">
        <f ca="1">SUMIF('Individual Sites'!$R:$R, 'Grouped Sites'!$A28, 'Individual Sites'!O:O)</f>
        <v>163609.56</v>
      </c>
      <c r="G28" s="4">
        <f ca="1">SUMIF('Individual Sites'!$R:$R, 'Grouped Sites'!$A28, 'Individual Sites'!P:P)</f>
        <v>15.484531516183987</v>
      </c>
      <c r="H28" s="4">
        <f ca="1">SUMIF('Individual Sites'!$R:$R, 'Grouped Sites'!$A28, 'Individual Sites'!Q:Q)</f>
        <v>114.36308244</v>
      </c>
    </row>
    <row r="29" spans="1:8" ht="15.75" customHeight="1">
      <c r="A29" s="1" t="str">
        <f ca="1">IFERROR(__xludf.DUMMYFUNCTION("""COMPUTED_VALUE"""),"Gettelfinger, Gerald A Bishop Roman Catholic Church")</f>
        <v>Gettelfinger, Gerald A Bishop Roman Catholic Church</v>
      </c>
      <c r="B29" s="1" t="str">
        <f ca="1">INDEX('Individual Sites'!C29:C233, MATCH('Grouped Sites'!A29, 'Individual Sites'!R29:R233, 0))</f>
        <v>201 NE 2ND ST</v>
      </c>
      <c r="C29" s="1" t="str">
        <f ca="1">INDEX('Individual Sites'!D29:D233, MATCH('Grouped Sites'!A29, 'Individual Sites'!R29:R233, 0))</f>
        <v>WASHINGTON</v>
      </c>
      <c r="D29" s="3">
        <f ca="1">SUMIF('Individual Sites'!R:R, 'Grouped Sites'!$A29, 'Individual Sites'!J:J)</f>
        <v>1006</v>
      </c>
      <c r="E29" s="4">
        <f ca="1">SUMIF('Individual Sites'!$R:$R, 'Grouped Sites'!$A29, 'Individual Sites'!N:N)</f>
        <v>301800</v>
      </c>
      <c r="F29" s="4">
        <f ca="1">SUMIF('Individual Sites'!$R:$R, 'Grouped Sites'!$A29, 'Individual Sites'!O:O)</f>
        <v>321157.43999999901</v>
      </c>
      <c r="G29" s="4">
        <f ca="1">SUMIF('Individual Sites'!$R:$R, 'Grouped Sites'!$A29, 'Individual Sites'!P:P)</f>
        <v>30.39</v>
      </c>
      <c r="H29" s="4">
        <f ca="1">SUMIF('Individual Sites'!$R:$R, 'Grouped Sites'!$A29, 'Individual Sites'!Q:Q)</f>
        <v>224.48905055999899</v>
      </c>
    </row>
    <row r="30" spans="1:8" ht="15.75" customHeight="1">
      <c r="A30" s="1" t="str">
        <f ca="1">IFERROR(__xludf.DUMMYFUNCTION("""COMPUTED_VALUE"""),"Memorial Health Washington")</f>
        <v>Memorial Health Washington</v>
      </c>
      <c r="B30" s="1" t="str">
        <f ca="1">INDEX('Individual Sites'!C30:C234, MATCH('Grouped Sites'!A30, 'Individual Sites'!R30:R234, 0))</f>
        <v>600 S STATE ROAD 57</v>
      </c>
      <c r="C30" s="1" t="str">
        <f ca="1">INDEX('Individual Sites'!D30:D234, MATCH('Grouped Sites'!A30, 'Individual Sites'!R30:R234, 0))</f>
        <v>WASHINGTON</v>
      </c>
      <c r="D30" s="3">
        <f ca="1">SUMIF('Individual Sites'!R:R, 'Grouped Sites'!$A30, 'Individual Sites'!J:J)</f>
        <v>502</v>
      </c>
      <c r="E30" s="4">
        <f ca="1">SUMIF('Individual Sites'!$R:$R, 'Grouped Sites'!$A30, 'Individual Sites'!N:N)</f>
        <v>150600</v>
      </c>
      <c r="F30" s="4">
        <f ca="1">SUMIF('Individual Sites'!$R:$R, 'Grouped Sites'!$A30, 'Individual Sites'!O:O)</f>
        <v>159931.72363636299</v>
      </c>
      <c r="G30" s="4">
        <f ca="1">SUMIF('Individual Sites'!$R:$R, 'Grouped Sites'!$A30, 'Individual Sites'!P:P)</f>
        <v>15.14</v>
      </c>
      <c r="H30" s="4">
        <f ca="1">SUMIF('Individual Sites'!$R:$R, 'Grouped Sites'!$A30, 'Individual Sites'!Q:Q)</f>
        <v>111.792274821818</v>
      </c>
    </row>
    <row r="31" spans="1:8" ht="15.75" customHeight="1">
      <c r="A31" s="1" t="str">
        <f ca="1">IFERROR(__xludf.DUMMYFUNCTION("""COMPUTED_VALUE"""),"Harvest Community Fellowship")</f>
        <v>Harvest Community Fellowship</v>
      </c>
      <c r="B31" s="1" t="str">
        <f ca="1">INDEX('Individual Sites'!C31:C235, MATCH('Grouped Sites'!A31, 'Individual Sites'!R31:R235, 0))</f>
        <v>200 W MAIN ST</v>
      </c>
      <c r="C31" s="1" t="str">
        <f ca="1">INDEX('Individual Sites'!D31:D235, MATCH('Grouped Sites'!A31, 'Individual Sites'!R31:R235, 0))</f>
        <v>WASHINGTON</v>
      </c>
      <c r="D31" s="3">
        <f ca="1">SUMIF('Individual Sites'!R:R, 'Grouped Sites'!$A31, 'Individual Sites'!J:J)</f>
        <v>563</v>
      </c>
      <c r="E31" s="4">
        <f ca="1">SUMIF('Individual Sites'!$R:$R, 'Grouped Sites'!$A31, 'Individual Sites'!N:N)</f>
        <v>168900</v>
      </c>
      <c r="F31" s="4">
        <f ca="1">SUMIF('Individual Sites'!$R:$R, 'Grouped Sites'!$A31, 'Individual Sites'!O:O)</f>
        <v>175157.71636363622</v>
      </c>
      <c r="G31" s="4">
        <f ca="1">SUMIF('Individual Sites'!$R:$R, 'Grouped Sites'!$A31, 'Individual Sites'!P:P)</f>
        <v>16.57</v>
      </c>
      <c r="H31" s="4">
        <f ca="1">SUMIF('Individual Sites'!$R:$R, 'Grouped Sites'!$A31, 'Individual Sites'!Q:Q)</f>
        <v>122.4352437381813</v>
      </c>
    </row>
    <row r="32" spans="1:8" ht="15.75" customHeight="1">
      <c r="A32" s="1" t="str">
        <f ca="1">IFERROR(__xludf.DUMMYFUNCTION("""COMPUTED_VALUE"""),"Linton Fire Department")</f>
        <v>Linton Fire Department</v>
      </c>
      <c r="B32" s="1" t="str">
        <f ca="1">INDEX('Individual Sites'!C32:C236, MATCH('Grouped Sites'!A32, 'Individual Sites'!R32:R236, 0))</f>
        <v>230 A St NW</v>
      </c>
      <c r="C32" s="1" t="str">
        <f ca="1">INDEX('Individual Sites'!D32:D236, MATCH('Grouped Sites'!A32, 'Individual Sites'!R32:R236, 0))</f>
        <v>LINTON</v>
      </c>
      <c r="D32" s="3">
        <f ca="1">SUMIF('Individual Sites'!R:R, 'Grouped Sites'!$A32, 'Individual Sites'!J:J)</f>
        <v>416.82857142857142</v>
      </c>
      <c r="E32" s="4">
        <f ca="1">SUMIF('Individual Sites'!$R:$R, 'Grouped Sites'!$A32, 'Individual Sites'!N:N)</f>
        <v>125048.57142857142</v>
      </c>
      <c r="F32" s="4">
        <f ca="1">SUMIF('Individual Sites'!$R:$R, 'Grouped Sites'!$A32, 'Individual Sites'!O:O)</f>
        <v>151433.81999999998</v>
      </c>
      <c r="G32" s="4">
        <f ca="1">SUMIF('Individual Sites'!$R:$R, 'Grouped Sites'!$A32, 'Individual Sites'!P:P)</f>
        <v>14.332180579216352</v>
      </c>
      <c r="H32" s="4">
        <f ca="1">SUMIF('Individual Sites'!$R:$R, 'Grouped Sites'!$A32, 'Individual Sites'!Q:Q)</f>
        <v>105.85224017999998</v>
      </c>
    </row>
    <row r="33" spans="1:8" ht="15.75" customHeight="1">
      <c r="A33" s="1" t="str">
        <f ca="1">IFERROR(__xludf.DUMMYFUNCTION("""COMPUTED_VALUE"""),"Washington Assembly of God")</f>
        <v>Washington Assembly of God</v>
      </c>
      <c r="B33" s="1" t="str">
        <f ca="1">INDEX('Individual Sites'!C33:C237, MATCH('Grouped Sites'!A33, 'Individual Sites'!R33:R237, 0))</f>
        <v>320 S MERIDIAN ST</v>
      </c>
      <c r="C33" s="1" t="str">
        <f ca="1">INDEX('Individual Sites'!D33:D237, MATCH('Grouped Sites'!A33, 'Individual Sites'!R33:R237, 0))</f>
        <v>WASHINGTON</v>
      </c>
      <c r="D33" s="3">
        <f ca="1">SUMIF('Individual Sites'!R:R, 'Grouped Sites'!$A33, 'Individual Sites'!J:J)</f>
        <v>485</v>
      </c>
      <c r="E33" s="4">
        <f ca="1">SUMIF('Individual Sites'!$R:$R, 'Grouped Sites'!$A33, 'Individual Sites'!N:N)</f>
        <v>145500</v>
      </c>
      <c r="F33" s="4">
        <f ca="1">SUMIF('Individual Sites'!$R:$R, 'Grouped Sites'!$A33, 'Individual Sites'!O:O)</f>
        <v>144875.672727272</v>
      </c>
      <c r="G33" s="4">
        <f ca="1">SUMIF('Individual Sites'!$R:$R, 'Grouped Sites'!$A33, 'Individual Sites'!P:P)</f>
        <v>13.71</v>
      </c>
      <c r="H33" s="4">
        <f ca="1">SUMIF('Individual Sites'!$R:$R, 'Grouped Sites'!$A33, 'Individual Sites'!Q:Q)</f>
        <v>101.268095236363</v>
      </c>
    </row>
    <row r="34" spans="1:8" ht="15.75" customHeight="1">
      <c r="A34" s="1" t="str">
        <f ca="1">IFERROR(__xludf.DUMMYFUNCTION("""COMPUTED_VALUE"""),"Huntingburg United Methodist")</f>
        <v>Huntingburg United Methodist</v>
      </c>
      <c r="B34" s="1" t="str">
        <f ca="1">INDEX('Individual Sites'!C34:C238, MATCH('Grouped Sites'!A34, 'Individual Sites'!R34:R238, 0))</f>
        <v>416 NORTH MAIN STREET</v>
      </c>
      <c r="C34" s="1" t="str">
        <f ca="1">INDEX('Individual Sites'!D34:D238, MATCH('Grouped Sites'!A34, 'Individual Sites'!R34:R238, 0))</f>
        <v>HUNTINGBURG</v>
      </c>
      <c r="D34" s="3">
        <f ca="1">SUMIF('Individual Sites'!R:R, 'Grouped Sites'!$A34, 'Individual Sites'!J:J)</f>
        <v>460</v>
      </c>
      <c r="E34" s="4">
        <f ca="1">SUMIF('Individual Sites'!$R:$R, 'Grouped Sites'!$A34, 'Individual Sites'!N:N)</f>
        <v>138000</v>
      </c>
      <c r="F34" s="4">
        <f ca="1">SUMIF('Individual Sites'!$R:$R, 'Grouped Sites'!$A34, 'Individual Sites'!O:O)</f>
        <v>143600.29090908999</v>
      </c>
      <c r="G34" s="4">
        <f ca="1">SUMIF('Individual Sites'!$R:$R, 'Grouped Sites'!$A34, 'Individual Sites'!P:P)</f>
        <v>13.59</v>
      </c>
      <c r="H34" s="4">
        <f ca="1">SUMIF('Individual Sites'!$R:$R, 'Grouped Sites'!$A34, 'Individual Sites'!Q:Q)</f>
        <v>100.376603345454</v>
      </c>
    </row>
    <row r="35" spans="1:8" ht="15.75" customHeight="1">
      <c r="A35" s="1" t="str">
        <f ca="1">IFERROR(__xludf.DUMMYFUNCTION("""COMPUTED_VALUE"""),"Public Health Sanitarian")</f>
        <v>Public Health Sanitarian</v>
      </c>
      <c r="B35" s="1" t="str">
        <f ca="1">INDEX('Individual Sites'!C35:C239, MATCH('Grouped Sites'!A35, 'Individual Sites'!R35:R239, 0))</f>
        <v>110 E HEFRON ST</v>
      </c>
      <c r="C35" s="1" t="str">
        <f ca="1">INDEX('Individual Sites'!D35:D239, MATCH('Grouped Sites'!A35, 'Individual Sites'!R35:R239, 0))</f>
        <v>WASHINGTON</v>
      </c>
      <c r="D35" s="3">
        <f ca="1">SUMIF('Individual Sites'!R:R, 'Grouped Sites'!$A35, 'Individual Sites'!J:J)</f>
        <v>475</v>
      </c>
      <c r="E35" s="4">
        <f ca="1">SUMIF('Individual Sites'!$R:$R, 'Grouped Sites'!$A35, 'Individual Sites'!N:N)</f>
        <v>142500</v>
      </c>
      <c r="F35" s="4">
        <f ca="1">SUMIF('Individual Sites'!$R:$R, 'Grouped Sites'!$A35, 'Individual Sites'!O:O)</f>
        <v>133317.818181818</v>
      </c>
      <c r="G35" s="4">
        <f ca="1">SUMIF('Individual Sites'!$R:$R, 'Grouped Sites'!$A35, 'Individual Sites'!P:P)</f>
        <v>12.62</v>
      </c>
      <c r="H35" s="4">
        <f ca="1">SUMIF('Individual Sites'!$R:$R, 'Grouped Sites'!$A35, 'Individual Sites'!Q:Q)</f>
        <v>93.189154909090902</v>
      </c>
    </row>
    <row r="36" spans="1:8" ht="15.75" customHeight="1">
      <c r="A36" s="1" t="str">
        <f ca="1">IFERROR(__xludf.DUMMYFUNCTION("""COMPUTED_VALUE"""),"YMI Club")</f>
        <v>YMI Club</v>
      </c>
      <c r="B36" s="1" t="str">
        <f ca="1">INDEX('Individual Sites'!C36:C240, MATCH('Grouped Sites'!A36, 'Individual Sites'!R36:R240, 0))</f>
        <v>421 NORTH VAN BUREN STREET</v>
      </c>
      <c r="C36" s="1" t="str">
        <f ca="1">INDEX('Individual Sites'!D36:D240, MATCH('Grouped Sites'!A36, 'Individual Sites'!R36:R240, 0))</f>
        <v>HUNTINGBURG</v>
      </c>
      <c r="D36" s="3">
        <f ca="1">SUMIF('Individual Sites'!R:R, 'Grouped Sites'!$A36, 'Individual Sites'!J:J)</f>
        <v>410</v>
      </c>
      <c r="E36" s="4">
        <f ca="1">SUMIF('Individual Sites'!$R:$R, 'Grouped Sites'!$A36, 'Individual Sites'!N:N)</f>
        <v>123000</v>
      </c>
      <c r="F36" s="4">
        <f ca="1">SUMIF('Individual Sites'!$R:$R, 'Grouped Sites'!$A36, 'Individual Sites'!O:O)</f>
        <v>133358.83636363599</v>
      </c>
      <c r="G36" s="4">
        <f ca="1">SUMIF('Individual Sites'!$R:$R, 'Grouped Sites'!$A36, 'Individual Sites'!P:P)</f>
        <v>12.62</v>
      </c>
      <c r="H36" s="4">
        <f ca="1">SUMIF('Individual Sites'!$R:$R, 'Grouped Sites'!$A36, 'Individual Sites'!Q:Q)</f>
        <v>93.217826618181803</v>
      </c>
    </row>
    <row r="37" spans="1:8" ht="15.75" customHeight="1">
      <c r="A37" s="1" t="str">
        <f ca="1">IFERROR(__xludf.DUMMYFUNCTION("""COMPUTED_VALUE"""),"(The) First Christian Church,")</f>
        <v>(The) First Christian Church,</v>
      </c>
      <c r="B37" s="1" t="str">
        <f ca="1">INDEX('Individual Sites'!C37:C241, MATCH('Grouped Sites'!A37, 'Individual Sites'!R37:R241, 0))</f>
        <v>117 NE 3RD ST</v>
      </c>
      <c r="C37" s="1" t="str">
        <f ca="1">INDEX('Individual Sites'!D37:D241, MATCH('Grouped Sites'!A37, 'Individual Sites'!R37:R241, 0))</f>
        <v>WASHINGTON</v>
      </c>
      <c r="D37" s="3">
        <f ca="1">SUMIF('Individual Sites'!R:R, 'Grouped Sites'!$A37, 'Individual Sites'!J:J)</f>
        <v>407</v>
      </c>
      <c r="E37" s="4">
        <f ca="1">SUMIF('Individual Sites'!$R:$R, 'Grouped Sites'!$A37, 'Individual Sites'!N:N)</f>
        <v>122100</v>
      </c>
      <c r="F37" s="4">
        <f ca="1">SUMIF('Individual Sites'!$R:$R, 'Grouped Sites'!$A37, 'Individual Sites'!O:O)</f>
        <v>132240.95999999999</v>
      </c>
      <c r="G37" s="4">
        <f ca="1">SUMIF('Individual Sites'!$R:$R, 'Grouped Sites'!$A37, 'Individual Sites'!P:P)</f>
        <v>12.52</v>
      </c>
      <c r="H37" s="4">
        <f ca="1">SUMIF('Individual Sites'!$R:$R, 'Grouped Sites'!$A37, 'Individual Sites'!Q:Q)</f>
        <v>92.436431039999903</v>
      </c>
    </row>
    <row r="38" spans="1:8" ht="15.75" customHeight="1">
      <c r="A38" s="1" t="str">
        <f ca="1">IFERROR(__xludf.DUMMYFUNCTION("""COMPUTED_VALUE"""),"A Kid's Place")</f>
        <v>A Kid's Place</v>
      </c>
      <c r="B38" s="1" t="str">
        <f ca="1">INDEX('Individual Sites'!C38:C242, MATCH('Grouped Sites'!A38, 'Individual Sites'!R38:R242, 0))</f>
        <v>505 EAST FIRST STREET</v>
      </c>
      <c r="C38" s="1" t="str">
        <f ca="1">INDEX('Individual Sites'!D38:D242, MATCH('Grouped Sites'!A38, 'Individual Sites'!R38:R242, 0))</f>
        <v>HUNTINGBURG</v>
      </c>
      <c r="D38" s="3">
        <f ca="1">SUMIF('Individual Sites'!R:R, 'Grouped Sites'!$A38, 'Individual Sites'!J:J)</f>
        <v>411</v>
      </c>
      <c r="E38" s="4">
        <f ca="1">SUMIF('Individual Sites'!$R:$R, 'Grouped Sites'!$A38, 'Individual Sites'!N:N)</f>
        <v>123300</v>
      </c>
      <c r="F38" s="4">
        <f ca="1">SUMIF('Individual Sites'!$R:$R, 'Grouped Sites'!$A38, 'Individual Sites'!O:O)</f>
        <v>125783.934545454</v>
      </c>
      <c r="G38" s="4">
        <f ca="1">SUMIF('Individual Sites'!$R:$R, 'Grouped Sites'!$A38, 'Individual Sites'!P:P)</f>
        <v>11.9</v>
      </c>
      <c r="H38" s="4">
        <f ca="1">SUMIF('Individual Sites'!$R:$R, 'Grouped Sites'!$A38, 'Individual Sites'!Q:Q)</f>
        <v>87.922970247272701</v>
      </c>
    </row>
    <row r="39" spans="1:8" ht="15.75" customHeight="1">
      <c r="A39" s="1" t="str">
        <f ca="1">IFERROR(__xludf.DUMMYFUNCTION("""COMPUTED_VALUE"""),"VFW Post 2366")</f>
        <v>VFW Post 2366</v>
      </c>
      <c r="B39" s="1" t="str">
        <f ca="1">INDEX('Individual Sites'!C39:C243, MATCH('Grouped Sites'!A39, 'Individual Sites'!R39:R243, 0))</f>
        <v>314 NORTH GEIGER STREET</v>
      </c>
      <c r="C39" s="1" t="str">
        <f ca="1">INDEX('Individual Sites'!D39:D243, MATCH('Grouped Sites'!A39, 'Individual Sites'!R39:R243, 0))</f>
        <v>HUNTINGBURG</v>
      </c>
      <c r="D39" s="3">
        <f ca="1">SUMIF('Individual Sites'!R:R, 'Grouped Sites'!$A39, 'Individual Sites'!J:J)</f>
        <v>412</v>
      </c>
      <c r="E39" s="4">
        <f ca="1">SUMIF('Individual Sites'!$R:$R, 'Grouped Sites'!$A39, 'Individual Sites'!N:N)</f>
        <v>123600</v>
      </c>
      <c r="F39" s="4">
        <f ca="1">SUMIF('Individual Sites'!$R:$R, 'Grouped Sites'!$A39, 'Individual Sites'!O:O)</f>
        <v>123788.77090909</v>
      </c>
      <c r="G39" s="4">
        <f ca="1">SUMIF('Individual Sites'!$R:$R, 'Grouped Sites'!$A39, 'Individual Sites'!P:P)</f>
        <v>11.72</v>
      </c>
      <c r="H39" s="4">
        <f ca="1">SUMIF('Individual Sites'!$R:$R, 'Grouped Sites'!$A39, 'Individual Sites'!Q:Q)</f>
        <v>86.528350865454499</v>
      </c>
    </row>
    <row r="40" spans="1:8" ht="15.75" customHeight="1">
      <c r="A40" s="1" t="str">
        <f ca="1">IFERROR(__xludf.DUMMYFUNCTION("""COMPUTED_VALUE"""),"Breath of Life Ministry Center Inc")</f>
        <v>Breath of Life Ministry Center Inc</v>
      </c>
      <c r="B40" s="1" t="str">
        <f ca="1">INDEX('Individual Sites'!C40:C244, MATCH('Grouped Sites'!A40, 'Individual Sites'!R40:R244, 0))</f>
        <v>90 B ST NW</v>
      </c>
      <c r="C40" s="1" t="str">
        <f ca="1">INDEX('Individual Sites'!D40:D244, MATCH('Grouped Sites'!A40, 'Individual Sites'!R40:R244, 0))</f>
        <v>LINTON</v>
      </c>
      <c r="D40" s="3">
        <f ca="1">SUMIF('Individual Sites'!R:R, 'Grouped Sites'!$A40, 'Individual Sites'!J:J)</f>
        <v>444</v>
      </c>
      <c r="E40" s="4">
        <f ca="1">SUMIF('Individual Sites'!$R:$R, 'Grouped Sites'!$A40, 'Individual Sites'!N:N)</f>
        <v>133200</v>
      </c>
      <c r="F40" s="4">
        <f ca="1">SUMIF('Individual Sites'!$R:$R, 'Grouped Sites'!$A40, 'Individual Sites'!O:O)</f>
        <v>120558.109090909</v>
      </c>
      <c r="G40" s="4">
        <f ca="1">SUMIF('Individual Sites'!$R:$R, 'Grouped Sites'!$A40, 'Individual Sites'!P:P)</f>
        <v>11.41</v>
      </c>
      <c r="H40" s="4">
        <f ca="1">SUMIF('Individual Sites'!$R:$R, 'Grouped Sites'!$A40, 'Individual Sites'!Q:Q)</f>
        <v>84.270118254545395</v>
      </c>
    </row>
    <row r="41" spans="1:8" ht="15.75" customHeight="1">
      <c r="A41" s="1" t="str">
        <f ca="1">IFERROR(__xludf.DUMMYFUNCTION("""COMPUTED_VALUE"""),"Daviess County Department of Child Services")</f>
        <v>Daviess County Department of Child Services</v>
      </c>
      <c r="B41" s="1" t="str">
        <f ca="1">INDEX('Individual Sites'!C41:C245, MATCH('Grouped Sites'!A41, 'Individual Sites'!R41:R245, 0))</f>
        <v>4 NE 21st St</v>
      </c>
      <c r="C41" s="1" t="str">
        <f ca="1">INDEX('Individual Sites'!D41:D245, MATCH('Grouped Sites'!A41, 'Individual Sites'!R41:R245, 0))</f>
        <v>WASHINGTON</v>
      </c>
      <c r="D41" s="3">
        <f ca="1">SUMIF('Individual Sites'!R:R, 'Grouped Sites'!$A41, 'Individual Sites'!J:J)</f>
        <v>324.29999999999995</v>
      </c>
      <c r="E41" s="4">
        <f ca="1">SUMIF('Individual Sites'!$R:$R, 'Grouped Sites'!$A41, 'Individual Sites'!N:N)</f>
        <v>97289.999999999985</v>
      </c>
      <c r="F41" s="4">
        <f ca="1">SUMIF('Individual Sites'!$R:$R, 'Grouped Sites'!$A41, 'Individual Sites'!O:O)</f>
        <v>117818.18999999999</v>
      </c>
      <c r="G41" s="4">
        <f ca="1">SUMIF('Individual Sites'!$R:$R, 'Grouped Sites'!$A41, 'Individual Sites'!P:P)</f>
        <v>11.150689948892673</v>
      </c>
      <c r="H41" s="4">
        <f ca="1">SUMIF('Individual Sites'!$R:$R, 'Grouped Sites'!$A41, 'Individual Sites'!Q:Q)</f>
        <v>82.354914809999983</v>
      </c>
    </row>
    <row r="42" spans="1:8" ht="15.75" customHeight="1">
      <c r="A42" s="1" t="str">
        <f ca="1">IFERROR(__xludf.DUMMYFUNCTION("""COMPUTED_VALUE"""),"Huntingburg Eagles")</f>
        <v>Huntingburg Eagles</v>
      </c>
      <c r="B42" s="1" t="str">
        <f ca="1">INDEX('Individual Sites'!C42:C246, MATCH('Grouped Sites'!A42, 'Individual Sites'!R42:R246, 0))</f>
        <v>708 EAST SIXTH STREET</v>
      </c>
      <c r="C42" s="1" t="str">
        <f ca="1">INDEX('Individual Sites'!D42:D246, MATCH('Grouped Sites'!A42, 'Individual Sites'!R42:R246, 0))</f>
        <v>HUNTINGBURG</v>
      </c>
      <c r="D42" s="3">
        <f ca="1">SUMIF('Individual Sites'!R:R, 'Grouped Sites'!$A42, 'Individual Sites'!J:J)</f>
        <v>360</v>
      </c>
      <c r="E42" s="4">
        <f ca="1">SUMIF('Individual Sites'!$R:$R, 'Grouped Sites'!$A42, 'Individual Sites'!N:N)</f>
        <v>108000</v>
      </c>
      <c r="F42" s="4">
        <f ca="1">SUMIF('Individual Sites'!$R:$R, 'Grouped Sites'!$A42, 'Individual Sites'!O:O)</f>
        <v>114692.072727272</v>
      </c>
      <c r="G42" s="4">
        <f ca="1">SUMIF('Individual Sites'!$R:$R, 'Grouped Sites'!$A42, 'Individual Sites'!P:P)</f>
        <v>10.85</v>
      </c>
      <c r="H42" s="4">
        <f ca="1">SUMIF('Individual Sites'!$R:$R, 'Grouped Sites'!$A42, 'Individual Sites'!Q:Q)</f>
        <v>80.169758836363599</v>
      </c>
    </row>
    <row r="43" spans="1:8" ht="15.75" customHeight="1">
      <c r="A43" s="1" t="str">
        <f ca="1">IFERROR(__xludf.DUMMYFUNCTION("""COMPUTED_VALUE"""),"Sonlight Ministries")</f>
        <v>Sonlight Ministries</v>
      </c>
      <c r="B43" s="1" t="str">
        <f ca="1">INDEX('Individual Sites'!C43:C247, MATCH('Grouped Sites'!A43, 'Individual Sites'!R43:R247, 0))</f>
        <v>807 W VAN TREES ST</v>
      </c>
      <c r="C43" s="1" t="str">
        <f ca="1">INDEX('Individual Sites'!D43:D247, MATCH('Grouped Sites'!A43, 'Individual Sites'!R43:R247, 0))</f>
        <v>WASHINGTON</v>
      </c>
      <c r="D43" s="3">
        <f ca="1">SUMIF('Individual Sites'!R:R, 'Grouped Sites'!$A43, 'Individual Sites'!J:J)</f>
        <v>362</v>
      </c>
      <c r="E43" s="4">
        <f ca="1">SUMIF('Individual Sites'!$R:$R, 'Grouped Sites'!$A43, 'Individual Sites'!N:N)</f>
        <v>108600</v>
      </c>
      <c r="F43" s="4">
        <f ca="1">SUMIF('Individual Sites'!$R:$R, 'Grouped Sites'!$A43, 'Individual Sites'!O:O)</f>
        <v>109563.578181818</v>
      </c>
      <c r="G43" s="4">
        <f ca="1">SUMIF('Individual Sites'!$R:$R, 'Grouped Sites'!$A43, 'Individual Sites'!P:P)</f>
        <v>10.37</v>
      </c>
      <c r="H43" s="4">
        <f ca="1">SUMIF('Individual Sites'!$R:$R, 'Grouped Sites'!$A43, 'Individual Sites'!Q:Q)</f>
        <v>76.584941149090895</v>
      </c>
    </row>
    <row r="44" spans="1:8" ht="15.75" customHeight="1">
      <c r="A44" s="1" t="str">
        <f ca="1">IFERROR(__xludf.DUMMYFUNCTION("""COMPUTED_VALUE"""),"Linton City Hall / Municipal Utilities")</f>
        <v>Linton City Hall / Municipal Utilities</v>
      </c>
      <c r="B44" s="1" t="str">
        <f ca="1">INDEX('Individual Sites'!C44:C248, MATCH('Grouped Sites'!A44, 'Individual Sites'!R44:R248, 0))</f>
        <v>86 S Main St</v>
      </c>
      <c r="C44" s="1" t="str">
        <f ca="1">INDEX('Individual Sites'!D44:D248, MATCH('Grouped Sites'!A44, 'Individual Sites'!R44:R248, 0))</f>
        <v>LINTON</v>
      </c>
      <c r="D44" s="3">
        <f ca="1">SUMIF('Individual Sites'!R:R, 'Grouped Sites'!$A44, 'Individual Sites'!J:J)</f>
        <v>299.95714285714286</v>
      </c>
      <c r="E44" s="4">
        <f ca="1">SUMIF('Individual Sites'!$R:$R, 'Grouped Sites'!$A44, 'Individual Sites'!N:N)</f>
        <v>89987.142857142855</v>
      </c>
      <c r="F44" s="4">
        <f ca="1">SUMIF('Individual Sites'!$R:$R, 'Grouped Sites'!$A44, 'Individual Sites'!O:O)</f>
        <v>108974.43</v>
      </c>
      <c r="G44" s="4">
        <f ca="1">SUMIF('Individual Sites'!$R:$R, 'Grouped Sites'!$A44, 'Individual Sites'!P:P)</f>
        <v>10.313688245315161</v>
      </c>
      <c r="H44" s="4">
        <f ca="1">SUMIF('Individual Sites'!$R:$R, 'Grouped Sites'!$A44, 'Individual Sites'!Q:Q)</f>
        <v>76.173126569999994</v>
      </c>
    </row>
    <row r="45" spans="1:8" ht="15.75" customHeight="1">
      <c r="A45" s="1" t="str">
        <f ca="1">IFERROR(__xludf.DUMMYFUNCTION("""COMPUTED_VALUE"""),"Linton Housing Authority")</f>
        <v>Linton Housing Authority</v>
      </c>
      <c r="B45" s="1" t="str">
        <f ca="1">INDEX('Individual Sites'!C45:C249, MATCH('Grouped Sites'!A45, 'Individual Sites'!R45:R249, 0))</f>
        <v>1148 N 1300 W</v>
      </c>
      <c r="C45" s="1" t="str">
        <f ca="1">INDEX('Individual Sites'!D45:D249, MATCH('Grouped Sites'!A45, 'Individual Sites'!R45:R249, 0))</f>
        <v>LINTON</v>
      </c>
      <c r="D45" s="3">
        <f ca="1">SUMIF('Individual Sites'!R:R, 'Grouped Sites'!$A45, 'Individual Sites'!J:J)</f>
        <v>864.34285714285716</v>
      </c>
      <c r="E45" s="4">
        <f ca="1">SUMIF('Individual Sites'!$R:$R, 'Grouped Sites'!$A45, 'Individual Sites'!N:N)</f>
        <v>259302.85714285716</v>
      </c>
      <c r="F45" s="4">
        <f ca="1">SUMIF('Individual Sites'!$R:$R, 'Grouped Sites'!$A45, 'Individual Sites'!O:O)</f>
        <v>314015.76</v>
      </c>
      <c r="G45" s="4">
        <f ca="1">SUMIF('Individual Sites'!$R:$R, 'Grouped Sites'!$A45, 'Individual Sites'!P:P)</f>
        <v>29.719454855195913</v>
      </c>
      <c r="H45" s="4">
        <f ca="1">SUMIF('Individual Sites'!$R:$R, 'Grouped Sites'!$A45, 'Individual Sites'!Q:Q)</f>
        <v>219.49701623999999</v>
      </c>
    </row>
    <row r="46" spans="1:8" ht="15.75" customHeight="1">
      <c r="A46" s="1" t="str">
        <f ca="1">IFERROR(__xludf.DUMMYFUNCTION("""COMPUTED_VALUE"""),"River of Life Church")</f>
        <v>River of Life Church</v>
      </c>
      <c r="B46" s="1" t="str">
        <f ca="1">INDEX('Individual Sites'!C46:C250, MATCH('Grouped Sites'!A46, 'Individual Sites'!R46:R250, 0))</f>
        <v>402 NORTH VAN BUREN STREET</v>
      </c>
      <c r="C46" s="1" t="str">
        <f ca="1">INDEX('Individual Sites'!D46:D250, MATCH('Grouped Sites'!A46, 'Individual Sites'!R46:R250, 0))</f>
        <v>HUNTINGBURG</v>
      </c>
      <c r="D46" s="3">
        <f ca="1">SUMIF('Individual Sites'!R:R, 'Grouped Sites'!$A46, 'Individual Sites'!J:J)</f>
        <v>350</v>
      </c>
      <c r="E46" s="4">
        <f ca="1">SUMIF('Individual Sites'!$R:$R, 'Grouped Sites'!$A46, 'Individual Sites'!N:N)</f>
        <v>105000</v>
      </c>
      <c r="F46" s="4">
        <f ca="1">SUMIF('Individual Sites'!$R:$R, 'Grouped Sites'!$A46, 'Individual Sites'!O:O)</f>
        <v>107222.18181818099</v>
      </c>
      <c r="G46" s="4">
        <f ca="1">SUMIF('Individual Sites'!$R:$R, 'Grouped Sites'!$A46, 'Individual Sites'!P:P)</f>
        <v>10.15</v>
      </c>
      <c r="H46" s="4">
        <f ca="1">SUMIF('Individual Sites'!$R:$R, 'Grouped Sites'!$A46, 'Individual Sites'!Q:Q)</f>
        <v>74.948305090909003</v>
      </c>
    </row>
    <row r="47" spans="1:8" ht="15.75" customHeight="1">
      <c r="A47" s="1" t="str">
        <f ca="1">IFERROR(__xludf.DUMMYFUNCTION("""COMPUTED_VALUE"""),"New Life United Pentecostal Church")</f>
        <v>New Life United Pentecostal Church</v>
      </c>
      <c r="B47" s="1" t="str">
        <f ca="1">INDEX('Individual Sites'!C47:C251, MATCH('Grouped Sites'!A47, 'Individual Sites'!R47:R251, 0))</f>
        <v>104 WEST THIRD AVENUE</v>
      </c>
      <c r="C47" s="1" t="str">
        <f ca="1">INDEX('Individual Sites'!D47:D251, MATCH('Grouped Sites'!A47, 'Individual Sites'!R47:R251, 0))</f>
        <v>HUNTINGBURG</v>
      </c>
      <c r="D47" s="3">
        <f ca="1">SUMIF('Individual Sites'!R:R, 'Grouped Sites'!$A47, 'Individual Sites'!J:J)</f>
        <v>363</v>
      </c>
      <c r="E47" s="4">
        <f ca="1">SUMIF('Individual Sites'!$R:$R, 'Grouped Sites'!$A47, 'Individual Sites'!N:N)</f>
        <v>108900</v>
      </c>
      <c r="F47" s="4">
        <f ca="1">SUMIF('Individual Sites'!$R:$R, 'Grouped Sites'!$A47, 'Individual Sites'!O:O)</f>
        <v>104005.44</v>
      </c>
      <c r="G47" s="4">
        <f ca="1">SUMIF('Individual Sites'!$R:$R, 'Grouped Sites'!$A47, 'Individual Sites'!P:P)</f>
        <v>9.84</v>
      </c>
      <c r="H47" s="4">
        <f ca="1">SUMIF('Individual Sites'!$R:$R, 'Grouped Sites'!$A47, 'Individual Sites'!Q:Q)</f>
        <v>72.699802559999995</v>
      </c>
    </row>
    <row r="48" spans="1:8" ht="15.75" customHeight="1">
      <c r="A48" s="1" t="str">
        <f ca="1">IFERROR(__xludf.DUMMYFUNCTION("""COMPUTED_VALUE"""),"Head Start")</f>
        <v>Head Start</v>
      </c>
      <c r="B48" s="1" t="str">
        <f ca="1">INDEX('Individual Sites'!C48:C252, MATCH('Grouped Sites'!A48, 'Individual Sites'!R48:R252, 0))</f>
        <v>2103 COSBY RD</v>
      </c>
      <c r="C48" s="1" t="str">
        <f ca="1">INDEX('Individual Sites'!D48:D252, MATCH('Grouped Sites'!A48, 'Individual Sites'!R48:R252, 0))</f>
        <v>WASHINGTON</v>
      </c>
      <c r="D48" s="3">
        <f ca="1">SUMIF('Individual Sites'!R:R, 'Grouped Sites'!$A48, 'Individual Sites'!J:J)</f>
        <v>326</v>
      </c>
      <c r="E48" s="4">
        <f ca="1">SUMIF('Individual Sites'!$R:$R, 'Grouped Sites'!$A48, 'Individual Sites'!N:N)</f>
        <v>97800</v>
      </c>
      <c r="F48" s="4">
        <f ca="1">SUMIF('Individual Sites'!$R:$R, 'Grouped Sites'!$A48, 'Individual Sites'!O:O)</f>
        <v>102437.49818181799</v>
      </c>
      <c r="G48" s="4">
        <f ca="1">SUMIF('Individual Sites'!$R:$R, 'Grouped Sites'!$A48, 'Individual Sites'!P:P)</f>
        <v>9.6999999999999993</v>
      </c>
      <c r="H48" s="4">
        <f ca="1">SUMIF('Individual Sites'!$R:$R, 'Grouped Sites'!$A48, 'Individual Sites'!Q:Q)</f>
        <v>71.603811229090894</v>
      </c>
    </row>
    <row r="49" spans="1:8" ht="15.75" customHeight="1">
      <c r="A49" s="1" t="str">
        <f ca="1">IFERROR(__xludf.DUMMYFUNCTION("""COMPUTED_VALUE"""),"Saron United Church of Christ")</f>
        <v>Saron United Church of Christ</v>
      </c>
      <c r="B49" s="1" t="str">
        <f ca="1">INDEX('Individual Sites'!C49:C253, MATCH('Grouped Sites'!A49, 'Individual Sites'!R49:R253, 0))</f>
        <v>440 1ST ST NE</v>
      </c>
      <c r="C49" s="1" t="str">
        <f ca="1">INDEX('Individual Sites'!D49:D253, MATCH('Grouped Sites'!A49, 'Individual Sites'!R49:R253, 0))</f>
        <v>LINTON</v>
      </c>
      <c r="D49" s="3">
        <f ca="1">SUMIF('Individual Sites'!R:R, 'Grouped Sites'!$A49, 'Individual Sites'!J:J)</f>
        <v>432</v>
      </c>
      <c r="E49" s="4">
        <f ca="1">SUMIF('Individual Sites'!$R:$R, 'Grouped Sites'!$A49, 'Individual Sites'!N:N)</f>
        <v>129600</v>
      </c>
      <c r="F49" s="4">
        <f ca="1">SUMIF('Individual Sites'!$R:$R, 'Grouped Sites'!$A49, 'Individual Sites'!O:O)</f>
        <v>125248.05818181801</v>
      </c>
      <c r="G49" s="4">
        <f ca="1">SUMIF('Individual Sites'!$R:$R, 'Grouped Sites'!$A49, 'Individual Sites'!P:P)</f>
        <v>11.86</v>
      </c>
      <c r="H49" s="4">
        <f ca="1">SUMIF('Individual Sites'!$R:$R, 'Grouped Sites'!$A49, 'Individual Sites'!Q:Q)</f>
        <v>87.548392669090802</v>
      </c>
    </row>
    <row r="50" spans="1:8" ht="15.75" customHeight="1">
      <c r="A50" s="1" t="str">
        <f ca="1">IFERROR(__xludf.DUMMYFUNCTION("""COMPUTED_VALUE"""),"St Mary's Catholic Church &amp; Rectory")</f>
        <v>St Mary's Catholic Church &amp; Rectory</v>
      </c>
      <c r="B50" s="1" t="str">
        <f ca="1">INDEX('Individual Sites'!C50:C254, MATCH('Grouped Sites'!A50, 'Individual Sites'!R50:R254, 0))</f>
        <v>313 NORTH WASHINGTON STREET</v>
      </c>
      <c r="C50" s="1" t="str">
        <f ca="1">INDEX('Individual Sites'!D50:D254, MATCH('Grouped Sites'!A50, 'Individual Sites'!R50:R254, 0))</f>
        <v>HUNTINGBURG</v>
      </c>
      <c r="D50" s="3">
        <f ca="1">SUMIF('Individual Sites'!R:R, 'Grouped Sites'!$A50, 'Individual Sites'!J:J)</f>
        <v>732</v>
      </c>
      <c r="E50" s="4">
        <f ca="1">SUMIF('Individual Sites'!$R:$R, 'Grouped Sites'!$A50, 'Individual Sites'!N:N)</f>
        <v>219600</v>
      </c>
      <c r="F50" s="4">
        <f ca="1">SUMIF('Individual Sites'!$R:$R, 'Grouped Sites'!$A50, 'Individual Sites'!O:O)</f>
        <v>198122.6618181814</v>
      </c>
      <c r="G50" s="4">
        <f ca="1">SUMIF('Individual Sites'!$R:$R, 'Grouped Sites'!$A50, 'Individual Sites'!P:P)</f>
        <v>18.75</v>
      </c>
      <c r="H50" s="4">
        <f ca="1">SUMIF('Individual Sites'!$R:$R, 'Grouped Sites'!$A50, 'Individual Sites'!Q:Q)</f>
        <v>138.48774061090893</v>
      </c>
    </row>
    <row r="51" spans="1:8" ht="15.75" customHeight="1">
      <c r="A51" s="1" t="str">
        <f ca="1">IFERROR(__xludf.DUMMYFUNCTION("""COMPUTED_VALUE"""),"Christian Ministries of Huntingburg - Food Distribution Center")</f>
        <v>Christian Ministries of Huntingburg - Food Distribution Center</v>
      </c>
      <c r="B51" s="1" t="str">
        <f ca="1">INDEX('Individual Sites'!C51:C255, MATCH('Grouped Sites'!A51, 'Individual Sites'!R51:R255, 0))</f>
        <v>321 EAST FOURTH STREET</v>
      </c>
      <c r="C51" s="1" t="str">
        <f ca="1">INDEX('Individual Sites'!D51:D255, MATCH('Grouped Sites'!A51, 'Individual Sites'!R51:R255, 0))</f>
        <v>HUNTINGBURG</v>
      </c>
      <c r="D51" s="3">
        <f ca="1">SUMIF('Individual Sites'!R:R, 'Grouped Sites'!$A51, 'Individual Sites'!J:J)</f>
        <v>311</v>
      </c>
      <c r="E51" s="4">
        <f ca="1">SUMIF('Individual Sites'!$R:$R, 'Grouped Sites'!$A51, 'Individual Sites'!N:N)</f>
        <v>93300</v>
      </c>
      <c r="F51" s="4">
        <f ca="1">SUMIF('Individual Sites'!$R:$R, 'Grouped Sites'!$A51, 'Individual Sites'!O:O)</f>
        <v>101252.55272727201</v>
      </c>
      <c r="G51" s="4">
        <f ca="1">SUMIF('Individual Sites'!$R:$R, 'Grouped Sites'!$A51, 'Individual Sites'!P:P)</f>
        <v>9.58</v>
      </c>
      <c r="H51" s="4">
        <f ca="1">SUMIF('Individual Sites'!$R:$R, 'Grouped Sites'!$A51, 'Individual Sites'!Q:Q)</f>
        <v>70.775534356363593</v>
      </c>
    </row>
    <row r="52" spans="1:8" ht="15.75" customHeight="1">
      <c r="A52" s="1" t="str">
        <f ca="1">IFERROR(__xludf.DUMMYFUNCTION("""COMPUTED_VALUE"""),"First Christian Church")</f>
        <v>First Christian Church</v>
      </c>
      <c r="B52" s="1" t="str">
        <f ca="1">INDEX('Individual Sites'!C52:C256, MATCH('Grouped Sites'!A52, 'Individual Sites'!R52:R256, 0))</f>
        <v>110 NE 2ND ST</v>
      </c>
      <c r="C52" s="1" t="str">
        <f ca="1">INDEX('Individual Sites'!D52:D256, MATCH('Grouped Sites'!A52, 'Individual Sites'!R52:R256, 0))</f>
        <v>WASHINGTON</v>
      </c>
      <c r="D52" s="3">
        <f ca="1">SUMIF('Individual Sites'!R:R, 'Grouped Sites'!$A52, 'Individual Sites'!J:J)</f>
        <v>321</v>
      </c>
      <c r="E52" s="4">
        <f ca="1">SUMIF('Individual Sites'!$R:$R, 'Grouped Sites'!$A52, 'Individual Sites'!N:N)</f>
        <v>96300</v>
      </c>
      <c r="F52" s="4">
        <f ca="1">SUMIF('Individual Sites'!$R:$R, 'Grouped Sites'!$A52, 'Individual Sites'!O:O)</f>
        <v>94542.087272727207</v>
      </c>
      <c r="G52" s="4">
        <f ca="1">SUMIF('Individual Sites'!$R:$R, 'Grouped Sites'!$A52, 'Individual Sites'!P:P)</f>
        <v>8.9499999999999993</v>
      </c>
      <c r="H52" s="4">
        <f ca="1">SUMIF('Individual Sites'!$R:$R, 'Grouped Sites'!$A52, 'Individual Sites'!Q:Q)</f>
        <v>66.084919003636301</v>
      </c>
    </row>
    <row r="53" spans="1:8" ht="15.75" customHeight="1">
      <c r="A53" s="1" t="str">
        <f ca="1">IFERROR(__xludf.DUMMYFUNCTION("""COMPUTED_VALUE"""),"Montezuma Volunteer Fire Department")</f>
        <v>Montezuma Volunteer Fire Department</v>
      </c>
      <c r="B53" s="1" t="str">
        <f ca="1">INDEX('Individual Sites'!C53:C257, MATCH('Grouped Sites'!A53, 'Individual Sites'!R53:R257, 0))</f>
        <v>551 Crawford St</v>
      </c>
      <c r="C53" s="1" t="str">
        <f ca="1">INDEX('Individual Sites'!D53:D257, MATCH('Grouped Sites'!A53, 'Individual Sites'!R53:R257, 0))</f>
        <v>MONTEZUMA</v>
      </c>
      <c r="D53" s="3">
        <f ca="1">SUMIF('Individual Sites'!R:R, 'Grouped Sites'!$A53, 'Individual Sites'!J:J)</f>
        <v>259.54285714285714</v>
      </c>
      <c r="E53" s="4">
        <f ca="1">SUMIF('Individual Sites'!$R:$R, 'Grouped Sites'!$A53, 'Individual Sites'!N:N)</f>
        <v>77862.857142857145</v>
      </c>
      <c r="F53" s="4">
        <f ca="1">SUMIF('Individual Sites'!$R:$R, 'Grouped Sites'!$A53, 'Individual Sites'!O:O)</f>
        <v>94291.920000000013</v>
      </c>
      <c r="G53" s="4">
        <f ca="1">SUMIF('Individual Sites'!$R:$R, 'Grouped Sites'!$A53, 'Individual Sites'!P:P)</f>
        <v>8.9240885860306651</v>
      </c>
      <c r="H53" s="4">
        <f ca="1">SUMIF('Individual Sites'!$R:$R, 'Grouped Sites'!$A53, 'Individual Sites'!Q:Q)</f>
        <v>65.91005208</v>
      </c>
    </row>
    <row r="54" spans="1:8" ht="15.75" customHeight="1">
      <c r="A54" s="1" t="str">
        <f ca="1">IFERROR(__xludf.DUMMYFUNCTION("""COMPUTED_VALUE"""),"Good Shepherd Lutheran Church")</f>
        <v>Good Shepherd Lutheran Church</v>
      </c>
      <c r="B54" s="1" t="str">
        <f ca="1">INDEX('Individual Sites'!C54:C258, MATCH('Grouped Sites'!A54, 'Individual Sites'!R54:R258, 0))</f>
        <v>1002 NE 6TH ST</v>
      </c>
      <c r="C54" s="1" t="str">
        <f ca="1">INDEX('Individual Sites'!D54:D258, MATCH('Grouped Sites'!A54, 'Individual Sites'!R54:R258, 0))</f>
        <v>WASHINGTON</v>
      </c>
      <c r="D54" s="3">
        <f ca="1">SUMIF('Individual Sites'!R:R, 'Grouped Sites'!$A54, 'Individual Sites'!J:J)</f>
        <v>412</v>
      </c>
      <c r="E54" s="4">
        <f ca="1">SUMIF('Individual Sites'!$R:$R, 'Grouped Sites'!$A54, 'Individual Sites'!N:N)</f>
        <v>123600</v>
      </c>
      <c r="F54" s="4">
        <f ca="1">SUMIF('Individual Sites'!$R:$R, 'Grouped Sites'!$A54, 'Individual Sites'!O:O)</f>
        <v>107931.3163636363</v>
      </c>
      <c r="G54" s="4">
        <f ca="1">SUMIF('Individual Sites'!$R:$R, 'Grouped Sites'!$A54, 'Individual Sites'!P:P)</f>
        <v>10.220000000000001</v>
      </c>
      <c r="H54" s="4">
        <f ca="1">SUMIF('Individual Sites'!$R:$R, 'Grouped Sites'!$A54, 'Individual Sites'!Q:Q)</f>
        <v>75.443990138181704</v>
      </c>
    </row>
    <row r="55" spans="1:8" ht="15.75" customHeight="1">
      <c r="A55" s="1" t="str">
        <f ca="1">IFERROR(__xludf.DUMMYFUNCTION("""COMPUTED_VALUE"""),"VFW Linton")</f>
        <v>VFW Linton</v>
      </c>
      <c r="B55" s="1" t="str">
        <f ca="1">INDEX('Individual Sites'!C55:C259, MATCH('Grouped Sites'!A55, 'Individual Sites'!R55:R259, 0))</f>
        <v>190 S MAIN ST</v>
      </c>
      <c r="C55" s="1" t="str">
        <f ca="1">INDEX('Individual Sites'!D55:D259, MATCH('Grouped Sites'!A55, 'Individual Sites'!R55:R259, 0))</f>
        <v>LINTON</v>
      </c>
      <c r="D55" s="3">
        <f ca="1">SUMIF('Individual Sites'!R:R, 'Grouped Sites'!$A55, 'Individual Sites'!J:J)</f>
        <v>304</v>
      </c>
      <c r="E55" s="4">
        <f ca="1">SUMIF('Individual Sites'!$R:$R, 'Grouped Sites'!$A55, 'Individual Sites'!N:N)</f>
        <v>91200</v>
      </c>
      <c r="F55" s="4">
        <f ca="1">SUMIF('Individual Sites'!$R:$R, 'Grouped Sites'!$A55, 'Individual Sites'!O:O)</f>
        <v>90152.029090909098</v>
      </c>
      <c r="G55" s="4">
        <f ca="1">SUMIF('Individual Sites'!$R:$R, 'Grouped Sites'!$A55, 'Individual Sites'!P:P)</f>
        <v>8.5299999999999994</v>
      </c>
      <c r="H55" s="4">
        <f ca="1">SUMIF('Individual Sites'!$R:$R, 'Grouped Sites'!$A55, 'Individual Sites'!Q:Q)</f>
        <v>63.016268334545401</v>
      </c>
    </row>
    <row r="56" spans="1:8" ht="15.75" customHeight="1">
      <c r="A56" s="1" t="str">
        <f ca="1">IFERROR(__xludf.DUMMYFUNCTION("""COMPUTED_VALUE"""),"(The) Navigators Home Inc.")</f>
        <v>(The) Navigators Home Inc.</v>
      </c>
      <c r="B56" s="1" t="str">
        <f ca="1">INDEX('Individual Sites'!C56:C260, MATCH('Grouped Sites'!A56, 'Individual Sites'!R56:R260, 0))</f>
        <v>319 E MAIN ST</v>
      </c>
      <c r="C56" s="1" t="str">
        <f ca="1">INDEX('Individual Sites'!D56:D260, MATCH('Grouped Sites'!A56, 'Individual Sites'!R56:R260, 0))</f>
        <v>WASHINGTON</v>
      </c>
      <c r="D56" s="3">
        <f ca="1">SUMIF('Individual Sites'!R:R, 'Grouped Sites'!$A56, 'Individual Sites'!J:J)</f>
        <v>271</v>
      </c>
      <c r="E56" s="4">
        <f ca="1">SUMIF('Individual Sites'!$R:$R, 'Grouped Sites'!$A56, 'Individual Sites'!N:N)</f>
        <v>81300</v>
      </c>
      <c r="F56" s="4">
        <f ca="1">SUMIF('Individual Sites'!$R:$R, 'Grouped Sites'!$A56, 'Individual Sites'!O:O)</f>
        <v>88483.963636363595</v>
      </c>
      <c r="G56" s="4">
        <f ca="1">SUMIF('Individual Sites'!$R:$R, 'Grouped Sites'!$A56, 'Individual Sites'!P:P)</f>
        <v>8.3699999999999992</v>
      </c>
      <c r="H56" s="4">
        <f ca="1">SUMIF('Individual Sites'!$R:$R, 'Grouped Sites'!$A56, 'Individual Sites'!Q:Q)</f>
        <v>61.850290581818101</v>
      </c>
    </row>
    <row r="57" spans="1:8" ht="15.75" customHeight="1">
      <c r="A57" s="1" t="str">
        <f ca="1">IFERROR(__xludf.DUMMYFUNCTION("""COMPUTED_VALUE"""),"Independent Baptist Church of Montezuma IN")</f>
        <v>Independent Baptist Church of Montezuma IN</v>
      </c>
      <c r="B57" s="1" t="str">
        <f ca="1">INDEX('Individual Sites'!C57:C261, MATCH('Grouped Sites'!A57, 'Individual Sites'!R57:R261, 0))</f>
        <v>784 NORTH JEFFERSON STREET</v>
      </c>
      <c r="C57" s="1" t="str">
        <f ca="1">INDEX('Individual Sites'!D57:D261, MATCH('Grouped Sites'!A57, 'Individual Sites'!R57:R261, 0))</f>
        <v>MONTEZUMA</v>
      </c>
      <c r="D57" s="3">
        <f ca="1">SUMIF('Individual Sites'!R:R, 'Grouped Sites'!$A57, 'Individual Sites'!J:J)</f>
        <v>534</v>
      </c>
      <c r="E57" s="4">
        <f ca="1">SUMIF('Individual Sites'!$R:$R, 'Grouped Sites'!$A57, 'Individual Sites'!N:N)</f>
        <v>160200</v>
      </c>
      <c r="F57" s="4">
        <f ca="1">SUMIF('Individual Sites'!$R:$R, 'Grouped Sites'!$A57, 'Individual Sites'!O:O)</f>
        <v>158074.77818181799</v>
      </c>
      <c r="G57" s="4">
        <f ca="1">SUMIF('Individual Sites'!$R:$R, 'Grouped Sites'!$A57, 'Individual Sites'!P:P)</f>
        <v>14.96</v>
      </c>
      <c r="H57" s="4">
        <f ca="1">SUMIF('Individual Sites'!$R:$R, 'Grouped Sites'!$A57, 'Individual Sites'!Q:Q)</f>
        <v>110.49426994909078</v>
      </c>
    </row>
    <row r="58" spans="1:8" ht="15.75" customHeight="1">
      <c r="A58" s="1" t="str">
        <f ca="1">IFERROR(__xludf.DUMMYFUNCTION("""COMPUTED_VALUE"""),"Faith Community Church of the Nazarene")</f>
        <v>Faith Community Church of the Nazarene</v>
      </c>
      <c r="B58" s="1" t="str">
        <f ca="1">INDEX('Individual Sites'!C58:C262, MATCH('Grouped Sites'!A58, 'Individual Sites'!R58:R262, 0))</f>
        <v>304 NORTH JACKSON STREET</v>
      </c>
      <c r="C58" s="1" t="str">
        <f ca="1">INDEX('Individual Sites'!D58:D262, MATCH('Grouped Sites'!A58, 'Individual Sites'!R58:R262, 0))</f>
        <v>HUNTINGBURG</v>
      </c>
      <c r="D58" s="3">
        <f ca="1">SUMIF('Individual Sites'!R:R, 'Grouped Sites'!$A58, 'Individual Sites'!J:J)</f>
        <v>384</v>
      </c>
      <c r="E58" s="4">
        <f ca="1">SUMIF('Individual Sites'!$R:$R, 'Grouped Sites'!$A58, 'Individual Sites'!N:N)</f>
        <v>115200</v>
      </c>
      <c r="F58" s="4">
        <f ca="1">SUMIF('Individual Sites'!$R:$R, 'Grouped Sites'!$A58, 'Individual Sites'!O:O)</f>
        <v>114146.0945454544</v>
      </c>
      <c r="G58" s="4">
        <f ca="1">SUMIF('Individual Sites'!$R:$R, 'Grouped Sites'!$A58, 'Individual Sites'!P:P)</f>
        <v>10.79</v>
      </c>
      <c r="H58" s="4">
        <f ca="1">SUMIF('Individual Sites'!$R:$R, 'Grouped Sites'!$A58, 'Individual Sites'!Q:Q)</f>
        <v>79.788120087272503</v>
      </c>
    </row>
    <row r="59" spans="1:8" ht="15.75" customHeight="1">
      <c r="A59" s="1" t="str">
        <f ca="1">IFERROR(__xludf.DUMMYFUNCTION("""COMPUTED_VALUE"""),"Huntingburg Church of Christ")</f>
        <v>Huntingburg Church of Christ</v>
      </c>
      <c r="B59" s="1" t="str">
        <f ca="1">INDEX('Individual Sites'!C59:C263, MATCH('Grouped Sites'!A59, 'Individual Sites'!R59:R263, 0))</f>
        <v>1601 NORTH CHESTNUT STREET</v>
      </c>
      <c r="C59" s="1" t="str">
        <f ca="1">INDEX('Individual Sites'!D59:D263, MATCH('Grouped Sites'!A59, 'Individual Sites'!R59:R263, 0))</f>
        <v>HUNTINGBURG</v>
      </c>
      <c r="D59" s="3">
        <f ca="1">SUMIF('Individual Sites'!R:R, 'Grouped Sites'!$A59, 'Individual Sites'!J:J)</f>
        <v>244</v>
      </c>
      <c r="E59" s="4">
        <f ca="1">SUMIF('Individual Sites'!$R:$R, 'Grouped Sites'!$A59, 'Individual Sites'!N:N)</f>
        <v>73200</v>
      </c>
      <c r="F59" s="4">
        <f ca="1">SUMIF('Individual Sites'!$R:$R, 'Grouped Sites'!$A59, 'Individual Sites'!O:O)</f>
        <v>71815.854545454495</v>
      </c>
      <c r="G59" s="4">
        <f ca="1">SUMIF('Individual Sites'!$R:$R, 'Grouped Sites'!$A59, 'Individual Sites'!P:P)</f>
        <v>6.8</v>
      </c>
      <c r="H59" s="4">
        <f ca="1">SUMIF('Individual Sites'!$R:$R, 'Grouped Sites'!$A59, 'Individual Sites'!Q:Q)</f>
        <v>50.199282327272698</v>
      </c>
    </row>
    <row r="60" spans="1:8" ht="15.75" customHeight="1">
      <c r="A60" s="1" t="str">
        <f ca="1">IFERROR(__xludf.DUMMYFUNCTION("""COMPUTED_VALUE"""),"Gospel Chapel Church of Washington")</f>
        <v>Gospel Chapel Church of Washington</v>
      </c>
      <c r="B60" s="1" t="str">
        <f ca="1">INDEX('Individual Sites'!C60:C264, MATCH('Grouped Sites'!A60, 'Individual Sites'!R60:R264, 0))</f>
        <v>1419 W WALNUT ST</v>
      </c>
      <c r="C60" s="1" t="str">
        <f ca="1">INDEX('Individual Sites'!D60:D264, MATCH('Grouped Sites'!A60, 'Individual Sites'!R60:R264, 0))</f>
        <v>WASHINGTON</v>
      </c>
      <c r="D60" s="3">
        <f ca="1">SUMIF('Individual Sites'!R:R, 'Grouped Sites'!$A60, 'Individual Sites'!J:J)</f>
        <v>221</v>
      </c>
      <c r="E60" s="4">
        <f ca="1">SUMIF('Individual Sites'!$R:$R, 'Grouped Sites'!$A60, 'Individual Sites'!N:N)</f>
        <v>66300</v>
      </c>
      <c r="F60" s="4">
        <f ca="1">SUMIF('Individual Sites'!$R:$R, 'Grouped Sites'!$A60, 'Individual Sites'!O:O)</f>
        <v>66868.974545454505</v>
      </c>
      <c r="G60" s="4">
        <f ca="1">SUMIF('Individual Sites'!$R:$R, 'Grouped Sites'!$A60, 'Individual Sites'!P:P)</f>
        <v>6.33</v>
      </c>
      <c r="H60" s="4">
        <f ca="1">SUMIF('Individual Sites'!$R:$R, 'Grouped Sites'!$A60, 'Individual Sites'!Q:Q)</f>
        <v>46.7414132072727</v>
      </c>
    </row>
    <row r="61" spans="1:8" ht="15.75" customHeight="1">
      <c r="A61" s="1" t="str">
        <f ca="1">IFERROR(__xludf.DUMMYFUNCTION("""COMPUTED_VALUE"""),"Lincoln Village Apartments")</f>
        <v>Lincoln Village Apartments</v>
      </c>
      <c r="B61" s="1" t="str">
        <f ca="1">INDEX('Individual Sites'!C61:C265, MATCH('Grouped Sites'!A61, 'Individual Sites'!R61:R265, 0))</f>
        <v>507 PLEASANT VIEW DRIVE</v>
      </c>
      <c r="C61" s="1" t="str">
        <f ca="1">INDEX('Individual Sites'!D61:D265, MATCH('Grouped Sites'!A61, 'Individual Sites'!R61:R265, 0))</f>
        <v>HUNTINGBURG</v>
      </c>
      <c r="D61" s="3">
        <f ca="1">SUMIF('Individual Sites'!R:R, 'Grouped Sites'!$A61, 'Individual Sites'!J:J)</f>
        <v>1037</v>
      </c>
      <c r="E61" s="4">
        <f ca="1">SUMIF('Individual Sites'!$R:$R, 'Grouped Sites'!$A61, 'Individual Sites'!N:N)</f>
        <v>311100</v>
      </c>
      <c r="F61" s="4">
        <f ca="1">SUMIF('Individual Sites'!$R:$R, 'Grouped Sites'!$A61, 'Individual Sites'!O:O)</f>
        <v>312258.43636363599</v>
      </c>
      <c r="G61" s="4">
        <f ca="1">SUMIF('Individual Sites'!$R:$R, 'Grouped Sites'!$A61, 'Individual Sites'!P:P)</f>
        <v>29.56</v>
      </c>
      <c r="H61" s="4">
        <f ca="1">SUMIF('Individual Sites'!$R:$R, 'Grouped Sites'!$A61, 'Individual Sites'!Q:Q)</f>
        <v>218.26864701818138</v>
      </c>
    </row>
    <row r="62" spans="1:8" ht="15.75" customHeight="1">
      <c r="A62" s="1" t="str">
        <f ca="1">IFERROR(__xludf.DUMMYFUNCTION("""COMPUTED_VALUE"""),"First Choice Solutions")</f>
        <v>First Choice Solutions</v>
      </c>
      <c r="B62" s="1" t="str">
        <f ca="1">INDEX('Individual Sites'!C62:C266, MATCH('Grouped Sites'!A62, 'Individual Sites'!R62:R266, 0))</f>
        <v>714 W WALNUT ST</v>
      </c>
      <c r="C62" s="1" t="str">
        <f ca="1">INDEX('Individual Sites'!D62:D266, MATCH('Grouped Sites'!A62, 'Individual Sites'!R62:R266, 0))</f>
        <v>WASHINGTON</v>
      </c>
      <c r="D62" s="3">
        <f ca="1">SUMIF('Individual Sites'!R:R, 'Grouped Sites'!$A62, 'Individual Sites'!J:J)</f>
        <v>265</v>
      </c>
      <c r="E62" s="4">
        <f ca="1">SUMIF('Individual Sites'!$R:$R, 'Grouped Sites'!$A62, 'Individual Sites'!N:N)</f>
        <v>79500</v>
      </c>
      <c r="F62" s="4">
        <f ca="1">SUMIF('Individual Sites'!$R:$R, 'Grouped Sites'!$A62, 'Individual Sites'!O:O)</f>
        <v>81950.945454545406</v>
      </c>
      <c r="G62" s="4">
        <f ca="1">SUMIF('Individual Sites'!$R:$R, 'Grouped Sites'!$A62, 'Individual Sites'!P:P)</f>
        <v>7.76</v>
      </c>
      <c r="H62" s="4">
        <f ca="1">SUMIF('Individual Sites'!$R:$R, 'Grouped Sites'!$A62, 'Individual Sites'!Q:Q)</f>
        <v>57.283710872727198</v>
      </c>
    </row>
    <row r="63" spans="1:8" ht="15.75" customHeight="1">
      <c r="A63" s="1" t="str">
        <f ca="1">IFERROR(__xludf.DUMMYFUNCTION("""COMPUTED_VALUE"""),"Mt. Moriah Apostolic Church, Inc")</f>
        <v>Mt. Moriah Apostolic Church, Inc</v>
      </c>
      <c r="B63" s="1" t="str">
        <f ca="1">INDEX('Individual Sites'!C63:C267, MATCH('Grouped Sites'!A63, 'Individual Sites'!R63:R267, 0))</f>
        <v>460 1ST ST NW</v>
      </c>
      <c r="C63" s="1" t="str">
        <f ca="1">INDEX('Individual Sites'!D63:D267, MATCH('Grouped Sites'!A63, 'Individual Sites'!R63:R267, 0))</f>
        <v>LINTON</v>
      </c>
      <c r="D63" s="3">
        <f ca="1">SUMIF('Individual Sites'!R:R, 'Grouped Sites'!$A63, 'Individual Sites'!J:J)</f>
        <v>416</v>
      </c>
      <c r="E63" s="4">
        <f ca="1">SUMIF('Individual Sites'!$R:$R, 'Grouped Sites'!$A63, 'Individual Sites'!N:N)</f>
        <v>124800</v>
      </c>
      <c r="F63" s="4">
        <f ca="1">SUMIF('Individual Sites'!$R:$R, 'Grouped Sites'!$A63, 'Individual Sites'!O:O)</f>
        <v>121196.6836363636</v>
      </c>
      <c r="G63" s="4">
        <f ca="1">SUMIF('Individual Sites'!$R:$R, 'Grouped Sites'!$A63, 'Individual Sites'!P:P)</f>
        <v>11.48</v>
      </c>
      <c r="H63" s="4">
        <f ca="1">SUMIF('Individual Sites'!$R:$R, 'Grouped Sites'!$A63, 'Individual Sites'!Q:Q)</f>
        <v>84.716481861818195</v>
      </c>
    </row>
    <row r="64" spans="1:8" ht="15.75" customHeight="1">
      <c r="A64" s="1" t="str">
        <f ca="1">IFERROR(__xludf.DUMMYFUNCTION("""COMPUTED_VALUE"""),"Asambleas de Dios")</f>
        <v>Asambleas de Dios</v>
      </c>
      <c r="B64" s="1" t="str">
        <f ca="1">INDEX('Individual Sites'!C64:C268, MATCH('Grouped Sites'!A64, 'Individual Sites'!R64:R268, 0))</f>
        <v>1115 MC CORMICK AV</v>
      </c>
      <c r="C64" s="1" t="str">
        <f ca="1">INDEX('Individual Sites'!D64:D268, MATCH('Grouped Sites'!A64, 'Individual Sites'!R64:R268, 0))</f>
        <v>WASHINGTON</v>
      </c>
      <c r="D64" s="3">
        <f ca="1">SUMIF('Individual Sites'!R:R, 'Grouped Sites'!$A64, 'Individual Sites'!J:J)</f>
        <v>250</v>
      </c>
      <c r="E64" s="4">
        <f ca="1">SUMIF('Individual Sites'!$R:$R, 'Grouped Sites'!$A64, 'Individual Sites'!N:N)</f>
        <v>75000</v>
      </c>
      <c r="F64" s="4">
        <f ca="1">SUMIF('Individual Sites'!$R:$R, 'Grouped Sites'!$A64, 'Individual Sites'!O:O)</f>
        <v>70892.814545454399</v>
      </c>
      <c r="G64" s="4">
        <f ca="1">SUMIF('Individual Sites'!$R:$R, 'Grouped Sites'!$A64, 'Individual Sites'!P:P)</f>
        <v>6.7100000000000009</v>
      </c>
      <c r="H64" s="4">
        <f ca="1">SUMIF('Individual Sites'!$R:$R, 'Grouped Sites'!$A64, 'Individual Sites'!Q:Q)</f>
        <v>49.554077367272725</v>
      </c>
    </row>
    <row r="65" spans="1:8" ht="15.75" customHeight="1">
      <c r="A65" s="1" t="str">
        <f ca="1">IFERROR(__xludf.DUMMYFUNCTION("""COMPUTED_VALUE"""),"Daviess County Recorder")</f>
        <v>Daviess County Recorder</v>
      </c>
      <c r="B65" s="1" t="str">
        <f ca="1">INDEX('Individual Sites'!C65:C269, MATCH('Grouped Sites'!A65, 'Individual Sites'!R65:R269, 0))</f>
        <v>315 NE 3RD ST</v>
      </c>
      <c r="C65" s="1" t="str">
        <f ca="1">INDEX('Individual Sites'!D65:D269, MATCH('Grouped Sites'!A65, 'Individual Sites'!R65:R269, 0))</f>
        <v>WASHINGTON</v>
      </c>
      <c r="D65" s="3">
        <f ca="1">SUMIF('Individual Sites'!R:R, 'Grouped Sites'!$A65, 'Individual Sites'!J:J)</f>
        <v>204</v>
      </c>
      <c r="E65" s="4">
        <f ca="1">SUMIF('Individual Sites'!$R:$R, 'Grouped Sites'!$A65, 'Individual Sites'!N:N)</f>
        <v>61200</v>
      </c>
      <c r="F65" s="4">
        <f ca="1">SUMIF('Individual Sites'!$R:$R, 'Grouped Sites'!$A65, 'Individual Sites'!O:O)</f>
        <v>56295.098181818103</v>
      </c>
      <c r="G65" s="4">
        <f ca="1">SUMIF('Individual Sites'!$R:$R, 'Grouped Sites'!$A65, 'Individual Sites'!P:P)</f>
        <v>5.33</v>
      </c>
      <c r="H65" s="4">
        <f ca="1">SUMIF('Individual Sites'!$R:$R, 'Grouped Sites'!$A65, 'Individual Sites'!Q:Q)</f>
        <v>39.3502736290909</v>
      </c>
    </row>
    <row r="66" spans="1:8" ht="15.75" customHeight="1">
      <c r="A66" s="1" t="str">
        <f ca="1">IFERROR(__xludf.DUMMYFUNCTION("""COMPUTED_VALUE"""),"Montezuma Order of Eastern Star #537")</f>
        <v>Montezuma Order of Eastern Star #537</v>
      </c>
      <c r="B66" s="1" t="str">
        <f ca="1">INDEX('Individual Sites'!C66:C270, MATCH('Grouped Sites'!A66, 'Individual Sites'!R66:R270, 0))</f>
        <v>686 NORTH JEFFERSON STREET</v>
      </c>
      <c r="C66" s="1" t="str">
        <f ca="1">INDEX('Individual Sites'!D66:D270, MATCH('Grouped Sites'!A66, 'Individual Sites'!R66:R270, 0))</f>
        <v>MONTEZUMA</v>
      </c>
      <c r="D66" s="3">
        <f ca="1">SUMIF('Individual Sites'!R:R, 'Grouped Sites'!$A66, 'Individual Sites'!J:J)</f>
        <v>206</v>
      </c>
      <c r="E66" s="4">
        <f ca="1">SUMIF('Individual Sites'!$R:$R, 'Grouped Sites'!$A66, 'Individual Sites'!N:N)</f>
        <v>61800</v>
      </c>
      <c r="F66" s="4">
        <f ca="1">SUMIF('Individual Sites'!$R:$R, 'Grouped Sites'!$A66, 'Individual Sites'!O:O)</f>
        <v>55264.930909090901</v>
      </c>
      <c r="G66" s="4">
        <f ca="1">SUMIF('Individual Sites'!$R:$R, 'Grouped Sites'!$A66, 'Individual Sites'!P:P)</f>
        <v>5.23</v>
      </c>
      <c r="H66" s="4">
        <f ca="1">SUMIF('Individual Sites'!$R:$R, 'Grouped Sites'!$A66, 'Individual Sites'!Q:Q)</f>
        <v>38.630186705454499</v>
      </c>
    </row>
    <row r="67" spans="1:8" ht="15.75" customHeight="1">
      <c r="A67" s="1" t="str">
        <f ca="1">IFERROR(__xludf.DUMMYFUNCTION("""COMPUTED_VALUE"""),"Community Action Program Inc of Western Indiana")</f>
        <v>Community Action Program Inc of Western Indiana</v>
      </c>
      <c r="B67" s="1" t="str">
        <f ca="1">INDEX('Individual Sites'!C67:C271, MATCH('Grouped Sites'!A67, 'Individual Sites'!R67:R271, 0))</f>
        <v>614 EAST STANLEY DRIVE</v>
      </c>
      <c r="C67" s="1" t="str">
        <f ca="1">INDEX('Individual Sites'!D67:D271, MATCH('Grouped Sites'!A67, 'Individual Sites'!R67:R271, 0))</f>
        <v>MONTEZUMA</v>
      </c>
      <c r="D67" s="3">
        <f ca="1">SUMIF('Individual Sites'!R:R, 'Grouped Sites'!$A67, 'Individual Sites'!J:J)</f>
        <v>1858</v>
      </c>
      <c r="E67" s="4">
        <f ca="1">SUMIF('Individual Sites'!$R:$R, 'Grouped Sites'!$A67, 'Individual Sites'!N:N)</f>
        <v>557400</v>
      </c>
      <c r="F67" s="4">
        <f ca="1">SUMIF('Individual Sites'!$R:$R, 'Grouped Sites'!$A67, 'Individual Sites'!O:O)</f>
        <v>557287.35272727208</v>
      </c>
      <c r="G67" s="4">
        <f ca="1">SUMIF('Individual Sites'!$R:$R, 'Grouped Sites'!$A67, 'Individual Sites'!P:P)</f>
        <v>52.749999999999993</v>
      </c>
      <c r="H67" s="4">
        <f ca="1">SUMIF('Individual Sites'!$R:$R, 'Grouped Sites'!$A67, 'Individual Sites'!Q:Q)</f>
        <v>389.5438595563632</v>
      </c>
    </row>
    <row r="68" spans="1:8" ht="15.75" customHeight="1">
      <c r="A68" s="1" t="str">
        <f ca="1">IFERROR(__xludf.DUMMYFUNCTION("""COMPUTED_VALUE"""),"Huntingburg Outreach Ministiries")</f>
        <v>Huntingburg Outreach Ministiries</v>
      </c>
      <c r="B68" s="1" t="str">
        <f ca="1">INDEX('Individual Sites'!C68:C272, MATCH('Grouped Sites'!A68, 'Individual Sites'!R68:R272, 0))</f>
        <v>208 EAST THIRD STREET</v>
      </c>
      <c r="C68" s="1" t="str">
        <f ca="1">INDEX('Individual Sites'!D68:D272, MATCH('Grouped Sites'!A68, 'Individual Sites'!R68:R272, 0))</f>
        <v>HUNTINGBURG</v>
      </c>
      <c r="D68" s="3">
        <f ca="1">SUMIF('Individual Sites'!R:R, 'Grouped Sites'!$A68, 'Individual Sites'!J:J)</f>
        <v>167</v>
      </c>
      <c r="E68" s="4">
        <f ca="1">SUMIF('Individual Sites'!$R:$R, 'Grouped Sites'!$A68, 'Individual Sites'!N:N)</f>
        <v>50100</v>
      </c>
      <c r="F68" s="4">
        <f ca="1">SUMIF('Individual Sites'!$R:$R, 'Grouped Sites'!$A68, 'Individual Sites'!O:O)</f>
        <v>53481.294545454497</v>
      </c>
      <c r="G68" s="4">
        <f ca="1">SUMIF('Individual Sites'!$R:$R, 'Grouped Sites'!$A68, 'Individual Sites'!P:P)</f>
        <v>5.0599999999999996</v>
      </c>
      <c r="H68" s="4">
        <f ca="1">SUMIF('Individual Sites'!$R:$R, 'Grouped Sites'!$A68, 'Individual Sites'!Q:Q)</f>
        <v>37.383424887272703</v>
      </c>
    </row>
    <row r="69" spans="1:8" ht="15.75" customHeight="1">
      <c r="A69" s="1" t="str">
        <f ca="1">IFERROR(__xludf.DUMMYFUNCTION("""COMPUTED_VALUE"""),"Washington Carnegie Public Library")</f>
        <v>Washington Carnegie Public Library</v>
      </c>
      <c r="B69" s="1" t="str">
        <f ca="1">INDEX('Individual Sites'!C69:C273, MATCH('Grouped Sites'!A69, 'Individual Sites'!R69:R273, 0))</f>
        <v>407 W MAIN ST</v>
      </c>
      <c r="C69" s="1" t="str">
        <f ca="1">INDEX('Individual Sites'!D69:D273, MATCH('Grouped Sites'!A69, 'Individual Sites'!R69:R273, 0))</f>
        <v>WASHINGTON</v>
      </c>
      <c r="D69" s="3">
        <f ca="1">SUMIF('Individual Sites'!R:R, 'Grouped Sites'!$A69, 'Individual Sites'!J:J)</f>
        <v>267</v>
      </c>
      <c r="E69" s="4">
        <f ca="1">SUMIF('Individual Sites'!$R:$R, 'Grouped Sites'!$A69, 'Individual Sites'!N:N)</f>
        <v>80100</v>
      </c>
      <c r="F69" s="4">
        <f ca="1">SUMIF('Individual Sites'!$R:$R, 'Grouped Sites'!$A69, 'Individual Sites'!O:O)</f>
        <v>80497.505454545404</v>
      </c>
      <c r="G69" s="4">
        <f ca="1">SUMIF('Individual Sites'!$R:$R, 'Grouped Sites'!$A69, 'Individual Sites'!P:P)</f>
        <v>7.62</v>
      </c>
      <c r="H69" s="4">
        <f ca="1">SUMIF('Individual Sites'!$R:$R, 'Grouped Sites'!$A69, 'Individual Sites'!Q:Q)</f>
        <v>56.267756312727201</v>
      </c>
    </row>
    <row r="70" spans="1:8" ht="15.75" customHeight="1">
      <c r="A70" s="1" t="str">
        <f ca="1">IFERROR(__xludf.DUMMYFUNCTION("""COMPUTED_VALUE"""),"Iglesia Nueva Vida")</f>
        <v>Iglesia Nueva Vida</v>
      </c>
      <c r="B70" s="1" t="str">
        <f ca="1">INDEX('Individual Sites'!C70:C274, MATCH('Grouped Sites'!A70, 'Individual Sites'!R70:R274, 0))</f>
        <v>409 W MAIN ST</v>
      </c>
      <c r="C70" s="1" t="str">
        <f ca="1">INDEX('Individual Sites'!D70:D274, MATCH('Grouped Sites'!A70, 'Individual Sites'!R70:R274, 0))</f>
        <v>WASHINGTON</v>
      </c>
      <c r="D70" s="3">
        <f ca="1">SUMIF('Individual Sites'!R:R, 'Grouped Sites'!$A70, 'Individual Sites'!J:J)</f>
        <v>175</v>
      </c>
      <c r="E70" s="4">
        <f ca="1">SUMIF('Individual Sites'!$R:$R, 'Grouped Sites'!$A70, 'Individual Sites'!N:N)</f>
        <v>52500</v>
      </c>
      <c r="F70" s="4">
        <f ca="1">SUMIF('Individual Sites'!$R:$R, 'Grouped Sites'!$A70, 'Individual Sites'!O:O)</f>
        <v>52381.636363636302</v>
      </c>
      <c r="G70" s="4">
        <f ca="1">SUMIF('Individual Sites'!$R:$R, 'Grouped Sites'!$A70, 'Individual Sites'!P:P)</f>
        <v>4.96</v>
      </c>
      <c r="H70" s="4">
        <f ca="1">SUMIF('Individual Sites'!$R:$R, 'Grouped Sites'!$A70, 'Individual Sites'!Q:Q)</f>
        <v>36.6147638181818</v>
      </c>
    </row>
    <row r="71" spans="1:8" ht="15.75" customHeight="1">
      <c r="A71" s="1" t="str">
        <f ca="1">IFERROR(__xludf.DUMMYFUNCTION("""COMPUTED_VALUE"""),"Calvary Temple")</f>
        <v>Calvary Temple</v>
      </c>
      <c r="B71" s="1" t="str">
        <f ca="1">INDEX('Individual Sites'!C71:C275, MATCH('Grouped Sites'!A71, 'Individual Sites'!R71:R275, 0))</f>
        <v>211 NORTH MAIN STREET</v>
      </c>
      <c r="C71" s="1" t="str">
        <f ca="1">INDEX('Individual Sites'!D71:D275, MATCH('Grouped Sites'!A71, 'Individual Sites'!R71:R275, 0))</f>
        <v>HUNTINGBURG</v>
      </c>
      <c r="D71" s="3">
        <f ca="1">SUMIF('Individual Sites'!R:R, 'Grouped Sites'!$A71, 'Individual Sites'!J:J)</f>
        <v>177</v>
      </c>
      <c r="E71" s="4">
        <f ca="1">SUMIF('Individual Sites'!$R:$R, 'Grouped Sites'!$A71, 'Individual Sites'!N:N)</f>
        <v>53100</v>
      </c>
      <c r="F71" s="4">
        <f ca="1">SUMIF('Individual Sites'!$R:$R, 'Grouped Sites'!$A71, 'Individual Sites'!O:O)</f>
        <v>52323.7745454545</v>
      </c>
      <c r="G71" s="4">
        <f ca="1">SUMIF('Individual Sites'!$R:$R, 'Grouped Sites'!$A71, 'Individual Sites'!P:P)</f>
        <v>4.95</v>
      </c>
      <c r="H71" s="4">
        <f ca="1">SUMIF('Individual Sites'!$R:$R, 'Grouped Sites'!$A71, 'Individual Sites'!Q:Q)</f>
        <v>36.574318407272699</v>
      </c>
    </row>
    <row r="72" spans="1:8" ht="15.75" customHeight="1">
      <c r="A72" s="1" t="str">
        <f ca="1">IFERROR(__xludf.DUMMYFUNCTION("""COMPUTED_VALUE"""),"Montezuma Public Library")</f>
        <v>Montezuma Public Library</v>
      </c>
      <c r="B72" s="1" t="str">
        <f ca="1">INDEX('Individual Sites'!C72:C276, MATCH('Grouped Sites'!A72, 'Individual Sites'!R72:R276, 0))</f>
        <v>270 Crawford St</v>
      </c>
      <c r="C72" s="1" t="str">
        <f ca="1">INDEX('Individual Sites'!D72:D276, MATCH('Grouped Sites'!A72, 'Individual Sites'!R72:R276, 0))</f>
        <v>MONTEZUMA</v>
      </c>
      <c r="D72" s="3">
        <f ca="1">SUMIF('Individual Sites'!R:R, 'Grouped Sites'!$A72, 'Individual Sites'!J:J)</f>
        <v>135.77142857142857</v>
      </c>
      <c r="E72" s="4">
        <f ca="1">SUMIF('Individual Sites'!$R:$R, 'Grouped Sites'!$A72, 'Individual Sites'!N:N)</f>
        <v>40731.428571428572</v>
      </c>
      <c r="F72" s="4">
        <f ca="1">SUMIF('Individual Sites'!$R:$R, 'Grouped Sites'!$A72, 'Individual Sites'!O:O)</f>
        <v>49325.760000000002</v>
      </c>
      <c r="G72" s="4">
        <f ca="1">SUMIF('Individual Sites'!$R:$R, 'Grouped Sites'!$A72, 'Individual Sites'!P:P)</f>
        <v>4.6683475298126069</v>
      </c>
      <c r="H72" s="4">
        <f ca="1">SUMIF('Individual Sites'!$R:$R, 'Grouped Sites'!$A72, 'Individual Sites'!Q:Q)</f>
        <v>34.478706240000001</v>
      </c>
    </row>
    <row r="73" spans="1:8" ht="15.75" customHeight="1">
      <c r="A73" s="1" t="str">
        <f ca="1">IFERROR(__xludf.DUMMYFUNCTION("""COMPUTED_VALUE"""),"Abundant Life Family Worship Center")</f>
        <v>Abundant Life Family Worship Center</v>
      </c>
      <c r="B73" s="1" t="str">
        <f ca="1">INDEX('Individual Sites'!C73:C277, MATCH('Grouped Sites'!A73, 'Individual Sites'!R73:R277, 0))</f>
        <v>410 W MAIN ST</v>
      </c>
      <c r="C73" s="1" t="str">
        <f ca="1">INDEX('Individual Sites'!D73:D277, MATCH('Grouped Sites'!A73, 'Individual Sites'!R73:R277, 0))</f>
        <v>WASHINGTON</v>
      </c>
      <c r="D73" s="3">
        <f ca="1">SUMIF('Individual Sites'!R:R, 'Grouped Sites'!$A73, 'Individual Sites'!J:J)</f>
        <v>232</v>
      </c>
      <c r="E73" s="4">
        <f ca="1">SUMIF('Individual Sites'!$R:$R, 'Grouped Sites'!$A73, 'Individual Sites'!N:N)</f>
        <v>69600</v>
      </c>
      <c r="F73" s="4">
        <f ca="1">SUMIF('Individual Sites'!$R:$R, 'Grouped Sites'!$A73, 'Individual Sites'!O:O)</f>
        <v>70670.661818181805</v>
      </c>
      <c r="G73" s="4">
        <f ca="1">SUMIF('Individual Sites'!$R:$R, 'Grouped Sites'!$A73, 'Individual Sites'!P:P)</f>
        <v>6.6899999999999995</v>
      </c>
      <c r="H73" s="4">
        <f ca="1">SUMIF('Individual Sites'!$R:$R, 'Grouped Sites'!$A73, 'Individual Sites'!Q:Q)</f>
        <v>49.398792610908998</v>
      </c>
    </row>
    <row r="74" spans="1:8" ht="15.75" customHeight="1">
      <c r="A74" s="7" t="str">
        <f ca="1">IFERROR(__xludf.DUMMYFUNCTION("""COMPUTED_VALUE"""),"Boy Scout Troop 62")</f>
        <v>Boy Scout Troop 62</v>
      </c>
      <c r="B74" s="1" t="str">
        <f ca="1">INDEX('Individual Sites'!C74:C278, MATCH('Grouped Sites'!A74, 'Individual Sites'!R74:R278, 0))</f>
        <v>965 NORTH JEFFERSON STREET</v>
      </c>
      <c r="C74" s="1" t="str">
        <f ca="1">INDEX('Individual Sites'!D74:D278, MATCH('Grouped Sites'!A74, 'Individual Sites'!R74:R278, 0))</f>
        <v>MONTEZUMA</v>
      </c>
      <c r="D74" s="3">
        <f ca="1">SUMIF('Individual Sites'!R:R, 'Grouped Sites'!$A74, 'Individual Sites'!J:J)</f>
        <v>152</v>
      </c>
      <c r="E74" s="4">
        <f ca="1">SUMIF('Individual Sites'!$R:$R, 'Grouped Sites'!$A74, 'Individual Sites'!N:N)</f>
        <v>45600</v>
      </c>
      <c r="F74" s="4">
        <f ca="1">SUMIF('Individual Sites'!$R:$R, 'Grouped Sites'!$A74, 'Individual Sites'!O:O)</f>
        <v>45623.214545454503</v>
      </c>
      <c r="G74" s="4">
        <f ca="1">SUMIF('Individual Sites'!$R:$R, 'Grouped Sites'!$A74, 'Individual Sites'!P:P)</f>
        <v>4.32</v>
      </c>
      <c r="H74" s="4">
        <f ca="1">SUMIF('Individual Sites'!$R:$R, 'Grouped Sites'!$A74, 'Individual Sites'!Q:Q)</f>
        <v>31.890626967272699</v>
      </c>
    </row>
    <row r="75" spans="1:8" ht="15.75" customHeight="1"/>
    <row r="76" spans="1:8" ht="15.75" customHeight="1"/>
    <row r="77" spans="1:8" ht="15.75" customHeight="1"/>
    <row r="78" spans="1:8" ht="15.75" customHeight="1"/>
    <row r="79" spans="1:8" ht="15.75" customHeight="1"/>
    <row r="80" spans="1: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4"/>
  <sheetViews>
    <sheetView tabSelected="1" workbookViewId="0">
      <selection activeCell="N25" sqref="N25"/>
    </sheetView>
  </sheetViews>
  <sheetFormatPr defaultColWidth="12.6328125" defaultRowHeight="15" customHeight="1"/>
  <cols>
    <col min="1" max="1" width="53.453125" bestFit="1" customWidth="1"/>
    <col min="2" max="2" width="29.26953125" bestFit="1" customWidth="1"/>
    <col min="3" max="3" width="15" bestFit="1" customWidth="1"/>
    <col min="4" max="4" width="11" bestFit="1" customWidth="1"/>
    <col min="5" max="5" width="17.54296875" bestFit="1" customWidth="1"/>
    <col min="6" max="6" width="36.6328125" bestFit="1" customWidth="1"/>
    <col min="7" max="7" width="15" bestFit="1" customWidth="1"/>
    <col min="8" max="8" width="32.54296875" bestFit="1" customWidth="1"/>
  </cols>
  <sheetData>
    <row r="1" spans="1:8" ht="15" customHeight="1">
      <c r="A1" s="8" t="s">
        <v>539</v>
      </c>
      <c r="B1" s="8" t="s">
        <v>540</v>
      </c>
      <c r="C1" s="8" t="s">
        <v>543</v>
      </c>
      <c r="D1" s="8" t="s">
        <v>541</v>
      </c>
      <c r="E1" s="8" t="s">
        <v>13</v>
      </c>
      <c r="F1" s="8" t="s">
        <v>14</v>
      </c>
      <c r="G1" s="8" t="s">
        <v>15</v>
      </c>
      <c r="H1" s="9" t="s">
        <v>542</v>
      </c>
    </row>
    <row r="2" spans="1:8" ht="15" customHeight="1">
      <c r="A2" s="7" t="s">
        <v>24</v>
      </c>
      <c r="B2" s="7" t="s">
        <v>18</v>
      </c>
      <c r="C2" s="4" t="s">
        <v>19</v>
      </c>
      <c r="D2" s="4">
        <v>9052.8857142857141</v>
      </c>
      <c r="E2" s="4">
        <v>2715865.7142857141</v>
      </c>
      <c r="F2" s="4">
        <v>3288913.38</v>
      </c>
      <c r="G2" s="4">
        <v>311.27327086882451</v>
      </c>
      <c r="H2" s="10">
        <v>2298.9504526199999</v>
      </c>
    </row>
    <row r="3" spans="1:8" ht="15" customHeight="1">
      <c r="A3" s="7" t="s">
        <v>30</v>
      </c>
      <c r="B3" s="7" t="s">
        <v>26</v>
      </c>
      <c r="C3" s="4" t="s">
        <v>27</v>
      </c>
      <c r="D3" s="4">
        <v>6645.2142857142853</v>
      </c>
      <c r="E3" s="4">
        <v>1993564.2857142857</v>
      </c>
      <c r="F3" s="4">
        <v>2414206.35</v>
      </c>
      <c r="G3" s="4">
        <v>228.48820272572402</v>
      </c>
      <c r="H3" s="10">
        <v>1687.53023865</v>
      </c>
    </row>
    <row r="4" spans="1:8" ht="15" customHeight="1">
      <c r="A4" s="7" t="s">
        <v>45</v>
      </c>
      <c r="B4" s="7" t="s">
        <v>44</v>
      </c>
      <c r="C4" s="4" t="s">
        <v>39</v>
      </c>
      <c r="D4" s="4">
        <v>7861</v>
      </c>
      <c r="E4" s="4">
        <v>2358300</v>
      </c>
      <c r="F4" s="4">
        <v>2351031.403636354</v>
      </c>
      <c r="G4" s="4">
        <v>222.5</v>
      </c>
      <c r="H4" s="10">
        <v>1643.3709511418169</v>
      </c>
    </row>
    <row r="5" spans="1:8" ht="15" customHeight="1">
      <c r="A5" s="7" t="s">
        <v>33</v>
      </c>
      <c r="B5" s="7" t="s">
        <v>32</v>
      </c>
      <c r="C5" s="4" t="s">
        <v>27</v>
      </c>
      <c r="D5" s="4">
        <v>3941.8285714285712</v>
      </c>
      <c r="E5" s="4">
        <v>1182548.5714285714</v>
      </c>
      <c r="F5" s="4">
        <v>1432066.32</v>
      </c>
      <c r="G5" s="4">
        <v>135.53533219761499</v>
      </c>
      <c r="H5" s="10">
        <v>1001.01435768</v>
      </c>
    </row>
    <row r="6" spans="1:8" ht="15" customHeight="1">
      <c r="A6" s="7" t="s">
        <v>69</v>
      </c>
      <c r="B6" s="7" t="s">
        <v>68</v>
      </c>
      <c r="C6" s="4" t="s">
        <v>39</v>
      </c>
      <c r="D6" s="4">
        <v>3687.1285714285714</v>
      </c>
      <c r="E6" s="4">
        <v>1106138.5714285714</v>
      </c>
      <c r="F6" s="4">
        <v>1339533.8099999998</v>
      </c>
      <c r="G6" s="4">
        <v>126.77775979557069</v>
      </c>
      <c r="H6" s="10">
        <v>936.33413318999987</v>
      </c>
    </row>
    <row r="7" spans="1:8" ht="15" customHeight="1">
      <c r="A7" s="7" t="s">
        <v>36</v>
      </c>
      <c r="B7" s="7" t="s">
        <v>35</v>
      </c>
      <c r="C7" s="4" t="s">
        <v>19</v>
      </c>
      <c r="D7" s="4">
        <v>3571.2857142857138</v>
      </c>
      <c r="E7" s="4">
        <v>1071385.7142857141</v>
      </c>
      <c r="F7" s="4">
        <v>1297448.0999999999</v>
      </c>
      <c r="G7" s="4">
        <v>122.79463373083475</v>
      </c>
      <c r="H7" s="10">
        <v>906.91622189999987</v>
      </c>
    </row>
    <row r="8" spans="1:8" ht="15" customHeight="1">
      <c r="A8" s="7" t="s">
        <v>42</v>
      </c>
      <c r="B8" s="7" t="s">
        <v>38</v>
      </c>
      <c r="C8" s="4" t="s">
        <v>39</v>
      </c>
      <c r="D8" s="4">
        <v>3522.3428571428567</v>
      </c>
      <c r="E8" s="4">
        <v>1056702.857142857</v>
      </c>
      <c r="F8" s="4">
        <v>1279667.1599999999</v>
      </c>
      <c r="G8" s="4">
        <v>121.11178875638841</v>
      </c>
      <c r="H8" s="10">
        <v>894.48734483999988</v>
      </c>
    </row>
    <row r="9" spans="1:8" ht="15" customHeight="1">
      <c r="A9" s="7" t="s">
        <v>48</v>
      </c>
      <c r="B9" s="7" t="s">
        <v>47</v>
      </c>
      <c r="C9" s="4" t="s">
        <v>39</v>
      </c>
      <c r="D9" s="4">
        <v>2639.2714285714287</v>
      </c>
      <c r="E9" s="4">
        <v>791781.42857142864</v>
      </c>
      <c r="F9" s="4">
        <v>958847.31</v>
      </c>
      <c r="G9" s="4">
        <v>90.7483730834753</v>
      </c>
      <c r="H9" s="10">
        <v>670.23426969000002</v>
      </c>
    </row>
    <row r="10" spans="1:8" ht="15" customHeight="1">
      <c r="A10" s="7" t="s">
        <v>54</v>
      </c>
      <c r="B10" s="7" t="s">
        <v>50</v>
      </c>
      <c r="C10" s="4" t="s">
        <v>51</v>
      </c>
      <c r="D10" s="4">
        <v>2429.3571428571431</v>
      </c>
      <c r="E10" s="4">
        <v>728807.14285714296</v>
      </c>
      <c r="F10" s="4">
        <v>882585.45000000007</v>
      </c>
      <c r="G10" s="4">
        <v>83.530706984667816</v>
      </c>
      <c r="H10" s="10">
        <v>616.92722954999999</v>
      </c>
    </row>
    <row r="11" spans="1:8" ht="15" customHeight="1">
      <c r="A11" s="7" t="s">
        <v>57</v>
      </c>
      <c r="B11" s="7" t="s">
        <v>56</v>
      </c>
      <c r="C11" s="4" t="s">
        <v>27</v>
      </c>
      <c r="D11" s="4">
        <v>2380.8000000000002</v>
      </c>
      <c r="E11" s="4">
        <v>714240</v>
      </c>
      <c r="F11" s="4">
        <v>864944.64000000001</v>
      </c>
      <c r="G11" s="4">
        <v>81.861124361158431</v>
      </c>
      <c r="H11" s="10">
        <v>604.59630335999998</v>
      </c>
    </row>
    <row r="12" spans="1:8" ht="15" customHeight="1">
      <c r="A12" s="7" t="s">
        <v>60</v>
      </c>
      <c r="B12" s="7" t="s">
        <v>59</v>
      </c>
      <c r="C12" s="4" t="s">
        <v>27</v>
      </c>
      <c r="D12" s="4">
        <v>2147.8285714285716</v>
      </c>
      <c r="E12" s="4">
        <v>644348.57142857148</v>
      </c>
      <c r="F12" s="4">
        <v>780306.12000000011</v>
      </c>
      <c r="G12" s="4">
        <v>73.850664395229998</v>
      </c>
      <c r="H12" s="10">
        <v>545.43397788000004</v>
      </c>
    </row>
    <row r="13" spans="1:8" ht="15" customHeight="1">
      <c r="A13" s="7" t="s">
        <v>72</v>
      </c>
      <c r="B13" s="7" t="s">
        <v>71</v>
      </c>
      <c r="C13" s="4" t="s">
        <v>27</v>
      </c>
      <c r="D13" s="4">
        <v>1824.3428571428572</v>
      </c>
      <c r="E13" s="4">
        <v>547302.85714285704</v>
      </c>
      <c r="F13" s="4">
        <v>662783.75999999989</v>
      </c>
      <c r="G13" s="4">
        <v>62.727972742759789</v>
      </c>
      <c r="H13" s="10">
        <v>463.28584823999995</v>
      </c>
    </row>
    <row r="14" spans="1:8" ht="15" customHeight="1">
      <c r="A14" s="7" t="s">
        <v>267</v>
      </c>
      <c r="B14" s="7" t="s">
        <v>264</v>
      </c>
      <c r="C14" s="4" t="s">
        <v>51</v>
      </c>
      <c r="D14" s="4">
        <v>1858</v>
      </c>
      <c r="E14" s="4">
        <v>557400</v>
      </c>
      <c r="F14" s="4">
        <v>557287.35272727208</v>
      </c>
      <c r="G14" s="4">
        <v>52.749999999999993</v>
      </c>
      <c r="H14" s="10">
        <v>389.5438595563632</v>
      </c>
    </row>
    <row r="15" spans="1:8" ht="15" customHeight="1">
      <c r="A15" s="7" t="s">
        <v>75</v>
      </c>
      <c r="B15" s="7" t="s">
        <v>74</v>
      </c>
      <c r="C15" s="4" t="s">
        <v>19</v>
      </c>
      <c r="D15" s="4">
        <v>1706</v>
      </c>
      <c r="E15" s="4">
        <v>511800</v>
      </c>
      <c r="F15" s="4">
        <v>546625.24363636272</v>
      </c>
      <c r="G15" s="4">
        <v>51.739999999999995</v>
      </c>
      <c r="H15" s="10">
        <v>382.09104530181742</v>
      </c>
    </row>
    <row r="16" spans="1:8" ht="15" customHeight="1">
      <c r="A16" s="7" t="s">
        <v>63</v>
      </c>
      <c r="B16" s="7" t="s">
        <v>62</v>
      </c>
      <c r="C16" s="4" t="s">
        <v>27</v>
      </c>
      <c r="D16" s="4">
        <v>1452.3428571428572</v>
      </c>
      <c r="E16" s="4">
        <v>435702.85714285716</v>
      </c>
      <c r="F16" s="4">
        <v>527636.16</v>
      </c>
      <c r="G16" s="4">
        <v>49.937172061328795</v>
      </c>
      <c r="H16" s="10">
        <v>368.81767583999999</v>
      </c>
    </row>
    <row r="17" spans="1:8" ht="15" customHeight="1">
      <c r="A17" s="7" t="s">
        <v>66</v>
      </c>
      <c r="B17" s="7" t="s">
        <v>65</v>
      </c>
      <c r="C17" s="4" t="s">
        <v>39</v>
      </c>
      <c r="D17" s="4">
        <v>1448.8285714285714</v>
      </c>
      <c r="E17" s="4">
        <v>434648.57142857142</v>
      </c>
      <c r="F17" s="4">
        <v>526359.42000000004</v>
      </c>
      <c r="G17" s="4">
        <v>49.816337308347535</v>
      </c>
      <c r="H17" s="10">
        <v>367.92523457999999</v>
      </c>
    </row>
    <row r="18" spans="1:8" ht="15" customHeight="1">
      <c r="A18" s="7" t="s">
        <v>107</v>
      </c>
      <c r="B18" s="7" t="s">
        <v>106</v>
      </c>
      <c r="C18" s="4" t="s">
        <v>27</v>
      </c>
      <c r="D18" s="4">
        <v>1316.3571428571431</v>
      </c>
      <c r="E18" s="4">
        <v>394907.14285714284</v>
      </c>
      <c r="F18" s="4">
        <v>478232.55000000005</v>
      </c>
      <c r="G18" s="4">
        <v>45.261456558773432</v>
      </c>
      <c r="H18" s="10">
        <v>334.28455244999998</v>
      </c>
    </row>
    <row r="19" spans="1:8" ht="15" customHeight="1">
      <c r="A19" s="7" t="s">
        <v>98</v>
      </c>
      <c r="B19" s="7" t="s">
        <v>97</v>
      </c>
      <c r="C19" s="4" t="s">
        <v>27</v>
      </c>
      <c r="D19" s="4">
        <v>1428</v>
      </c>
      <c r="E19" s="4">
        <v>428400</v>
      </c>
      <c r="F19" s="4">
        <v>424848.17454545398</v>
      </c>
      <c r="G19" s="4">
        <v>40.200000000000003</v>
      </c>
      <c r="H19" s="10">
        <v>296.96887400727201</v>
      </c>
    </row>
    <row r="20" spans="1:8" ht="15" customHeight="1">
      <c r="A20" s="7" t="s">
        <v>80</v>
      </c>
      <c r="B20" s="7" t="s">
        <v>77</v>
      </c>
      <c r="C20" s="4" t="s">
        <v>19</v>
      </c>
      <c r="D20" s="4">
        <v>1228</v>
      </c>
      <c r="E20" s="4">
        <v>368400</v>
      </c>
      <c r="F20" s="4">
        <v>389137.57090908999</v>
      </c>
      <c r="G20" s="4">
        <v>36.83</v>
      </c>
      <c r="H20" s="10">
        <v>272.007162065454</v>
      </c>
    </row>
    <row r="21" spans="1:8" ht="15" customHeight="1">
      <c r="A21" s="7" t="s">
        <v>121</v>
      </c>
      <c r="B21" s="7" t="s">
        <v>119</v>
      </c>
      <c r="C21" s="4" t="s">
        <v>27</v>
      </c>
      <c r="D21" s="4">
        <v>1006</v>
      </c>
      <c r="E21" s="4">
        <v>301800</v>
      </c>
      <c r="F21" s="4">
        <v>321157.43999999901</v>
      </c>
      <c r="G21" s="4">
        <v>30.39</v>
      </c>
      <c r="H21" s="10">
        <v>224.48905055999899</v>
      </c>
    </row>
    <row r="22" spans="1:8" ht="15" customHeight="1">
      <c r="A22" s="7" t="s">
        <v>181</v>
      </c>
      <c r="B22" s="7" t="s">
        <v>180</v>
      </c>
      <c r="C22" s="4" t="s">
        <v>39</v>
      </c>
      <c r="D22" s="4">
        <v>864.34285714285716</v>
      </c>
      <c r="E22" s="4">
        <v>259302.85714285716</v>
      </c>
      <c r="F22" s="4">
        <v>314015.76</v>
      </c>
      <c r="G22" s="4">
        <v>29.719454855195913</v>
      </c>
      <c r="H22" s="10">
        <v>219.49701623999999</v>
      </c>
    </row>
    <row r="23" spans="1:8" ht="15" customHeight="1">
      <c r="A23" s="7" t="s">
        <v>239</v>
      </c>
      <c r="B23" s="7" t="s">
        <v>237</v>
      </c>
      <c r="C23" s="4" t="s">
        <v>19</v>
      </c>
      <c r="D23" s="4">
        <v>1037</v>
      </c>
      <c r="E23" s="4">
        <v>311100</v>
      </c>
      <c r="F23" s="4">
        <v>312258.43636363599</v>
      </c>
      <c r="G23" s="4">
        <v>29.56</v>
      </c>
      <c r="H23" s="10">
        <v>218.26864701818138</v>
      </c>
    </row>
    <row r="24" spans="1:8" ht="15" customHeight="1">
      <c r="A24" s="7" t="s">
        <v>84</v>
      </c>
      <c r="B24" s="7" t="s">
        <v>81</v>
      </c>
      <c r="C24" s="4" t="s">
        <v>19</v>
      </c>
      <c r="D24" s="4">
        <v>961</v>
      </c>
      <c r="E24" s="4">
        <v>288300</v>
      </c>
      <c r="F24" s="4">
        <v>306541.52727272699</v>
      </c>
      <c r="G24" s="4">
        <v>29.01</v>
      </c>
      <c r="H24" s="10">
        <v>214.272527563636</v>
      </c>
    </row>
    <row r="25" spans="1:8" ht="15" customHeight="1">
      <c r="A25" s="7" t="s">
        <v>86</v>
      </c>
      <c r="B25" s="7" t="s">
        <v>85</v>
      </c>
      <c r="C25" s="4" t="s">
        <v>27</v>
      </c>
      <c r="D25" s="4">
        <v>960</v>
      </c>
      <c r="E25" s="4">
        <v>288000</v>
      </c>
      <c r="F25" s="4">
        <v>303269.23636363598</v>
      </c>
      <c r="G25" s="4">
        <v>28.7</v>
      </c>
      <c r="H25" s="10">
        <v>211.98519621818099</v>
      </c>
    </row>
    <row r="26" spans="1:8" ht="15" customHeight="1">
      <c r="A26" s="7" t="s">
        <v>105</v>
      </c>
      <c r="B26" s="7" t="s">
        <v>102</v>
      </c>
      <c r="C26" s="4" t="s">
        <v>27</v>
      </c>
      <c r="D26" s="4">
        <v>971</v>
      </c>
      <c r="E26" s="4">
        <v>291300</v>
      </c>
      <c r="F26" s="4">
        <v>288125.54181818134</v>
      </c>
      <c r="G26" s="4">
        <v>27.27</v>
      </c>
      <c r="H26" s="10">
        <v>201.39975373090797</v>
      </c>
    </row>
    <row r="27" spans="1:8" ht="15" customHeight="1">
      <c r="A27" s="7" t="s">
        <v>89</v>
      </c>
      <c r="B27" s="7" t="s">
        <v>88</v>
      </c>
      <c r="C27" s="4" t="s">
        <v>39</v>
      </c>
      <c r="D27" s="4">
        <v>790.71428571428567</v>
      </c>
      <c r="E27" s="4">
        <v>237214.28571428571</v>
      </c>
      <c r="F27" s="4">
        <v>287266.5</v>
      </c>
      <c r="G27" s="4">
        <v>27.187819420783647</v>
      </c>
      <c r="H27" s="10">
        <v>200.7992835</v>
      </c>
    </row>
    <row r="28" spans="1:8" ht="15" customHeight="1">
      <c r="A28" s="7" t="s">
        <v>110</v>
      </c>
      <c r="B28" s="7" t="s">
        <v>109</v>
      </c>
      <c r="C28" s="4" t="s">
        <v>27</v>
      </c>
      <c r="D28" s="4">
        <v>889</v>
      </c>
      <c r="E28" s="4">
        <v>266700</v>
      </c>
      <c r="F28" s="4">
        <v>277756.93090909068</v>
      </c>
      <c r="G28" s="4">
        <v>26.28</v>
      </c>
      <c r="H28" s="10">
        <v>194.15209470545358</v>
      </c>
    </row>
    <row r="29" spans="1:8" ht="15" customHeight="1">
      <c r="A29" s="7" t="s">
        <v>95</v>
      </c>
      <c r="B29" s="7" t="s">
        <v>94</v>
      </c>
      <c r="C29" s="4" t="s">
        <v>19</v>
      </c>
      <c r="D29" s="4">
        <v>884</v>
      </c>
      <c r="E29" s="4">
        <v>265200</v>
      </c>
      <c r="F29" s="4">
        <v>256565.0399999989</v>
      </c>
      <c r="G29" s="4">
        <v>24.28</v>
      </c>
      <c r="H29" s="10">
        <v>179.33896295999892</v>
      </c>
    </row>
    <row r="30" spans="1:8" ht="15" customHeight="1">
      <c r="A30" s="7" t="s">
        <v>92</v>
      </c>
      <c r="B30" s="7" t="s">
        <v>91</v>
      </c>
      <c r="C30" s="4" t="s">
        <v>39</v>
      </c>
      <c r="D30" s="4">
        <v>676.28571428571422</v>
      </c>
      <c r="E30" s="4">
        <v>202885.71428571426</v>
      </c>
      <c r="F30" s="4">
        <v>245694.59999999998</v>
      </c>
      <c r="G30" s="4">
        <v>23.253321976149913</v>
      </c>
      <c r="H30" s="10">
        <v>171.74052539999997</v>
      </c>
    </row>
    <row r="31" spans="1:8" ht="15" customHeight="1">
      <c r="A31" s="7" t="s">
        <v>199</v>
      </c>
      <c r="B31" s="7" t="s">
        <v>198</v>
      </c>
      <c r="C31" s="4" t="s">
        <v>19</v>
      </c>
      <c r="D31" s="4">
        <v>732</v>
      </c>
      <c r="E31" s="4">
        <v>219600</v>
      </c>
      <c r="F31" s="4">
        <v>198122.6618181814</v>
      </c>
      <c r="G31" s="4">
        <v>18.75</v>
      </c>
      <c r="H31" s="10">
        <v>138.48774061090893</v>
      </c>
    </row>
    <row r="32" spans="1:8" ht="15" customHeight="1">
      <c r="A32" s="7" t="s">
        <v>129</v>
      </c>
      <c r="B32" s="7" t="s">
        <v>128</v>
      </c>
      <c r="C32" s="4" t="s">
        <v>27</v>
      </c>
      <c r="D32" s="4">
        <v>563</v>
      </c>
      <c r="E32" s="4">
        <v>168900</v>
      </c>
      <c r="F32" s="4">
        <v>175157.71636363622</v>
      </c>
      <c r="G32" s="4">
        <v>16.57</v>
      </c>
      <c r="H32" s="10">
        <v>122.4352437381813</v>
      </c>
    </row>
    <row r="33" spans="1:8" ht="15" customHeight="1">
      <c r="A33" s="7" t="s">
        <v>115</v>
      </c>
      <c r="B33" s="7" t="s">
        <v>112</v>
      </c>
      <c r="C33" s="4" t="s">
        <v>27</v>
      </c>
      <c r="D33" s="4">
        <v>537</v>
      </c>
      <c r="E33" s="4">
        <v>161100</v>
      </c>
      <c r="F33" s="4">
        <v>173062.407272727</v>
      </c>
      <c r="G33" s="4">
        <v>16.38</v>
      </c>
      <c r="H33" s="10">
        <v>120.97062268363599</v>
      </c>
    </row>
    <row r="34" spans="1:8" ht="15" customHeight="1">
      <c r="A34" s="7" t="s">
        <v>117</v>
      </c>
      <c r="B34" s="7" t="s">
        <v>116</v>
      </c>
      <c r="C34" s="4" t="s">
        <v>39</v>
      </c>
      <c r="D34" s="4">
        <v>450.34285714285716</v>
      </c>
      <c r="E34" s="4">
        <v>135102.85714285716</v>
      </c>
      <c r="F34" s="4">
        <v>163609.56</v>
      </c>
      <c r="G34" s="4">
        <v>15.484531516183987</v>
      </c>
      <c r="H34" s="10">
        <v>114.36308244</v>
      </c>
    </row>
    <row r="35" spans="1:8" ht="15" customHeight="1">
      <c r="A35" s="7" t="s">
        <v>126</v>
      </c>
      <c r="B35" s="7" t="s">
        <v>125</v>
      </c>
      <c r="C35" s="4" t="s">
        <v>27</v>
      </c>
      <c r="D35" s="4">
        <v>502</v>
      </c>
      <c r="E35" s="4">
        <v>150600</v>
      </c>
      <c r="F35" s="4">
        <v>159931.72363636299</v>
      </c>
      <c r="G35" s="4">
        <v>15.14</v>
      </c>
      <c r="H35" s="10">
        <v>111.792274821818</v>
      </c>
    </row>
    <row r="36" spans="1:8" ht="15" customHeight="1">
      <c r="A36" s="7" t="s">
        <v>226</v>
      </c>
      <c r="B36" s="7" t="s">
        <v>223</v>
      </c>
      <c r="C36" s="4" t="s">
        <v>51</v>
      </c>
      <c r="D36" s="4">
        <v>534</v>
      </c>
      <c r="E36" s="4">
        <v>160200</v>
      </c>
      <c r="F36" s="4">
        <v>158074.77818181799</v>
      </c>
      <c r="G36" s="4">
        <v>14.96</v>
      </c>
      <c r="H36" s="10">
        <v>110.49426994909078</v>
      </c>
    </row>
    <row r="37" spans="1:8" ht="15" customHeight="1">
      <c r="A37" s="7" t="s">
        <v>132</v>
      </c>
      <c r="B37" s="7" t="s">
        <v>131</v>
      </c>
      <c r="C37" s="4" t="s">
        <v>39</v>
      </c>
      <c r="D37" s="4">
        <v>416.82857142857142</v>
      </c>
      <c r="E37" s="4">
        <v>125048.57142857142</v>
      </c>
      <c r="F37" s="4">
        <v>151433.81999999998</v>
      </c>
      <c r="G37" s="4">
        <v>14.332180579216352</v>
      </c>
      <c r="H37" s="10">
        <v>105.85224017999998</v>
      </c>
    </row>
    <row r="38" spans="1:8" ht="15" customHeight="1">
      <c r="A38" s="7" t="s">
        <v>135</v>
      </c>
      <c r="B38" s="7" t="s">
        <v>134</v>
      </c>
      <c r="C38" s="4" t="s">
        <v>27</v>
      </c>
      <c r="D38" s="4">
        <v>485</v>
      </c>
      <c r="E38" s="4">
        <v>145500</v>
      </c>
      <c r="F38" s="4">
        <v>144875.672727272</v>
      </c>
      <c r="G38" s="4">
        <v>13.71</v>
      </c>
      <c r="H38" s="10">
        <v>101.268095236363</v>
      </c>
    </row>
    <row r="39" spans="1:8" ht="15" customHeight="1">
      <c r="A39" s="7" t="s">
        <v>138</v>
      </c>
      <c r="B39" s="7" t="s">
        <v>137</v>
      </c>
      <c r="C39" s="4" t="s">
        <v>19</v>
      </c>
      <c r="D39" s="4">
        <v>460</v>
      </c>
      <c r="E39" s="4">
        <v>138000</v>
      </c>
      <c r="F39" s="4">
        <v>143600.29090908999</v>
      </c>
      <c r="G39" s="4">
        <v>13.59</v>
      </c>
      <c r="H39" s="10">
        <v>100.376603345454</v>
      </c>
    </row>
    <row r="40" spans="1:8" ht="15" customHeight="1">
      <c r="A40" s="7" t="s">
        <v>146</v>
      </c>
      <c r="B40" s="7" t="s">
        <v>143</v>
      </c>
      <c r="C40" s="4" t="s">
        <v>19</v>
      </c>
      <c r="D40" s="4">
        <v>410</v>
      </c>
      <c r="E40" s="4">
        <v>123000</v>
      </c>
      <c r="F40" s="4">
        <v>133358.83636363599</v>
      </c>
      <c r="G40" s="4">
        <v>12.62</v>
      </c>
      <c r="H40" s="10">
        <v>93.217826618181803</v>
      </c>
    </row>
    <row r="41" spans="1:8" ht="15" customHeight="1">
      <c r="A41" s="7" t="s">
        <v>141</v>
      </c>
      <c r="B41" s="7" t="s">
        <v>140</v>
      </c>
      <c r="C41" s="4" t="s">
        <v>27</v>
      </c>
      <c r="D41" s="4">
        <v>475</v>
      </c>
      <c r="E41" s="4">
        <v>142500</v>
      </c>
      <c r="F41" s="4">
        <v>133317.818181818</v>
      </c>
      <c r="G41" s="4">
        <v>12.62</v>
      </c>
      <c r="H41" s="10">
        <v>93.189154909090902</v>
      </c>
    </row>
    <row r="42" spans="1:8" ht="15" customHeight="1">
      <c r="A42" s="7" t="s">
        <v>150</v>
      </c>
      <c r="B42" s="7" t="s">
        <v>147</v>
      </c>
      <c r="C42" s="4" t="s">
        <v>27</v>
      </c>
      <c r="D42" s="4">
        <v>407</v>
      </c>
      <c r="E42" s="4">
        <v>122100</v>
      </c>
      <c r="F42" s="4">
        <v>132240.95999999999</v>
      </c>
      <c r="G42" s="4">
        <v>12.52</v>
      </c>
      <c r="H42" s="10">
        <v>92.436431039999903</v>
      </c>
    </row>
    <row r="43" spans="1:8" ht="15" customHeight="1">
      <c r="A43" s="7" t="s">
        <v>154</v>
      </c>
      <c r="B43" s="7" t="s">
        <v>151</v>
      </c>
      <c r="C43" s="4" t="s">
        <v>19</v>
      </c>
      <c r="D43" s="4">
        <v>411</v>
      </c>
      <c r="E43" s="4">
        <v>123300</v>
      </c>
      <c r="F43" s="4">
        <v>125783.934545454</v>
      </c>
      <c r="G43" s="4">
        <v>11.9</v>
      </c>
      <c r="H43" s="10">
        <v>87.922970247272701</v>
      </c>
    </row>
    <row r="44" spans="1:8" ht="15" customHeight="1">
      <c r="A44" s="7" t="s">
        <v>196</v>
      </c>
      <c r="B44" s="7" t="s">
        <v>195</v>
      </c>
      <c r="C44" s="4" t="s">
        <v>39</v>
      </c>
      <c r="D44" s="4">
        <v>432</v>
      </c>
      <c r="E44" s="4">
        <v>129600</v>
      </c>
      <c r="F44" s="4">
        <v>125248.05818181801</v>
      </c>
      <c r="G44" s="4">
        <v>11.86</v>
      </c>
      <c r="H44" s="10">
        <v>87.548392669090802</v>
      </c>
    </row>
    <row r="45" spans="1:8" ht="15" customHeight="1">
      <c r="A45" s="7" t="s">
        <v>158</v>
      </c>
      <c r="B45" s="7" t="s">
        <v>155</v>
      </c>
      <c r="C45" s="4" t="s">
        <v>19</v>
      </c>
      <c r="D45" s="4">
        <v>412</v>
      </c>
      <c r="E45" s="4">
        <v>123600</v>
      </c>
      <c r="F45" s="4">
        <v>123788.77090909</v>
      </c>
      <c r="G45" s="4">
        <v>11.72</v>
      </c>
      <c r="H45" s="10">
        <v>86.528350865454499</v>
      </c>
    </row>
    <row r="46" spans="1:8" ht="15" customHeight="1">
      <c r="A46" s="7" t="s">
        <v>248</v>
      </c>
      <c r="B46" s="7" t="s">
        <v>245</v>
      </c>
      <c r="C46" s="4" t="s">
        <v>39</v>
      </c>
      <c r="D46" s="4">
        <v>416</v>
      </c>
      <c r="E46" s="4">
        <v>124800</v>
      </c>
      <c r="F46" s="4">
        <v>121196.6836363636</v>
      </c>
      <c r="G46" s="4">
        <v>11.48</v>
      </c>
      <c r="H46" s="10">
        <v>84.716481861818195</v>
      </c>
    </row>
    <row r="47" spans="1:8" ht="15" customHeight="1">
      <c r="A47" s="7" t="s">
        <v>162</v>
      </c>
      <c r="B47" s="7" t="s">
        <v>159</v>
      </c>
      <c r="C47" s="4" t="s">
        <v>39</v>
      </c>
      <c r="D47" s="4">
        <v>444</v>
      </c>
      <c r="E47" s="4">
        <v>133200</v>
      </c>
      <c r="F47" s="4">
        <v>120558.109090909</v>
      </c>
      <c r="G47" s="4">
        <v>11.41</v>
      </c>
      <c r="H47" s="10">
        <v>84.270118254545395</v>
      </c>
    </row>
    <row r="48" spans="1:8" ht="15" customHeight="1">
      <c r="A48" s="7" t="s">
        <v>167</v>
      </c>
      <c r="B48" s="7" t="s">
        <v>166</v>
      </c>
      <c r="C48" s="4" t="s">
        <v>27</v>
      </c>
      <c r="D48" s="4">
        <v>324.29999999999995</v>
      </c>
      <c r="E48" s="4">
        <v>97289.999999999985</v>
      </c>
      <c r="F48" s="4">
        <v>117818.18999999999</v>
      </c>
      <c r="G48" s="4">
        <v>11.150689948892673</v>
      </c>
      <c r="H48" s="10">
        <v>82.354914809999983</v>
      </c>
    </row>
    <row r="49" spans="1:8" ht="15" customHeight="1">
      <c r="A49" s="7" t="s">
        <v>172</v>
      </c>
      <c r="B49" s="7" t="s">
        <v>169</v>
      </c>
      <c r="C49" s="4" t="s">
        <v>19</v>
      </c>
      <c r="D49" s="4">
        <v>360</v>
      </c>
      <c r="E49" s="4">
        <v>108000</v>
      </c>
      <c r="F49" s="4">
        <v>114692.072727272</v>
      </c>
      <c r="G49" s="4">
        <v>10.85</v>
      </c>
      <c r="H49" s="10">
        <v>80.169758836363599</v>
      </c>
    </row>
    <row r="50" spans="1:8" ht="15" customHeight="1">
      <c r="A50" s="7" t="s">
        <v>228</v>
      </c>
      <c r="B50" s="7" t="s">
        <v>227</v>
      </c>
      <c r="C50" s="4" t="s">
        <v>19</v>
      </c>
      <c r="D50" s="4">
        <v>384</v>
      </c>
      <c r="E50" s="4">
        <v>115200</v>
      </c>
      <c r="F50" s="4">
        <v>114146.0945454544</v>
      </c>
      <c r="G50" s="4">
        <v>10.79</v>
      </c>
      <c r="H50" s="10">
        <v>79.788120087272503</v>
      </c>
    </row>
    <row r="51" spans="1:8" ht="15" customHeight="1">
      <c r="A51" s="7" t="s">
        <v>176</v>
      </c>
      <c r="B51" s="7" t="s">
        <v>173</v>
      </c>
      <c r="C51" s="4" t="s">
        <v>27</v>
      </c>
      <c r="D51" s="4">
        <v>362</v>
      </c>
      <c r="E51" s="4">
        <v>108600</v>
      </c>
      <c r="F51" s="4">
        <v>109563.578181818</v>
      </c>
      <c r="G51" s="4">
        <v>10.37</v>
      </c>
      <c r="H51" s="10">
        <v>76.584941149090895</v>
      </c>
    </row>
    <row r="52" spans="1:8" ht="15" customHeight="1">
      <c r="A52" s="7" t="s">
        <v>178</v>
      </c>
      <c r="B52" s="7" t="s">
        <v>177</v>
      </c>
      <c r="C52" s="4" t="s">
        <v>39</v>
      </c>
      <c r="D52" s="4">
        <v>299.95714285714286</v>
      </c>
      <c r="E52" s="4">
        <v>89987.142857142855</v>
      </c>
      <c r="F52" s="4">
        <v>108974.43</v>
      </c>
      <c r="G52" s="4">
        <v>10.313688245315161</v>
      </c>
      <c r="H52" s="10">
        <v>76.173126569999994</v>
      </c>
    </row>
    <row r="53" spans="1:8" ht="15" customHeight="1">
      <c r="A53" s="7" t="s">
        <v>213</v>
      </c>
      <c r="B53" s="7" t="s">
        <v>212</v>
      </c>
      <c r="C53" s="4" t="s">
        <v>27</v>
      </c>
      <c r="D53" s="4">
        <v>412</v>
      </c>
      <c r="E53" s="4">
        <v>123600</v>
      </c>
      <c r="F53" s="4">
        <v>107931.3163636363</v>
      </c>
      <c r="G53" s="4">
        <v>10.220000000000001</v>
      </c>
      <c r="H53" s="10">
        <v>75.443990138181704</v>
      </c>
    </row>
    <row r="54" spans="1:8" ht="15" customHeight="1">
      <c r="A54" s="7" t="s">
        <v>184</v>
      </c>
      <c r="B54" s="7" t="s">
        <v>183</v>
      </c>
      <c r="C54" s="4" t="s">
        <v>19</v>
      </c>
      <c r="D54" s="4">
        <v>350</v>
      </c>
      <c r="E54" s="4">
        <v>105000</v>
      </c>
      <c r="F54" s="4">
        <v>107222.18181818099</v>
      </c>
      <c r="G54" s="4">
        <v>10.15</v>
      </c>
      <c r="H54" s="10">
        <v>74.948305090909003</v>
      </c>
    </row>
    <row r="55" spans="1:8" ht="15" customHeight="1">
      <c r="A55" s="7" t="s">
        <v>190</v>
      </c>
      <c r="B55" s="7" t="s">
        <v>189</v>
      </c>
      <c r="C55" s="4" t="s">
        <v>19</v>
      </c>
      <c r="D55" s="4">
        <v>363</v>
      </c>
      <c r="E55" s="4">
        <v>108900</v>
      </c>
      <c r="F55" s="4">
        <v>104005.44</v>
      </c>
      <c r="G55" s="4">
        <v>9.84</v>
      </c>
      <c r="H55" s="10">
        <v>72.699802559999995</v>
      </c>
    </row>
    <row r="56" spans="1:8" ht="15" customHeight="1">
      <c r="A56" s="7" t="s">
        <v>193</v>
      </c>
      <c r="B56" s="7" t="s">
        <v>192</v>
      </c>
      <c r="C56" s="4" t="s">
        <v>27</v>
      </c>
      <c r="D56" s="4">
        <v>326</v>
      </c>
      <c r="E56" s="4">
        <v>97800</v>
      </c>
      <c r="F56" s="4">
        <v>102437.49818181799</v>
      </c>
      <c r="G56" s="4">
        <v>9.6999999999999993</v>
      </c>
      <c r="H56" s="10">
        <v>71.603811229090894</v>
      </c>
    </row>
    <row r="57" spans="1:8" ht="15" customHeight="1">
      <c r="A57" s="7" t="s">
        <v>203</v>
      </c>
      <c r="B57" s="7" t="s">
        <v>200</v>
      </c>
      <c r="C57" s="4" t="s">
        <v>19</v>
      </c>
      <c r="D57" s="4">
        <v>311</v>
      </c>
      <c r="E57" s="4">
        <v>93300</v>
      </c>
      <c r="F57" s="4">
        <v>101252.55272727201</v>
      </c>
      <c r="G57" s="4">
        <v>9.58</v>
      </c>
      <c r="H57" s="10">
        <v>70.775534356363593</v>
      </c>
    </row>
    <row r="58" spans="1:8" ht="15" customHeight="1">
      <c r="A58" s="7" t="s">
        <v>207</v>
      </c>
      <c r="B58" s="7" t="s">
        <v>206</v>
      </c>
      <c r="C58" s="4" t="s">
        <v>27</v>
      </c>
      <c r="D58" s="4">
        <v>321</v>
      </c>
      <c r="E58" s="4">
        <v>96300</v>
      </c>
      <c r="F58" s="4">
        <v>94542.087272727207</v>
      </c>
      <c r="G58" s="4">
        <v>8.9499999999999993</v>
      </c>
      <c r="H58" s="10">
        <v>66.084919003636301</v>
      </c>
    </row>
    <row r="59" spans="1:8" ht="15" customHeight="1">
      <c r="A59" s="7" t="s">
        <v>210</v>
      </c>
      <c r="B59" s="7" t="s">
        <v>209</v>
      </c>
      <c r="C59" s="4" t="s">
        <v>51</v>
      </c>
      <c r="D59" s="4">
        <v>259.54285714285714</v>
      </c>
      <c r="E59" s="4">
        <v>77862.857142857145</v>
      </c>
      <c r="F59" s="4">
        <v>94291.920000000013</v>
      </c>
      <c r="G59" s="4">
        <v>8.9240885860306651</v>
      </c>
      <c r="H59" s="10">
        <v>65.91005208</v>
      </c>
    </row>
    <row r="60" spans="1:8" ht="15" customHeight="1">
      <c r="A60" s="7" t="s">
        <v>218</v>
      </c>
      <c r="B60" s="7" t="s">
        <v>215</v>
      </c>
      <c r="C60" s="4" t="s">
        <v>39</v>
      </c>
      <c r="D60" s="4">
        <v>304</v>
      </c>
      <c r="E60" s="4">
        <v>91200</v>
      </c>
      <c r="F60" s="4">
        <v>90152.029090909098</v>
      </c>
      <c r="G60" s="4">
        <v>8.5299999999999994</v>
      </c>
      <c r="H60" s="10">
        <v>63.016268334545401</v>
      </c>
    </row>
    <row r="61" spans="1:8" ht="15" customHeight="1">
      <c r="A61" s="7" t="s">
        <v>222</v>
      </c>
      <c r="B61" s="7" t="s">
        <v>219</v>
      </c>
      <c r="C61" s="4" t="s">
        <v>27</v>
      </c>
      <c r="D61" s="4">
        <v>271</v>
      </c>
      <c r="E61" s="4">
        <v>81300</v>
      </c>
      <c r="F61" s="4">
        <v>88483.963636363595</v>
      </c>
      <c r="G61" s="4">
        <v>8.3699999999999992</v>
      </c>
      <c r="H61" s="10">
        <v>61.850290581818101</v>
      </c>
    </row>
    <row r="62" spans="1:8" ht="15" customHeight="1">
      <c r="A62" s="7" t="s">
        <v>243</v>
      </c>
      <c r="B62" s="7" t="s">
        <v>242</v>
      </c>
      <c r="C62" s="4" t="s">
        <v>27</v>
      </c>
      <c r="D62" s="4">
        <v>265</v>
      </c>
      <c r="E62" s="4">
        <v>79500</v>
      </c>
      <c r="F62" s="4">
        <v>81950.945454545406</v>
      </c>
      <c r="G62" s="4">
        <v>7.76</v>
      </c>
      <c r="H62" s="10">
        <v>57.283710872727198</v>
      </c>
    </row>
    <row r="63" spans="1:8" ht="15" customHeight="1">
      <c r="A63" s="7" t="s">
        <v>287</v>
      </c>
      <c r="B63" s="7" t="s">
        <v>286</v>
      </c>
      <c r="C63" s="4" t="s">
        <v>27</v>
      </c>
      <c r="D63" s="4">
        <v>267</v>
      </c>
      <c r="E63" s="4">
        <v>80100</v>
      </c>
      <c r="F63" s="4">
        <v>80497.505454545404</v>
      </c>
      <c r="G63" s="4">
        <v>7.62</v>
      </c>
      <c r="H63" s="10">
        <v>56.267756312727201</v>
      </c>
    </row>
    <row r="64" spans="1:8" ht="15" customHeight="1">
      <c r="A64" s="7" t="s">
        <v>231</v>
      </c>
      <c r="B64" s="7" t="s">
        <v>230</v>
      </c>
      <c r="C64" s="4" t="s">
        <v>19</v>
      </c>
      <c r="D64" s="4">
        <v>244</v>
      </c>
      <c r="E64" s="4">
        <v>73200</v>
      </c>
      <c r="F64" s="4">
        <v>71815.854545454495</v>
      </c>
      <c r="G64" s="4">
        <v>6.8</v>
      </c>
      <c r="H64" s="10">
        <v>50.199282327272698</v>
      </c>
    </row>
    <row r="65" spans="1:8" ht="15" customHeight="1">
      <c r="A65" s="7" t="s">
        <v>255</v>
      </c>
      <c r="B65" s="7" t="s">
        <v>254</v>
      </c>
      <c r="C65" s="4" t="s">
        <v>27</v>
      </c>
      <c r="D65" s="4">
        <v>250</v>
      </c>
      <c r="E65" s="4">
        <v>75000</v>
      </c>
      <c r="F65" s="4">
        <v>70892.814545454399</v>
      </c>
      <c r="G65" s="4">
        <v>6.7100000000000009</v>
      </c>
      <c r="H65" s="10">
        <v>49.554077367272725</v>
      </c>
    </row>
    <row r="66" spans="1:8" ht="15" customHeight="1">
      <c r="A66" s="7" t="s">
        <v>332</v>
      </c>
      <c r="B66" s="7" t="s">
        <v>329</v>
      </c>
      <c r="C66" s="4" t="s">
        <v>27</v>
      </c>
      <c r="D66" s="4">
        <v>232</v>
      </c>
      <c r="E66" s="4">
        <v>69600</v>
      </c>
      <c r="F66" s="4">
        <v>70670.661818181805</v>
      </c>
      <c r="G66" s="4">
        <v>6.6899999999999995</v>
      </c>
      <c r="H66" s="10">
        <v>49.398792610908998</v>
      </c>
    </row>
    <row r="67" spans="1:8" ht="15" customHeight="1">
      <c r="A67" s="7" t="s">
        <v>236</v>
      </c>
      <c r="B67" s="7" t="s">
        <v>233</v>
      </c>
      <c r="C67" s="4" t="s">
        <v>27</v>
      </c>
      <c r="D67" s="4">
        <v>221</v>
      </c>
      <c r="E67" s="4">
        <v>66300</v>
      </c>
      <c r="F67" s="4">
        <v>66868.974545454505</v>
      </c>
      <c r="G67" s="4">
        <v>6.33</v>
      </c>
      <c r="H67" s="10">
        <v>46.7414132072727</v>
      </c>
    </row>
    <row r="68" spans="1:8" ht="15" customHeight="1">
      <c r="A68" s="7" t="s">
        <v>260</v>
      </c>
      <c r="B68" s="7" t="s">
        <v>257</v>
      </c>
      <c r="C68" s="4" t="s">
        <v>27</v>
      </c>
      <c r="D68" s="4">
        <v>204</v>
      </c>
      <c r="E68" s="4">
        <v>61200</v>
      </c>
      <c r="F68" s="4">
        <v>56295.098181818103</v>
      </c>
      <c r="G68" s="4">
        <v>5.33</v>
      </c>
      <c r="H68" s="10">
        <v>39.3502736290909</v>
      </c>
    </row>
    <row r="69" spans="1:8" ht="15" customHeight="1">
      <c r="A69" s="7" t="s">
        <v>263</v>
      </c>
      <c r="B69" s="7" t="s">
        <v>261</v>
      </c>
      <c r="C69" s="4" t="s">
        <v>51</v>
      </c>
      <c r="D69" s="4">
        <v>206</v>
      </c>
      <c r="E69" s="4">
        <v>61800</v>
      </c>
      <c r="F69" s="4">
        <v>55264.930909090901</v>
      </c>
      <c r="G69" s="4">
        <v>5.23</v>
      </c>
      <c r="H69" s="10">
        <v>38.630186705454499</v>
      </c>
    </row>
    <row r="70" spans="1:8" ht="15" customHeight="1">
      <c r="A70" s="7" t="s">
        <v>280</v>
      </c>
      <c r="B70" s="7" t="s">
        <v>278</v>
      </c>
      <c r="C70" s="4" t="s">
        <v>19</v>
      </c>
      <c r="D70" s="4">
        <v>167</v>
      </c>
      <c r="E70" s="4">
        <v>50100</v>
      </c>
      <c r="F70" s="4">
        <v>53481.294545454497</v>
      </c>
      <c r="G70" s="4">
        <v>5.0599999999999996</v>
      </c>
      <c r="H70" s="10">
        <v>37.383424887272703</v>
      </c>
    </row>
    <row r="71" spans="1:8" ht="15" customHeight="1">
      <c r="A71" s="7" t="s">
        <v>290</v>
      </c>
      <c r="B71" s="7" t="s">
        <v>289</v>
      </c>
      <c r="C71" s="4" t="s">
        <v>27</v>
      </c>
      <c r="D71" s="4">
        <v>175</v>
      </c>
      <c r="E71" s="4">
        <v>52500</v>
      </c>
      <c r="F71" s="4">
        <v>52381.636363636302</v>
      </c>
      <c r="G71" s="4">
        <v>4.96</v>
      </c>
      <c r="H71" s="10">
        <v>36.6147638181818</v>
      </c>
    </row>
    <row r="72" spans="1:8" ht="15" customHeight="1">
      <c r="A72" s="7" t="s">
        <v>293</v>
      </c>
      <c r="B72" s="7" t="s">
        <v>292</v>
      </c>
      <c r="C72" s="4" t="s">
        <v>19</v>
      </c>
      <c r="D72" s="4">
        <v>177</v>
      </c>
      <c r="E72" s="4">
        <v>53100</v>
      </c>
      <c r="F72" s="4">
        <v>52323.7745454545</v>
      </c>
      <c r="G72" s="4">
        <v>4.95</v>
      </c>
      <c r="H72" s="10">
        <v>36.574318407272699</v>
      </c>
    </row>
    <row r="73" spans="1:8" ht="15" customHeight="1">
      <c r="A73" s="7" t="s">
        <v>319</v>
      </c>
      <c r="B73" s="7" t="s">
        <v>318</v>
      </c>
      <c r="C73" s="4" t="s">
        <v>51</v>
      </c>
      <c r="D73" s="4">
        <v>135.77142857142857</v>
      </c>
      <c r="E73" s="4">
        <v>40731.428571428572</v>
      </c>
      <c r="F73" s="4">
        <v>49325.760000000002</v>
      </c>
      <c r="G73" s="4">
        <v>4.6683475298126069</v>
      </c>
      <c r="H73" s="10">
        <v>34.478706240000001</v>
      </c>
    </row>
    <row r="74" spans="1:8" ht="15" customHeight="1">
      <c r="A74" t="s">
        <v>336</v>
      </c>
      <c r="B74" t="s">
        <v>333</v>
      </c>
      <c r="C74" t="s">
        <v>51</v>
      </c>
      <c r="D74" s="13">
        <v>152</v>
      </c>
      <c r="E74" s="13">
        <v>45600</v>
      </c>
      <c r="F74" s="13">
        <v>45623.214545454503</v>
      </c>
      <c r="G74" s="13">
        <v>4.32</v>
      </c>
      <c r="H74" s="13">
        <v>31.890626967272699</v>
      </c>
    </row>
  </sheetData>
  <sortState xmlns:xlrd2="http://schemas.microsoft.com/office/spreadsheetml/2017/richdata2" ref="A2:H74">
    <sortCondition descending="1" ref="G2:G74"/>
    <sortCondition descending="1" ref="F2:F74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EF030-6B58-4230-9DB8-2A3A8AF9019D}">
  <dimension ref="A1:N18"/>
  <sheetViews>
    <sheetView workbookViewId="0">
      <selection activeCell="B32" sqref="B32"/>
    </sheetView>
  </sheetViews>
  <sheetFormatPr defaultRowHeight="14.5"/>
  <cols>
    <col min="1" max="1" width="36.54296875" bestFit="1" customWidth="1"/>
    <col min="2" max="2" width="121.90625" bestFit="1" customWidth="1"/>
  </cols>
  <sheetData>
    <row r="1" spans="1:14">
      <c r="A1" s="12" t="s">
        <v>0</v>
      </c>
      <c r="B1" t="s">
        <v>544</v>
      </c>
      <c r="D1" s="12"/>
      <c r="N1" s="12"/>
    </row>
    <row r="2" spans="1:14">
      <c r="A2" s="12" t="s">
        <v>1</v>
      </c>
      <c r="B2" t="s">
        <v>545</v>
      </c>
    </row>
    <row r="3" spans="1:14">
      <c r="A3" s="12" t="s">
        <v>2</v>
      </c>
      <c r="B3" t="s">
        <v>546</v>
      </c>
    </row>
    <row r="4" spans="1:14">
      <c r="A4" s="12" t="s">
        <v>3</v>
      </c>
      <c r="B4" t="s">
        <v>543</v>
      </c>
    </row>
    <row r="5" spans="1:14">
      <c r="A5" s="12" t="s">
        <v>4</v>
      </c>
      <c r="B5" t="s">
        <v>547</v>
      </c>
    </row>
    <row r="6" spans="1:14">
      <c r="A6" s="12" t="s">
        <v>5</v>
      </c>
      <c r="B6" t="s">
        <v>548</v>
      </c>
    </row>
    <row r="7" spans="1:14">
      <c r="A7" s="12" t="s">
        <v>6</v>
      </c>
      <c r="B7" t="s">
        <v>549</v>
      </c>
    </row>
    <row r="8" spans="1:14">
      <c r="A8" s="12" t="s">
        <v>7</v>
      </c>
      <c r="B8" t="s">
        <v>550</v>
      </c>
    </row>
    <row r="9" spans="1:14">
      <c r="A9" s="12" t="s">
        <v>8</v>
      </c>
      <c r="B9" t="s">
        <v>551</v>
      </c>
    </row>
    <row r="10" spans="1:14">
      <c r="A10" s="12" t="s">
        <v>9</v>
      </c>
      <c r="B10" t="s">
        <v>552</v>
      </c>
    </row>
    <row r="11" spans="1:14">
      <c r="A11" s="12" t="s">
        <v>10</v>
      </c>
      <c r="B11" t="s">
        <v>553</v>
      </c>
    </row>
    <row r="12" spans="1:14">
      <c r="A12" s="12" t="s">
        <v>11</v>
      </c>
      <c r="B12" t="s">
        <v>554</v>
      </c>
    </row>
    <row r="13" spans="1:14">
      <c r="A13" s="12" t="s">
        <v>12</v>
      </c>
      <c r="B13" t="s">
        <v>555</v>
      </c>
    </row>
    <row r="14" spans="1:14">
      <c r="A14" s="12" t="s">
        <v>13</v>
      </c>
      <c r="B14" t="s">
        <v>556</v>
      </c>
    </row>
    <row r="15" spans="1:14">
      <c r="A15" s="12" t="s">
        <v>557</v>
      </c>
      <c r="B15" t="s">
        <v>558</v>
      </c>
    </row>
    <row r="16" spans="1:14">
      <c r="A16" s="12" t="s">
        <v>15</v>
      </c>
      <c r="B16" t="s">
        <v>559</v>
      </c>
    </row>
    <row r="17" spans="1:2">
      <c r="A17" s="12" t="s">
        <v>16</v>
      </c>
      <c r="B17" t="s">
        <v>560</v>
      </c>
    </row>
    <row r="18" spans="1:2">
      <c r="A18" s="12" t="s">
        <v>17</v>
      </c>
      <c r="B18" t="s">
        <v>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Individual Sites</vt:lpstr>
      <vt:lpstr>Grouped Sites</vt:lpstr>
      <vt:lpstr>Sorted Group Sites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King, Tyler William</cp:lastModifiedBy>
  <dcterms:created xsi:type="dcterms:W3CDTF">2024-11-06T13:05:13Z</dcterms:created>
  <dcterms:modified xsi:type="dcterms:W3CDTF">2024-11-11T13:05:56Z</dcterms:modified>
</cp:coreProperties>
</file>